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1. Lit Review/Sections/Reactor Performance/"/>
    </mc:Choice>
  </mc:AlternateContent>
  <xr:revisionPtr revIDLastSave="322" documentId="13_ncr:1_{9BE12184-29E7-427B-8FF7-60347B05779A}" xr6:coauthVersionLast="47" xr6:coauthVersionMax="47" xr10:uidLastSave="{ED912A40-499E-4632-AE42-1ECC7A8663E6}"/>
  <bookViews>
    <workbookView xWindow="-120" yWindow="-120" windowWidth="25440" windowHeight="15390" activeTab="1" xr2:uid="{CC3DECD4-80D6-46EE-889E-75F17B981AA6}"/>
  </bookViews>
  <sheets>
    <sheet name="Sources" sheetId="1" r:id="rId1"/>
    <sheet name="Data" sheetId="6" r:id="rId2"/>
    <sheet name="Other Reactor Type" sheetId="7" r:id="rId3"/>
    <sheet name="Analysis" sheetId="3" r:id="rId4"/>
    <sheet name="Analysis New" sheetId="8" r:id="rId5"/>
    <sheet name="Analysis 3" sheetId="9" r:id="rId6"/>
    <sheet name="Compleixty" sheetId="10" r:id="rId7"/>
    <sheet name="Hydrolysis Calc" sheetId="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158" i="6" l="1"/>
  <c r="W158" i="6"/>
  <c r="T158" i="6"/>
  <c r="W205" i="6"/>
  <c r="U176" i="6"/>
  <c r="U175" i="6"/>
  <c r="W176" i="6"/>
  <c r="W175" i="6"/>
  <c r="T176" i="6"/>
  <c r="T175" i="6"/>
  <c r="U168" i="6"/>
  <c r="U169" i="6"/>
  <c r="U170" i="6"/>
  <c r="U171" i="6"/>
  <c r="U172" i="6"/>
  <c r="U173" i="6"/>
  <c r="U174" i="6"/>
  <c r="U167" i="6"/>
  <c r="T168" i="6"/>
  <c r="T169" i="6"/>
  <c r="T170" i="6"/>
  <c r="T171" i="6"/>
  <c r="T172" i="6"/>
  <c r="T173" i="6"/>
  <c r="T174" i="6"/>
  <c r="T167" i="6"/>
  <c r="U154" i="6"/>
  <c r="U153" i="6"/>
  <c r="U152" i="6"/>
  <c r="W154" i="6"/>
  <c r="W153" i="6"/>
  <c r="W152" i="6"/>
  <c r="T153" i="6"/>
  <c r="T154" i="6"/>
  <c r="T152" i="6"/>
  <c r="U151" i="6"/>
  <c r="W145" i="6"/>
  <c r="U145" i="6"/>
  <c r="W143" i="6"/>
  <c r="W142" i="6"/>
  <c r="W141" i="6"/>
  <c r="W140" i="6"/>
  <c r="W139" i="6"/>
  <c r="U143" i="6"/>
  <c r="U142" i="6"/>
  <c r="U141" i="6"/>
  <c r="U140" i="6"/>
  <c r="U139" i="6"/>
  <c r="U133" i="6"/>
  <c r="U132" i="6"/>
  <c r="U131" i="6"/>
  <c r="U130" i="6"/>
  <c r="U129" i="6"/>
  <c r="U128" i="6"/>
  <c r="U127" i="6"/>
  <c r="U126" i="6"/>
  <c r="U125" i="6"/>
  <c r="U124" i="6"/>
  <c r="U123" i="6"/>
  <c r="W133" i="6"/>
  <c r="W132" i="6"/>
  <c r="W131" i="6"/>
  <c r="W130" i="6"/>
  <c r="W129" i="6"/>
  <c r="W128" i="6"/>
  <c r="W127" i="6"/>
  <c r="W126" i="6"/>
  <c r="W125" i="6"/>
  <c r="W124" i="6"/>
  <c r="W123" i="6"/>
  <c r="T124" i="6"/>
  <c r="T125" i="6"/>
  <c r="T126" i="6"/>
  <c r="T127" i="6"/>
  <c r="T128" i="6"/>
  <c r="T129" i="6"/>
  <c r="T130" i="6"/>
  <c r="T131" i="6"/>
  <c r="T132" i="6"/>
  <c r="T133" i="6"/>
  <c r="T123" i="6"/>
  <c r="W97" i="6"/>
  <c r="U97" i="6"/>
  <c r="T97" i="6"/>
  <c r="W47" i="6"/>
  <c r="W46" i="6"/>
  <c r="U47" i="6"/>
  <c r="U46" i="6"/>
  <c r="S275" i="3" l="1"/>
  <c r="O275" i="3"/>
  <c r="S273" i="3"/>
  <c r="S272" i="3"/>
  <c r="S271" i="3"/>
  <c r="S270" i="3"/>
  <c r="S269" i="3"/>
  <c r="O273" i="3"/>
  <c r="O270" i="3"/>
  <c r="O271" i="3"/>
  <c r="O272" i="3"/>
  <c r="O269" i="3"/>
  <c r="S266" i="3"/>
  <c r="O266" i="3"/>
  <c r="J266" i="3"/>
  <c r="S265" i="3"/>
  <c r="O265" i="3"/>
  <c r="J265" i="3"/>
  <c r="S264" i="3"/>
  <c r="O264" i="3"/>
  <c r="J264" i="3"/>
  <c r="S263" i="3"/>
  <c r="O263" i="3"/>
  <c r="J263" i="3"/>
  <c r="S262" i="3"/>
  <c r="O262" i="3"/>
  <c r="J262" i="3"/>
  <c r="S261" i="3"/>
  <c r="O261" i="3"/>
  <c r="J261" i="3"/>
  <c r="S260" i="3"/>
  <c r="O260" i="3"/>
  <c r="J260" i="3"/>
  <c r="S259" i="3"/>
  <c r="O259" i="3"/>
  <c r="J259" i="3"/>
  <c r="S258" i="3"/>
  <c r="O258" i="3"/>
  <c r="J258" i="3"/>
  <c r="S257" i="3"/>
  <c r="O257" i="3"/>
  <c r="J257" i="3"/>
  <c r="E255" i="3"/>
  <c r="H255" i="3" s="1"/>
  <c r="H254" i="3"/>
  <c r="E254" i="3"/>
  <c r="H253" i="3"/>
  <c r="E253" i="3"/>
  <c r="H252" i="3"/>
  <c r="E252" i="3"/>
  <c r="E251" i="3"/>
  <c r="H251" i="3" s="1"/>
  <c r="H250" i="3"/>
  <c r="E250" i="3"/>
  <c r="H249" i="3"/>
  <c r="E249" i="3"/>
  <c r="H248" i="3"/>
  <c r="E248" i="3"/>
  <c r="H247" i="3"/>
  <c r="E247" i="3"/>
  <c r="M82" i="6" l="1"/>
  <c r="M83" i="6"/>
  <c r="I62" i="6" l="1"/>
  <c r="I63" i="6"/>
  <c r="I64" i="6"/>
  <c r="AH139" i="6"/>
  <c r="AH140" i="6"/>
  <c r="AH141" i="6"/>
  <c r="AH142" i="6"/>
  <c r="AH143" i="6"/>
  <c r="F129" i="10" l="1"/>
  <c r="F98" i="10"/>
  <c r="AZ4" i="6"/>
  <c r="AZ5" i="6"/>
  <c r="AZ6" i="6"/>
  <c r="AZ7" i="6"/>
  <c r="AZ8" i="6"/>
  <c r="AZ9" i="6"/>
  <c r="AZ12" i="6"/>
  <c r="AZ13" i="6"/>
  <c r="AZ14" i="6"/>
  <c r="AZ15" i="6"/>
  <c r="AZ16" i="6"/>
  <c r="AZ17" i="6"/>
  <c r="AZ18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9" i="6"/>
  <c r="AZ40" i="6"/>
  <c r="AZ41" i="6"/>
  <c r="AZ42" i="6"/>
  <c r="AZ43" i="6"/>
  <c r="AZ44" i="6"/>
  <c r="AZ45" i="6"/>
  <c r="AZ46" i="6"/>
  <c r="AZ47" i="6"/>
  <c r="AZ48" i="6"/>
  <c r="AZ49" i="6"/>
  <c r="AZ50" i="6"/>
  <c r="AZ56" i="6"/>
  <c r="AZ57" i="6"/>
  <c r="AZ58" i="6"/>
  <c r="AZ59" i="6"/>
  <c r="AZ60" i="6"/>
  <c r="AZ61" i="6"/>
  <c r="AZ65" i="6"/>
  <c r="AZ66" i="6"/>
  <c r="AZ67" i="6"/>
  <c r="AZ68" i="6"/>
  <c r="AZ69" i="6"/>
  <c r="AZ70" i="6"/>
  <c r="AZ71" i="6"/>
  <c r="AZ72" i="6"/>
  <c r="AZ73" i="6"/>
  <c r="AZ74" i="6"/>
  <c r="AZ75" i="6"/>
  <c r="AZ76" i="6"/>
  <c r="AZ77" i="6"/>
  <c r="AZ78" i="6"/>
  <c r="AZ79" i="6"/>
  <c r="AZ80" i="6"/>
  <c r="AZ81" i="6"/>
  <c r="AZ82" i="6"/>
  <c r="AZ83" i="6"/>
  <c r="AZ84" i="6"/>
  <c r="AZ85" i="6"/>
  <c r="AZ86" i="6"/>
  <c r="AZ87" i="6"/>
  <c r="AZ88" i="6"/>
  <c r="AZ89" i="6"/>
  <c r="AZ90" i="6"/>
  <c r="AZ91" i="6"/>
  <c r="AZ92" i="6"/>
  <c r="AZ93" i="6"/>
  <c r="AZ94" i="6"/>
  <c r="AZ95" i="6"/>
  <c r="AZ96" i="6"/>
  <c r="AZ97" i="6"/>
  <c r="AZ118" i="6"/>
  <c r="AZ119" i="6"/>
  <c r="AZ120" i="6"/>
  <c r="AZ121" i="6"/>
  <c r="AZ122" i="6"/>
  <c r="AZ123" i="6"/>
  <c r="AZ124" i="6"/>
  <c r="AZ125" i="6"/>
  <c r="AZ126" i="6"/>
  <c r="AZ127" i="6"/>
  <c r="AZ128" i="6"/>
  <c r="AZ129" i="6"/>
  <c r="AZ130" i="6"/>
  <c r="AZ131" i="6"/>
  <c r="AZ132" i="6"/>
  <c r="AZ133" i="6"/>
  <c r="AZ137" i="6"/>
  <c r="AZ139" i="6"/>
  <c r="AZ140" i="6"/>
  <c r="AZ141" i="6"/>
  <c r="AZ142" i="6"/>
  <c r="AZ143" i="6"/>
  <c r="AZ144" i="6"/>
  <c r="AZ146" i="6"/>
  <c r="AZ147" i="6"/>
  <c r="AZ148" i="6"/>
  <c r="AZ149" i="6"/>
  <c r="AZ150" i="6"/>
  <c r="AZ155" i="6"/>
  <c r="AZ156" i="6"/>
  <c r="AZ157" i="6"/>
  <c r="AZ158" i="6"/>
  <c r="AZ167" i="6"/>
  <c r="AZ168" i="6"/>
  <c r="AZ169" i="6"/>
  <c r="AZ170" i="6"/>
  <c r="AZ171" i="6"/>
  <c r="AZ172" i="6"/>
  <c r="AZ173" i="6"/>
  <c r="AZ174" i="6"/>
  <c r="AZ175" i="6"/>
  <c r="AZ176" i="6"/>
  <c r="AZ177" i="6"/>
  <c r="AZ178" i="6"/>
  <c r="AZ181" i="6"/>
  <c r="AZ182" i="6"/>
  <c r="AZ183" i="6"/>
  <c r="AZ184" i="6"/>
  <c r="AZ185" i="6"/>
  <c r="AZ186" i="6"/>
  <c r="AZ187" i="6"/>
  <c r="AZ188" i="6"/>
  <c r="AZ189" i="6"/>
  <c r="AZ190" i="6"/>
  <c r="AZ191" i="6"/>
  <c r="AZ192" i="6"/>
  <c r="AZ193" i="6"/>
  <c r="AZ194" i="6"/>
  <c r="AZ195" i="6"/>
  <c r="BC194" i="6" s="1"/>
  <c r="AZ196" i="6"/>
  <c r="AZ197" i="6"/>
  <c r="AZ198" i="6"/>
  <c r="AZ199" i="6"/>
  <c r="AZ200" i="6"/>
  <c r="AZ201" i="6"/>
  <c r="AZ202" i="6"/>
  <c r="AZ203" i="6"/>
  <c r="AZ204" i="6"/>
  <c r="AZ205" i="6"/>
  <c r="AZ206" i="6"/>
  <c r="AZ207" i="6"/>
  <c r="AZ208" i="6"/>
  <c r="AZ209" i="6"/>
  <c r="AZ210" i="6"/>
  <c r="AZ217" i="6"/>
  <c r="AZ218" i="6"/>
  <c r="AZ219" i="6"/>
  <c r="AZ220" i="6"/>
  <c r="AZ221" i="6"/>
  <c r="AZ222" i="6"/>
  <c r="AZ223" i="6"/>
  <c r="AZ224" i="6"/>
  <c r="AZ225" i="6"/>
  <c r="AZ226" i="6"/>
  <c r="AZ3" i="6"/>
  <c r="J2" i="9"/>
  <c r="J138" i="9"/>
  <c r="J139" i="9"/>
  <c r="J140" i="9"/>
  <c r="J141" i="9"/>
  <c r="J142" i="9"/>
  <c r="J143" i="9"/>
  <c r="J144" i="9"/>
  <c r="J145" i="9"/>
  <c r="J146" i="9"/>
  <c r="J147" i="9"/>
  <c r="J148" i="9"/>
  <c r="J149" i="9"/>
  <c r="J150" i="9"/>
  <c r="J151" i="9"/>
  <c r="J152" i="9"/>
  <c r="J153" i="9"/>
  <c r="J154" i="9"/>
  <c r="J155" i="9"/>
  <c r="J156" i="9"/>
  <c r="J157" i="9"/>
  <c r="J158" i="9"/>
  <c r="J159" i="9"/>
  <c r="J160" i="9"/>
  <c r="J161" i="9"/>
  <c r="J162" i="9"/>
  <c r="J163" i="9"/>
  <c r="J164" i="9"/>
  <c r="J165" i="9"/>
  <c r="J166" i="9"/>
  <c r="J167" i="9"/>
  <c r="J168" i="9"/>
  <c r="J169" i="9"/>
  <c r="J170" i="9"/>
  <c r="J171" i="9"/>
  <c r="J172" i="9"/>
  <c r="J173" i="9"/>
  <c r="J174" i="9"/>
  <c r="J175" i="9"/>
  <c r="J176" i="9"/>
  <c r="J177" i="9"/>
  <c r="J178" i="9"/>
  <c r="J179" i="9"/>
  <c r="J180" i="9"/>
  <c r="J181" i="9"/>
  <c r="J182" i="9"/>
  <c r="J183" i="9"/>
  <c r="J184" i="9"/>
  <c r="J185" i="9"/>
  <c r="J186" i="9"/>
  <c r="J187" i="9"/>
  <c r="J188" i="9"/>
  <c r="J189" i="9"/>
  <c r="J190" i="9"/>
  <c r="J191" i="9"/>
  <c r="J192" i="9"/>
  <c r="J193" i="9"/>
  <c r="J194" i="9"/>
  <c r="J195" i="9"/>
  <c r="J196" i="9"/>
  <c r="J197" i="9"/>
  <c r="J198" i="9"/>
  <c r="J199" i="9"/>
  <c r="J200" i="9"/>
  <c r="J201" i="9"/>
  <c r="J202" i="9"/>
  <c r="J203" i="9"/>
  <c r="J204" i="9"/>
  <c r="J205" i="9"/>
  <c r="J206" i="9"/>
  <c r="J207" i="9"/>
  <c r="J208" i="9"/>
  <c r="J209" i="9"/>
  <c r="J210" i="9"/>
  <c r="J211" i="9"/>
  <c r="J212" i="9"/>
  <c r="J213" i="9"/>
  <c r="J214" i="9"/>
  <c r="J215" i="9"/>
  <c r="J216" i="9"/>
  <c r="J217" i="9"/>
  <c r="J218" i="9"/>
  <c r="J219" i="9"/>
  <c r="J220" i="9"/>
  <c r="J221" i="9"/>
  <c r="J222" i="9"/>
  <c r="J223" i="9"/>
  <c r="J224" i="9"/>
  <c r="J225" i="9"/>
  <c r="J226" i="9"/>
  <c r="J227" i="9"/>
  <c r="J228" i="9"/>
  <c r="J13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97" i="9"/>
  <c r="J91" i="9"/>
  <c r="J92" i="9"/>
  <c r="J93" i="9"/>
  <c r="J94" i="9"/>
  <c r="J95" i="9"/>
  <c r="J96" i="9"/>
  <c r="J80" i="9"/>
  <c r="J81" i="9"/>
  <c r="J82" i="9"/>
  <c r="J83" i="9"/>
  <c r="J84" i="9"/>
  <c r="J85" i="9"/>
  <c r="J86" i="9"/>
  <c r="J87" i="9"/>
  <c r="J88" i="9"/>
  <c r="J89" i="9"/>
  <c r="J90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22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3" i="9"/>
  <c r="AX4" i="6" l="1"/>
  <c r="AX218" i="6"/>
  <c r="AX219" i="6"/>
  <c r="AX220" i="6"/>
  <c r="AX221" i="6"/>
  <c r="AX222" i="6"/>
  <c r="AX223" i="6"/>
  <c r="AX224" i="6"/>
  <c r="AX225" i="6"/>
  <c r="AX226" i="6"/>
  <c r="AX217" i="6"/>
  <c r="AX209" i="6"/>
  <c r="AX210" i="6"/>
  <c r="AX208" i="6"/>
  <c r="AX207" i="6"/>
  <c r="AX206" i="6"/>
  <c r="AX205" i="6"/>
  <c r="AX204" i="6"/>
  <c r="AX203" i="6"/>
  <c r="AX202" i="6"/>
  <c r="AX201" i="6"/>
  <c r="AX200" i="6"/>
  <c r="AX199" i="6"/>
  <c r="AX198" i="6"/>
  <c r="AX197" i="6"/>
  <c r="AX196" i="6"/>
  <c r="AX195" i="6"/>
  <c r="AX194" i="6"/>
  <c r="AX193" i="6"/>
  <c r="AX192" i="6"/>
  <c r="AX183" i="6"/>
  <c r="AX184" i="6"/>
  <c r="AX185" i="6"/>
  <c r="AX186" i="6"/>
  <c r="AX187" i="6"/>
  <c r="AX188" i="6"/>
  <c r="AX189" i="6"/>
  <c r="AX190" i="6"/>
  <c r="AX191" i="6"/>
  <c r="AX182" i="6"/>
  <c r="AX181" i="6"/>
  <c r="AX178" i="6"/>
  <c r="AX177" i="6"/>
  <c r="AX176" i="6"/>
  <c r="AX175" i="6"/>
  <c r="AX168" i="6"/>
  <c r="AX169" i="6"/>
  <c r="AX170" i="6"/>
  <c r="AX171" i="6"/>
  <c r="AX172" i="6"/>
  <c r="AX173" i="6"/>
  <c r="AX174" i="6"/>
  <c r="AX167" i="6"/>
  <c r="AX158" i="6"/>
  <c r="AX157" i="6"/>
  <c r="AX156" i="6"/>
  <c r="AX155" i="6"/>
  <c r="AX148" i="6"/>
  <c r="AX149" i="6"/>
  <c r="AX150" i="6"/>
  <c r="AX147" i="6"/>
  <c r="AX146" i="6"/>
  <c r="AX144" i="6"/>
  <c r="AX143" i="6"/>
  <c r="AX142" i="6"/>
  <c r="AX141" i="6"/>
  <c r="AX140" i="6"/>
  <c r="AX139" i="6"/>
  <c r="AX137" i="6"/>
  <c r="AX133" i="6"/>
  <c r="AX132" i="6"/>
  <c r="AX131" i="6"/>
  <c r="AX130" i="6"/>
  <c r="AX129" i="6"/>
  <c r="AX128" i="6"/>
  <c r="AX127" i="6"/>
  <c r="AX126" i="6"/>
  <c r="AX125" i="6"/>
  <c r="AX124" i="6"/>
  <c r="AX123" i="6"/>
  <c r="AX122" i="6"/>
  <c r="AX121" i="6"/>
  <c r="AX119" i="6"/>
  <c r="AX120" i="6"/>
  <c r="AX118" i="6"/>
  <c r="AX97" i="6"/>
  <c r="AX96" i="6"/>
  <c r="AX95" i="6"/>
  <c r="AX94" i="6"/>
  <c r="AX92" i="6"/>
  <c r="AX93" i="6"/>
  <c r="AX91" i="6"/>
  <c r="AX89" i="6"/>
  <c r="AX90" i="6"/>
  <c r="AX81" i="6"/>
  <c r="AX82" i="6"/>
  <c r="AX83" i="6"/>
  <c r="AX84" i="6"/>
  <c r="AX85" i="6"/>
  <c r="AX86" i="6"/>
  <c r="AX87" i="6"/>
  <c r="AX88" i="6"/>
  <c r="AX80" i="6"/>
  <c r="AX79" i="6"/>
  <c r="AX78" i="6"/>
  <c r="AX77" i="6"/>
  <c r="AX76" i="6"/>
  <c r="AX75" i="6"/>
  <c r="AX74" i="6"/>
  <c r="AX73" i="6"/>
  <c r="AX72" i="6"/>
  <c r="AX71" i="6"/>
  <c r="AX70" i="6"/>
  <c r="AX69" i="6"/>
  <c r="AX68" i="6"/>
  <c r="AX67" i="6"/>
  <c r="AX66" i="6"/>
  <c r="AX65" i="6"/>
  <c r="AX61" i="6"/>
  <c r="AX60" i="6"/>
  <c r="AX59" i="6"/>
  <c r="AX58" i="6"/>
  <c r="AX57" i="6"/>
  <c r="AX56" i="6"/>
  <c r="AX50" i="6"/>
  <c r="AX49" i="6"/>
  <c r="AX48" i="6"/>
  <c r="AX47" i="6"/>
  <c r="AX46" i="6"/>
  <c r="AX45" i="6"/>
  <c r="AX44" i="6"/>
  <c r="AX43" i="6"/>
  <c r="AX42" i="6"/>
  <c r="AX41" i="6"/>
  <c r="AX40" i="6"/>
  <c r="AX39" i="6"/>
  <c r="AX38" i="6"/>
  <c r="AX37" i="6"/>
  <c r="AX36" i="6"/>
  <c r="AX35" i="6"/>
  <c r="AX30" i="6"/>
  <c r="AX31" i="6"/>
  <c r="AX32" i="6"/>
  <c r="AX33" i="6"/>
  <c r="AX34" i="6"/>
  <c r="AX28" i="6"/>
  <c r="AX29" i="6"/>
  <c r="AX27" i="6"/>
  <c r="AX26" i="6"/>
  <c r="AX25" i="6"/>
  <c r="AT21" i="6"/>
  <c r="AZ21" i="6" s="1"/>
  <c r="AT20" i="6"/>
  <c r="AZ20" i="6" s="1"/>
  <c r="AT19" i="6"/>
  <c r="AT11" i="6"/>
  <c r="AT10" i="6"/>
  <c r="AZ10" i="6" s="1"/>
  <c r="AX24" i="6"/>
  <c r="AX23" i="6"/>
  <c r="AX22" i="6"/>
  <c r="AX21" i="6"/>
  <c r="AX20" i="6"/>
  <c r="AX18" i="6"/>
  <c r="AX17" i="6"/>
  <c r="AX16" i="6"/>
  <c r="AX15" i="6"/>
  <c r="AX14" i="6"/>
  <c r="AX13" i="6"/>
  <c r="AX12" i="6"/>
  <c r="AX9" i="6"/>
  <c r="AX8" i="6"/>
  <c r="AX7" i="6"/>
  <c r="AX6" i="6"/>
  <c r="AX5" i="6"/>
  <c r="AX3" i="6"/>
  <c r="AR22" i="6"/>
  <c r="AR21" i="6"/>
  <c r="AR20" i="6"/>
  <c r="AR19" i="6"/>
  <c r="AR18" i="6"/>
  <c r="AR17" i="6"/>
  <c r="AR16" i="6"/>
  <c r="AR15" i="6"/>
  <c r="AR14" i="6"/>
  <c r="AR13" i="6"/>
  <c r="AR12" i="6"/>
  <c r="AR11" i="6"/>
  <c r="AR10" i="6"/>
  <c r="AR4" i="6"/>
  <c r="AR5" i="6"/>
  <c r="AR6" i="6"/>
  <c r="AR7" i="6"/>
  <c r="AR8" i="6"/>
  <c r="AR9" i="6"/>
  <c r="AR3" i="6"/>
  <c r="AX10" i="6" l="1"/>
  <c r="AX11" i="6"/>
  <c r="AZ11" i="6"/>
  <c r="AX19" i="6"/>
  <c r="AZ19" i="6"/>
  <c r="AZ252" i="6" s="1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2" i="8"/>
  <c r="Q239" i="8"/>
  <c r="R239" i="8"/>
  <c r="S239" i="8"/>
  <c r="Q241" i="8"/>
  <c r="R241" i="8"/>
  <c r="S241" i="8"/>
  <c r="Q242" i="8"/>
  <c r="R242" i="8"/>
  <c r="S242" i="8"/>
  <c r="Q244" i="8"/>
  <c r="R244" i="8"/>
  <c r="S244" i="8"/>
  <c r="Q245" i="8"/>
  <c r="R245" i="8"/>
  <c r="S245" i="8"/>
  <c r="Q247" i="8"/>
  <c r="R247" i="8"/>
  <c r="S247" i="8"/>
  <c r="Q248" i="8"/>
  <c r="R248" i="8"/>
  <c r="S248" i="8"/>
  <c r="J239" i="8"/>
  <c r="K239" i="8"/>
  <c r="L239" i="8"/>
  <c r="J241" i="8"/>
  <c r="K241" i="8"/>
  <c r="L241" i="8"/>
  <c r="J242" i="8"/>
  <c r="K242" i="8"/>
  <c r="L242" i="8"/>
  <c r="J244" i="8"/>
  <c r="K244" i="8"/>
  <c r="L244" i="8"/>
  <c r="J245" i="8"/>
  <c r="K245" i="8"/>
  <c r="L245" i="8"/>
  <c r="J247" i="8"/>
  <c r="K247" i="8"/>
  <c r="L247" i="8"/>
  <c r="J248" i="8"/>
  <c r="K248" i="8"/>
  <c r="L248" i="8"/>
  <c r="T250" i="8"/>
  <c r="M250" i="8"/>
  <c r="T248" i="8"/>
  <c r="T247" i="8"/>
  <c r="T245" i="8"/>
  <c r="T244" i="8"/>
  <c r="T242" i="8"/>
  <c r="T241" i="8"/>
  <c r="T239" i="8"/>
  <c r="M248" i="8"/>
  <c r="M247" i="8"/>
  <c r="M245" i="8"/>
  <c r="M244" i="8"/>
  <c r="M242" i="8"/>
  <c r="M241" i="8"/>
  <c r="M239" i="8"/>
  <c r="AZ248" i="6" l="1"/>
  <c r="AZ249" i="6"/>
  <c r="AZ251" i="6"/>
  <c r="AZ247" i="6"/>
  <c r="C19" i="4"/>
  <c r="C17" i="4"/>
  <c r="C3" i="4"/>
  <c r="H6" i="4"/>
  <c r="H5" i="4"/>
  <c r="C7" i="4"/>
  <c r="C10" i="4"/>
  <c r="C15" i="4"/>
  <c r="J252" i="6"/>
  <c r="BL110" i="3"/>
  <c r="BK110" i="3"/>
  <c r="BJ110" i="3"/>
  <c r="BH110" i="3"/>
  <c r="BF110" i="3"/>
  <c r="BE110" i="3"/>
  <c r="BD110" i="3"/>
  <c r="BC110" i="3"/>
  <c r="AX237" i="3"/>
  <c r="AY237" i="3"/>
  <c r="AW237" i="3"/>
  <c r="AP238" i="3"/>
  <c r="AM238" i="3"/>
  <c r="AJ238" i="3"/>
  <c r="AG238" i="3"/>
  <c r="AD126" i="3"/>
  <c r="Z238" i="3"/>
  <c r="V60" i="3"/>
  <c r="S110" i="3"/>
  <c r="K53" i="3"/>
  <c r="K51" i="3"/>
  <c r="K73" i="3"/>
  <c r="K6" i="3"/>
  <c r="K9" i="3"/>
  <c r="K14" i="3"/>
  <c r="K58" i="3"/>
  <c r="K63" i="3"/>
  <c r="K74" i="3"/>
  <c r="K106" i="3"/>
  <c r="B100" i="3"/>
  <c r="B5" i="3"/>
  <c r="B212" i="3"/>
  <c r="B187" i="3"/>
  <c r="B217" i="3"/>
  <c r="B218" i="3"/>
  <c r="B219" i="3"/>
  <c r="B124" i="3"/>
  <c r="B103" i="3"/>
  <c r="B101" i="3"/>
  <c r="B102" i="3"/>
  <c r="B176" i="3"/>
  <c r="B136" i="3"/>
  <c r="B137" i="3"/>
  <c r="B138" i="3"/>
  <c r="B171" i="3"/>
  <c r="B120" i="3"/>
  <c r="B71" i="3"/>
  <c r="B118" i="3"/>
  <c r="B119" i="3"/>
  <c r="B117" i="3"/>
  <c r="B45" i="3"/>
  <c r="B38" i="3"/>
  <c r="B70" i="3"/>
  <c r="C22" i="4" l="1"/>
  <c r="L110" i="3"/>
  <c r="I228" i="6"/>
  <c r="J228" i="6" s="1"/>
  <c r="I227" i="6"/>
  <c r="J227" i="6" s="1"/>
  <c r="E226" i="6"/>
  <c r="H226" i="6" s="1"/>
  <c r="E219" i="6"/>
  <c r="H219" i="6" s="1"/>
  <c r="E220" i="6"/>
  <c r="H220" i="6" s="1"/>
  <c r="E221" i="6"/>
  <c r="H221" i="6" s="1"/>
  <c r="E222" i="6"/>
  <c r="H222" i="6" s="1"/>
  <c r="E223" i="6"/>
  <c r="H223" i="6" s="1"/>
  <c r="E224" i="6"/>
  <c r="H224" i="6" s="1"/>
  <c r="E225" i="6"/>
  <c r="H225" i="6" s="1"/>
  <c r="E218" i="6"/>
  <c r="H218" i="6" s="1"/>
  <c r="S217" i="6"/>
  <c r="O217" i="6"/>
  <c r="S212" i="6"/>
  <c r="S213" i="6"/>
  <c r="S214" i="6"/>
  <c r="S215" i="6"/>
  <c r="S216" i="6"/>
  <c r="S211" i="6"/>
  <c r="O212" i="6"/>
  <c r="O213" i="6"/>
  <c r="O214" i="6"/>
  <c r="O215" i="6"/>
  <c r="O216" i="6"/>
  <c r="O211" i="6"/>
  <c r="E212" i="6"/>
  <c r="H212" i="6" s="1"/>
  <c r="E213" i="6"/>
  <c r="H213" i="6" s="1"/>
  <c r="E214" i="6"/>
  <c r="H214" i="6" s="1"/>
  <c r="E215" i="6"/>
  <c r="H215" i="6" s="1"/>
  <c r="E216" i="6"/>
  <c r="H216" i="6" s="1"/>
  <c r="E211" i="6"/>
  <c r="H211" i="6" s="1"/>
  <c r="J210" i="6"/>
  <c r="J209" i="6"/>
  <c r="E208" i="6"/>
  <c r="J208" i="6" s="1"/>
  <c r="E207" i="6"/>
  <c r="J207" i="6" s="1"/>
  <c r="J206" i="6"/>
  <c r="S206" i="6"/>
  <c r="O206" i="6"/>
  <c r="J205" i="6"/>
  <c r="O205" i="6"/>
  <c r="S205" i="6"/>
  <c r="U205" i="6"/>
  <c r="E203" i="6"/>
  <c r="E204" i="6"/>
  <c r="E202" i="6"/>
  <c r="E193" i="6"/>
  <c r="H193" i="6" s="1"/>
  <c r="E194" i="6"/>
  <c r="H194" i="6" s="1"/>
  <c r="E195" i="6"/>
  <c r="H195" i="6" s="1"/>
  <c r="E196" i="6"/>
  <c r="H196" i="6" s="1"/>
  <c r="E197" i="6"/>
  <c r="H197" i="6" s="1"/>
  <c r="E192" i="6"/>
  <c r="H192" i="6" s="1"/>
  <c r="S191" i="6"/>
  <c r="S190" i="6"/>
  <c r="S189" i="6"/>
  <c r="S188" i="6"/>
  <c r="S187" i="6"/>
  <c r="S186" i="6"/>
  <c r="S185" i="6"/>
  <c r="S184" i="6"/>
  <c r="S183" i="6"/>
  <c r="S182" i="6"/>
  <c r="S181" i="6"/>
  <c r="E181" i="6"/>
  <c r="S180" i="6"/>
  <c r="S179" i="6"/>
  <c r="O180" i="6"/>
  <c r="O179" i="6"/>
  <c r="E180" i="6"/>
  <c r="J180" i="6" s="1"/>
  <c r="E179" i="6"/>
  <c r="J179" i="6" s="1"/>
  <c r="S178" i="6"/>
  <c r="J178" i="6"/>
  <c r="J177" i="6"/>
  <c r="S176" i="6"/>
  <c r="S175" i="6"/>
  <c r="O176" i="6"/>
  <c r="O175" i="6"/>
  <c r="J176" i="6"/>
  <c r="J175" i="6"/>
  <c r="J174" i="6"/>
  <c r="J173" i="6"/>
  <c r="J172" i="6"/>
  <c r="J171" i="6"/>
  <c r="J170" i="6"/>
  <c r="J169" i="6"/>
  <c r="J168" i="6"/>
  <c r="J167" i="6"/>
  <c r="AH165" i="6"/>
  <c r="AH159" i="6"/>
  <c r="AH164" i="6"/>
  <c r="AH163" i="6"/>
  <c r="AH162" i="6"/>
  <c r="AH161" i="6"/>
  <c r="AH160" i="6"/>
  <c r="J159" i="6"/>
  <c r="J160" i="6"/>
  <c r="J161" i="6"/>
  <c r="J162" i="6"/>
  <c r="J163" i="6"/>
  <c r="J164" i="6"/>
  <c r="J165" i="6"/>
  <c r="J166" i="6"/>
  <c r="S161" i="6"/>
  <c r="S162" i="6"/>
  <c r="S163" i="6"/>
  <c r="S164" i="6"/>
  <c r="S165" i="6"/>
  <c r="S166" i="6"/>
  <c r="S160" i="6"/>
  <c r="S159" i="6"/>
  <c r="H166" i="6"/>
  <c r="H160" i="6"/>
  <c r="H161" i="6"/>
  <c r="H162" i="6"/>
  <c r="H163" i="6"/>
  <c r="H164" i="6"/>
  <c r="H165" i="6"/>
  <c r="H159" i="6"/>
  <c r="H122" i="6"/>
  <c r="J158" i="6"/>
  <c r="O154" i="6"/>
  <c r="O153" i="6"/>
  <c r="O152" i="6"/>
  <c r="S153" i="6"/>
  <c r="S154" i="6"/>
  <c r="S152" i="6"/>
  <c r="J154" i="6"/>
  <c r="J153" i="6"/>
  <c r="J152" i="6"/>
  <c r="G154" i="6"/>
  <c r="J151" i="6"/>
  <c r="G151" i="6"/>
  <c r="E147" i="6"/>
  <c r="J147" i="6" s="1"/>
  <c r="E148" i="6"/>
  <c r="J148" i="6" s="1"/>
  <c r="E149" i="6"/>
  <c r="J149" i="6" s="1"/>
  <c r="E150" i="6"/>
  <c r="J150" i="6" s="1"/>
  <c r="E146" i="6"/>
  <c r="J146" i="6" s="1"/>
  <c r="Q145" i="6"/>
  <c r="J145" i="6"/>
  <c r="E144" i="6"/>
  <c r="J144" i="6" s="1"/>
  <c r="E267" i="6"/>
  <c r="J267" i="6" s="1"/>
  <c r="E268" i="6"/>
  <c r="J268" i="6" s="1"/>
  <c r="E266" i="6"/>
  <c r="J266" i="6" s="1"/>
  <c r="E140" i="6"/>
  <c r="R140" i="6" s="1"/>
  <c r="E141" i="6"/>
  <c r="R141" i="6" s="1"/>
  <c r="E142" i="6"/>
  <c r="M142" i="6" s="1"/>
  <c r="E143" i="6"/>
  <c r="M143" i="6" s="1"/>
  <c r="E139" i="6"/>
  <c r="R139" i="6" s="1"/>
  <c r="J138" i="6"/>
  <c r="G137" i="6"/>
  <c r="S134" i="6"/>
  <c r="S135" i="6"/>
  <c r="S136" i="6"/>
  <c r="O136" i="6"/>
  <c r="O135" i="6"/>
  <c r="O134" i="6"/>
  <c r="J136" i="6"/>
  <c r="J135" i="6"/>
  <c r="J134" i="6"/>
  <c r="G136" i="6"/>
  <c r="G135" i="6"/>
  <c r="G134" i="6"/>
  <c r="J133" i="6"/>
  <c r="J132" i="6"/>
  <c r="J131" i="6"/>
  <c r="J130" i="6"/>
  <c r="J129" i="6"/>
  <c r="J128" i="6"/>
  <c r="J127" i="6"/>
  <c r="J126" i="6"/>
  <c r="J125" i="6"/>
  <c r="J124" i="6"/>
  <c r="J123" i="6"/>
  <c r="S133" i="6"/>
  <c r="S132" i="6"/>
  <c r="S131" i="6"/>
  <c r="S130" i="6"/>
  <c r="S129" i="6"/>
  <c r="S128" i="6"/>
  <c r="S127" i="6"/>
  <c r="S126" i="6"/>
  <c r="S125" i="6"/>
  <c r="S124" i="6"/>
  <c r="S123" i="6"/>
  <c r="O125" i="6"/>
  <c r="O126" i="6"/>
  <c r="O127" i="6"/>
  <c r="O128" i="6"/>
  <c r="O129" i="6"/>
  <c r="O130" i="6"/>
  <c r="O131" i="6"/>
  <c r="O132" i="6"/>
  <c r="O133" i="6"/>
  <c r="O124" i="6"/>
  <c r="G133" i="6"/>
  <c r="G130" i="6"/>
  <c r="G126" i="6"/>
  <c r="G125" i="6"/>
  <c r="G124" i="6"/>
  <c r="S122" i="6"/>
  <c r="O122" i="6"/>
  <c r="Q122" i="6"/>
  <c r="E122" i="6"/>
  <c r="J122" i="6" s="1"/>
  <c r="J121" i="6"/>
  <c r="S120" i="6"/>
  <c r="S119" i="6"/>
  <c r="O120" i="6"/>
  <c r="O119" i="6"/>
  <c r="J120" i="6"/>
  <c r="J119" i="6"/>
  <c r="S118" i="6"/>
  <c r="O118" i="6"/>
  <c r="J118" i="6"/>
  <c r="S108" i="6"/>
  <c r="S109" i="6"/>
  <c r="S110" i="6"/>
  <c r="S111" i="6"/>
  <c r="S112" i="6"/>
  <c r="S113" i="6"/>
  <c r="S114" i="6"/>
  <c r="S115" i="6"/>
  <c r="S116" i="6"/>
  <c r="S117" i="6"/>
  <c r="S107" i="6"/>
  <c r="O108" i="6"/>
  <c r="O109" i="6"/>
  <c r="O110" i="6"/>
  <c r="O111" i="6"/>
  <c r="O112" i="6"/>
  <c r="O113" i="6"/>
  <c r="O114" i="6"/>
  <c r="O115" i="6"/>
  <c r="O116" i="6"/>
  <c r="O117" i="6"/>
  <c r="O107" i="6"/>
  <c r="J108" i="6"/>
  <c r="J109" i="6"/>
  <c r="J110" i="6"/>
  <c r="J111" i="6"/>
  <c r="J112" i="6"/>
  <c r="J113" i="6"/>
  <c r="J114" i="6"/>
  <c r="J115" i="6"/>
  <c r="J116" i="6"/>
  <c r="J117" i="6"/>
  <c r="J107" i="6"/>
  <c r="H116" i="6"/>
  <c r="H115" i="6"/>
  <c r="H117" i="6"/>
  <c r="H111" i="6"/>
  <c r="H112" i="6"/>
  <c r="H113" i="6"/>
  <c r="H107" i="6"/>
  <c r="H109" i="6"/>
  <c r="H114" i="6"/>
  <c r="H110" i="6"/>
  <c r="H108" i="6"/>
  <c r="E99" i="6"/>
  <c r="E100" i="6"/>
  <c r="E101" i="6"/>
  <c r="E102" i="6"/>
  <c r="E103" i="6"/>
  <c r="E104" i="6"/>
  <c r="E105" i="6"/>
  <c r="E106" i="6"/>
  <c r="E98" i="6"/>
  <c r="BD96" i="6"/>
  <c r="BD95" i="6"/>
  <c r="E96" i="6"/>
  <c r="E95" i="6"/>
  <c r="E92" i="6"/>
  <c r="J92" i="6" s="1"/>
  <c r="E93" i="6"/>
  <c r="H93" i="6" s="1"/>
  <c r="E94" i="6"/>
  <c r="H94" i="6" s="1"/>
  <c r="E91" i="6"/>
  <c r="H91" i="6" s="1"/>
  <c r="S94" i="6"/>
  <c r="S93" i="6"/>
  <c r="S92" i="6"/>
  <c r="S91" i="6"/>
  <c r="E81" i="6"/>
  <c r="E82" i="6"/>
  <c r="E83" i="6"/>
  <c r="E84" i="6"/>
  <c r="E85" i="6"/>
  <c r="E86" i="6"/>
  <c r="E87" i="6"/>
  <c r="E88" i="6"/>
  <c r="E89" i="6"/>
  <c r="E90" i="6"/>
  <c r="E80" i="6"/>
  <c r="I90" i="6"/>
  <c r="M90" i="6" s="1"/>
  <c r="I89" i="6"/>
  <c r="M89" i="6" s="1"/>
  <c r="I88" i="6"/>
  <c r="M88" i="6" s="1"/>
  <c r="I87" i="6"/>
  <c r="M87" i="6" s="1"/>
  <c r="I86" i="6"/>
  <c r="M86" i="6" s="1"/>
  <c r="I85" i="6"/>
  <c r="M85" i="6" s="1"/>
  <c r="I84" i="6"/>
  <c r="M84" i="6" s="1"/>
  <c r="I81" i="6"/>
  <c r="M81" i="6" s="1"/>
  <c r="I80" i="6"/>
  <c r="M80" i="6" s="1"/>
  <c r="E79" i="6"/>
  <c r="J79" i="6" s="1"/>
  <c r="E78" i="6"/>
  <c r="J78" i="6" s="1"/>
  <c r="E77" i="6"/>
  <c r="J77" i="6" s="1"/>
  <c r="E76" i="6"/>
  <c r="J76" i="6" s="1"/>
  <c r="E75" i="6"/>
  <c r="J75" i="6" s="1"/>
  <c r="E71" i="6"/>
  <c r="J71" i="6" s="1"/>
  <c r="E72" i="6"/>
  <c r="J72" i="6" s="1"/>
  <c r="E73" i="6"/>
  <c r="J73" i="6" s="1"/>
  <c r="E74" i="6"/>
  <c r="J74" i="6" s="1"/>
  <c r="E70" i="6"/>
  <c r="J70" i="6" s="1"/>
  <c r="E69" i="6"/>
  <c r="J69" i="6" s="1"/>
  <c r="E68" i="6"/>
  <c r="J68" i="6" s="1"/>
  <c r="E67" i="6"/>
  <c r="J67" i="6" s="1"/>
  <c r="J66" i="6"/>
  <c r="J65" i="6"/>
  <c r="G66" i="6"/>
  <c r="G65" i="6"/>
  <c r="S64" i="6"/>
  <c r="S63" i="6"/>
  <c r="S62" i="6"/>
  <c r="G64" i="6"/>
  <c r="G63" i="6"/>
  <c r="E64" i="6"/>
  <c r="E63" i="6"/>
  <c r="E62" i="6"/>
  <c r="E60" i="6"/>
  <c r="E61" i="6"/>
  <c r="E59" i="6"/>
  <c r="E58" i="6"/>
  <c r="S57" i="6"/>
  <c r="O57" i="6"/>
  <c r="H57" i="6"/>
  <c r="G57" i="6"/>
  <c r="I57" i="6"/>
  <c r="J57" i="6" s="1"/>
  <c r="J56" i="6"/>
  <c r="O56" i="6"/>
  <c r="S56" i="6"/>
  <c r="S55" i="6"/>
  <c r="O55" i="6"/>
  <c r="H55" i="6"/>
  <c r="I54" i="6"/>
  <c r="I53" i="6"/>
  <c r="I52" i="6"/>
  <c r="E54" i="6"/>
  <c r="E53" i="6"/>
  <c r="E52" i="6"/>
  <c r="G54" i="6"/>
  <c r="G53" i="6"/>
  <c r="R47" i="6"/>
  <c r="M46" i="6"/>
  <c r="J46" i="6" s="1"/>
  <c r="R46" i="6"/>
  <c r="J264" i="6"/>
  <c r="J263" i="6"/>
  <c r="J262" i="6"/>
  <c r="J261" i="6"/>
  <c r="J260" i="6"/>
  <c r="J259" i="6"/>
  <c r="J258" i="6"/>
  <c r="J257" i="6"/>
  <c r="J256" i="6"/>
  <c r="J255" i="6"/>
  <c r="J254" i="6"/>
  <c r="J253" i="6"/>
  <c r="J50" i="6"/>
  <c r="J49" i="6"/>
  <c r="I48" i="6"/>
  <c r="J48" i="6" s="1"/>
  <c r="H48" i="6"/>
  <c r="H49" i="6" s="1"/>
  <c r="H92" i="6" l="1"/>
  <c r="M139" i="6"/>
  <c r="S139" i="6" s="1"/>
  <c r="M140" i="6"/>
  <c r="S140" i="6" s="1"/>
  <c r="M141" i="6"/>
  <c r="S141" i="6" s="1"/>
  <c r="R142" i="6"/>
  <c r="S142" i="6" s="1"/>
  <c r="R143" i="6"/>
  <c r="S143" i="6" s="1"/>
  <c r="J91" i="6"/>
  <c r="J93" i="6"/>
  <c r="J94" i="6"/>
  <c r="M47" i="6"/>
  <c r="J47" i="6" s="1"/>
  <c r="S46" i="6"/>
  <c r="H50" i="6"/>
  <c r="O47" i="6"/>
  <c r="O46" i="6"/>
  <c r="G47" i="6"/>
  <c r="J37" i="6"/>
  <c r="J38" i="6"/>
  <c r="J39" i="6"/>
  <c r="J40" i="6"/>
  <c r="J41" i="6"/>
  <c r="J42" i="6"/>
  <c r="J43" i="6"/>
  <c r="J44" i="6"/>
  <c r="J45" i="6"/>
  <c r="J36" i="6"/>
  <c r="O36" i="6"/>
  <c r="O37" i="6"/>
  <c r="O38" i="6"/>
  <c r="O39" i="6"/>
  <c r="O40" i="6"/>
  <c r="O41" i="6"/>
  <c r="O42" i="6"/>
  <c r="O43" i="6"/>
  <c r="O44" i="6"/>
  <c r="O45" i="6"/>
  <c r="S36" i="6"/>
  <c r="S37" i="6"/>
  <c r="S38" i="6"/>
  <c r="S39" i="6"/>
  <c r="S40" i="6"/>
  <c r="S41" i="6"/>
  <c r="S42" i="6"/>
  <c r="S43" i="6"/>
  <c r="S44" i="6"/>
  <c r="S45" i="6"/>
  <c r="S35" i="6"/>
  <c r="O35" i="6"/>
  <c r="Q35" i="6"/>
  <c r="E35" i="6"/>
  <c r="J34" i="6"/>
  <c r="J33" i="6"/>
  <c r="J32" i="6"/>
  <c r="J31" i="6"/>
  <c r="J30" i="6"/>
  <c r="G34" i="6"/>
  <c r="G30" i="6"/>
  <c r="J29" i="6"/>
  <c r="J28" i="6"/>
  <c r="J27" i="6"/>
  <c r="S27" i="6"/>
  <c r="S28" i="6"/>
  <c r="S29" i="6"/>
  <c r="O29" i="6"/>
  <c r="O28" i="6"/>
  <c r="O27" i="6"/>
  <c r="J26" i="6"/>
  <c r="J25" i="6"/>
  <c r="S26" i="6"/>
  <c r="S25" i="6"/>
  <c r="M24" i="6"/>
  <c r="AH24" i="6" s="1"/>
  <c r="M23" i="6"/>
  <c r="AH23" i="6" s="1"/>
  <c r="I24" i="6"/>
  <c r="G23" i="6"/>
  <c r="I23" i="6"/>
  <c r="H22" i="6"/>
  <c r="G22" i="6"/>
  <c r="I20" i="6"/>
  <c r="I21" i="6"/>
  <c r="I19" i="6"/>
  <c r="J17" i="6"/>
  <c r="H17" i="6"/>
  <c r="I18" i="6"/>
  <c r="J18" i="6" s="1"/>
  <c r="H15" i="6"/>
  <c r="I16" i="6"/>
  <c r="H16" i="6" s="1"/>
  <c r="Z16" i="6"/>
  <c r="Z15" i="6"/>
  <c r="J14" i="6"/>
  <c r="J13" i="6"/>
  <c r="J12" i="6"/>
  <c r="H14" i="6"/>
  <c r="H13" i="6"/>
  <c r="H12" i="6"/>
  <c r="J11" i="6"/>
  <c r="G11" i="6"/>
  <c r="Q3" i="6"/>
  <c r="S3" i="6"/>
  <c r="E3" i="6"/>
  <c r="I77" i="7"/>
  <c r="E77" i="7"/>
  <c r="J77" i="7" s="1"/>
  <c r="AG76" i="7"/>
  <c r="AG75" i="7"/>
  <c r="J75" i="7"/>
  <c r="AG74" i="7"/>
  <c r="AF74" i="7"/>
  <c r="E74" i="7"/>
  <c r="I73" i="7"/>
  <c r="J72" i="7"/>
  <c r="I72" i="7"/>
  <c r="I74" i="7" s="1"/>
  <c r="AG71" i="7"/>
  <c r="AF71" i="7"/>
  <c r="E71" i="7"/>
  <c r="I70" i="7"/>
  <c r="J69" i="7"/>
  <c r="I69" i="7"/>
  <c r="I71" i="7" s="1"/>
  <c r="J71" i="7" s="1"/>
  <c r="AG68" i="7"/>
  <c r="AF68" i="7"/>
  <c r="E68" i="7"/>
  <c r="I67" i="7"/>
  <c r="J66" i="7"/>
  <c r="I66" i="7"/>
  <c r="I68" i="7" s="1"/>
  <c r="AG65" i="7"/>
  <c r="X65" i="7"/>
  <c r="I65" i="7"/>
  <c r="E65" i="7"/>
  <c r="J65" i="7" s="1"/>
  <c r="J63" i="7"/>
  <c r="I62" i="7"/>
  <c r="E62" i="7"/>
  <c r="J62" i="7" s="1"/>
  <c r="J60" i="7"/>
  <c r="E59" i="7"/>
  <c r="J57" i="7"/>
  <c r="E56" i="7"/>
  <c r="I55" i="7"/>
  <c r="I54" i="7"/>
  <c r="E53" i="7"/>
  <c r="I52" i="7"/>
  <c r="I51" i="7"/>
  <c r="I53" i="7" s="1"/>
  <c r="E50" i="7"/>
  <c r="I49" i="7"/>
  <c r="I48" i="7"/>
  <c r="I50" i="7" s="1"/>
  <c r="J50" i="7" s="1"/>
  <c r="E47" i="7"/>
  <c r="I46" i="7"/>
  <c r="I45" i="7"/>
  <c r="J45" i="7" s="1"/>
  <c r="E44" i="7"/>
  <c r="I43" i="7"/>
  <c r="J42" i="7"/>
  <c r="I42" i="7"/>
  <c r="I44" i="7" s="1"/>
  <c r="J44" i="7" s="1"/>
  <c r="E41" i="7"/>
  <c r="I40" i="7"/>
  <c r="I39" i="7"/>
  <c r="J39" i="7" s="1"/>
  <c r="AG38" i="7"/>
  <c r="AF38" i="7"/>
  <c r="I38" i="7"/>
  <c r="E38" i="7"/>
  <c r="J38" i="7" s="1"/>
  <c r="AG37" i="7"/>
  <c r="AF37" i="7"/>
  <c r="J37" i="7"/>
  <c r="AG36" i="7"/>
  <c r="AF36" i="7"/>
  <c r="J36" i="7"/>
  <c r="E35" i="7"/>
  <c r="E32" i="7"/>
  <c r="AG29" i="7"/>
  <c r="AF29" i="7"/>
  <c r="X29" i="7"/>
  <c r="J29" i="7"/>
  <c r="I29" i="7"/>
  <c r="E29" i="7"/>
  <c r="AF28" i="7"/>
  <c r="AG28" i="7" s="1"/>
  <c r="AG27" i="7"/>
  <c r="AF27" i="7"/>
  <c r="X27" i="7"/>
  <c r="J27" i="7"/>
  <c r="J25" i="7"/>
  <c r="J246" i="6"/>
  <c r="M7" i="6"/>
  <c r="M6" i="6"/>
  <c r="M5" i="6"/>
  <c r="M4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01" i="6"/>
  <c r="M200" i="6"/>
  <c r="M199" i="6"/>
  <c r="M249" i="6" l="1"/>
  <c r="S47" i="6"/>
  <c r="J23" i="6"/>
  <c r="J24" i="6"/>
  <c r="H18" i="6"/>
  <c r="J53" i="7"/>
  <c r="J68" i="7"/>
  <c r="J74" i="7"/>
  <c r="J48" i="7"/>
  <c r="J51" i="7"/>
  <c r="J47" i="7"/>
  <c r="I41" i="7"/>
  <c r="J41" i="7" s="1"/>
  <c r="I47" i="7"/>
</calcChain>
</file>

<file path=xl/sharedStrings.xml><?xml version="1.0" encoding="utf-8"?>
<sst xmlns="http://schemas.openxmlformats.org/spreadsheetml/2006/main" count="8092" uniqueCount="430">
  <si>
    <t>No.</t>
  </si>
  <si>
    <t>System</t>
  </si>
  <si>
    <t>Phrase</t>
  </si>
  <si>
    <t>Ref</t>
  </si>
  <si>
    <t xml:space="preserve">Usable </t>
  </si>
  <si>
    <t>Reason</t>
  </si>
  <si>
    <t>Data Extracted</t>
  </si>
  <si>
    <t>ST</t>
  </si>
  <si>
    <t>"Septic Tank"</t>
  </si>
  <si>
    <t>N</t>
  </si>
  <si>
    <t>Y</t>
  </si>
  <si>
    <t>~</t>
  </si>
  <si>
    <t>Lohani 15</t>
  </si>
  <si>
    <t>Synthetic</t>
  </si>
  <si>
    <t>Reactor</t>
  </si>
  <si>
    <t>Pretreatment</t>
  </si>
  <si>
    <t>Reactor Volume (m3)</t>
  </si>
  <si>
    <t>Temp (oC)</t>
  </si>
  <si>
    <t>Study Period</t>
  </si>
  <si>
    <t>Vup (m/h)</t>
  </si>
  <si>
    <t>HRT (h)</t>
  </si>
  <si>
    <t>OLR (kg COD  m-3 d-1)</t>
  </si>
  <si>
    <t>Inf TSS</t>
  </si>
  <si>
    <t>Inf TCOD</t>
  </si>
  <si>
    <t xml:space="preserve">Eff TSS (mg/l) </t>
  </si>
  <si>
    <t>TSS R (%)</t>
  </si>
  <si>
    <t>Eff VSS (mg/l)</t>
  </si>
  <si>
    <t>VSS R (%)</t>
  </si>
  <si>
    <t>Eff TCOD (mg/l)</t>
  </si>
  <si>
    <t>TCOD R (%)</t>
  </si>
  <si>
    <t>Eff PCOD (mg/l)</t>
  </si>
  <si>
    <t>PCOD R (%)</t>
  </si>
  <si>
    <t>Sludge Accumulation (m3/PE/yr)</t>
  </si>
  <si>
    <t>Sludge Accumulation Ratio (gCOD / kgCODin)</t>
  </si>
  <si>
    <t>Sludge Accumulation (l sludge/m3 WWT)</t>
  </si>
  <si>
    <t>Sludge Accumulation (l/kg COD)</t>
  </si>
  <si>
    <t>Sludge Accumulation (g accumulated TSS/kg TSS removed)</t>
  </si>
  <si>
    <t>Hydrolysis Rate Constant (day-1)</t>
  </si>
  <si>
    <t>Methane Generation (L/m-3WWT)</t>
  </si>
  <si>
    <t>Methane Generation (gCOD CH4/gCOD in)</t>
  </si>
  <si>
    <t>Methane Generation (L/gCOD in)</t>
  </si>
  <si>
    <t>Methane Generation (L/gCOD removed)</t>
  </si>
  <si>
    <t>Reference</t>
  </si>
  <si>
    <t>-</t>
  </si>
  <si>
    <t>Lohani 15 a</t>
  </si>
  <si>
    <t>"anaerobic pond" or "anaerobic lagoon"</t>
  </si>
  <si>
    <t>UASB</t>
  </si>
  <si>
    <t>Dorji 22</t>
  </si>
  <si>
    <t>Filter</t>
  </si>
  <si>
    <t>Koottatep 20</t>
  </si>
  <si>
    <t>Thermophilic</t>
  </si>
  <si>
    <t>Soedjono 20</t>
  </si>
  <si>
    <t xml:space="preserve">Soil packed </t>
  </si>
  <si>
    <t>Adhikari 19</t>
  </si>
  <si>
    <t>The graphs are bad and leads to doubts on the qualtiy of the work</t>
  </si>
  <si>
    <t>Dos Santos 17</t>
  </si>
  <si>
    <t>Rodriguez-Gomez 16</t>
  </si>
  <si>
    <t>Da Silva 13</t>
  </si>
  <si>
    <t>This is a very good paper for a large group of reactors, not individual performance however</t>
  </si>
  <si>
    <t>Mahmoud 11</t>
  </si>
  <si>
    <t>Moussavi 10</t>
  </si>
  <si>
    <t>Al-Jamal</t>
  </si>
  <si>
    <t>Al-Shayah 08</t>
  </si>
  <si>
    <t>Alvarez 08</t>
  </si>
  <si>
    <t>Samhan 07</t>
  </si>
  <si>
    <t>Luostarinen and Rintala 07</t>
  </si>
  <si>
    <t>Luostarinen 07</t>
  </si>
  <si>
    <t>Ali 07</t>
  </si>
  <si>
    <t>Luostarinen 06</t>
  </si>
  <si>
    <t>Kujawa-Roeleveid 06</t>
  </si>
  <si>
    <t>Kujawa-Roeleveid 05</t>
  </si>
  <si>
    <t xml:space="preserve">Very high strength material </t>
  </si>
  <si>
    <t>Coelho 03</t>
  </si>
  <si>
    <t>Elmitiwalli 03</t>
  </si>
  <si>
    <t>Kalogo 99</t>
  </si>
  <si>
    <t>Bogte 93</t>
  </si>
  <si>
    <t>Dixo 95</t>
  </si>
  <si>
    <t>Insuffient data</t>
  </si>
  <si>
    <t>"upflow anaerobic sludge bed" or UASB</t>
  </si>
  <si>
    <t>Cecconent 22</t>
  </si>
  <si>
    <t>Mora-Cabrera 21</t>
  </si>
  <si>
    <t>Owusu-Agyeman 21</t>
  </si>
  <si>
    <t>Zhang 22</t>
  </si>
  <si>
    <t>Fonseca 22</t>
  </si>
  <si>
    <t>Yadav 22</t>
  </si>
  <si>
    <t>Cecconenet 22 b</t>
  </si>
  <si>
    <t>Zhang 21</t>
  </si>
  <si>
    <t>Never 21</t>
  </si>
  <si>
    <t>Mazhar 21</t>
  </si>
  <si>
    <t>Dohdoh 21</t>
  </si>
  <si>
    <t>Petropoulos 21</t>
  </si>
  <si>
    <t>Ribera-Pi 20</t>
  </si>
  <si>
    <t>Jiraprasertwong 20</t>
  </si>
  <si>
    <t>Melo 21</t>
  </si>
  <si>
    <t>Sinn 20</t>
  </si>
  <si>
    <t>Zhang 20</t>
  </si>
  <si>
    <t>Gao 20</t>
  </si>
  <si>
    <t>Bueno 20</t>
  </si>
  <si>
    <t>Saavedra 19</t>
  </si>
  <si>
    <t>Slompo 19</t>
  </si>
  <si>
    <t>El Khateeb 19</t>
  </si>
  <si>
    <t>Gao 19</t>
  </si>
  <si>
    <t>Bressani-Ribeiro 19</t>
  </si>
  <si>
    <t>Amaral 19</t>
  </si>
  <si>
    <t>Elawwad 19</t>
  </si>
  <si>
    <t>Petropoulos 19</t>
  </si>
  <si>
    <t>Serrano Leon 18</t>
  </si>
  <si>
    <t>Xu 18</t>
  </si>
  <si>
    <t>Cunha 18</t>
  </si>
  <si>
    <t>Dos Santos 18</t>
  </si>
  <si>
    <t>Zhang 18</t>
  </si>
  <si>
    <t>Yang 18</t>
  </si>
  <si>
    <t>Elawwad 17</t>
  </si>
  <si>
    <t>Wasieleswski 16</t>
  </si>
  <si>
    <t>Saliba 17</t>
  </si>
  <si>
    <t>Parihar 17</t>
  </si>
  <si>
    <t>Chatterjee 17</t>
  </si>
  <si>
    <t>Gaur 17</t>
  </si>
  <si>
    <t>Vieira 86</t>
  </si>
  <si>
    <t>Barbosa 89</t>
  </si>
  <si>
    <t>Snaz 89</t>
  </si>
  <si>
    <t>Schellinkhout 92</t>
  </si>
  <si>
    <t xml:space="preserve">Vieira 92 </t>
  </si>
  <si>
    <t>Van der Laast 92</t>
  </si>
  <si>
    <t>Drannijier 92</t>
  </si>
  <si>
    <t>Schellinkhout 93</t>
  </si>
  <si>
    <t>Lettinga 93</t>
  </si>
  <si>
    <t>Vieira 94</t>
  </si>
  <si>
    <t>Sayed 95</t>
  </si>
  <si>
    <t>Behling 97</t>
  </si>
  <si>
    <t>Singh 97</t>
  </si>
  <si>
    <t>Goncalves 98</t>
  </si>
  <si>
    <t>Ruiz 98</t>
  </si>
  <si>
    <t>Chernicharo 98</t>
  </si>
  <si>
    <t>Elmitiwalli 99</t>
  </si>
  <si>
    <t>El Gohary 99</t>
  </si>
  <si>
    <t>Chericharo 99</t>
  </si>
  <si>
    <t>Singh 99</t>
  </si>
  <si>
    <t>Machar 00</t>
  </si>
  <si>
    <t>Uemura 00</t>
  </si>
  <si>
    <t>Wiegant 01</t>
  </si>
  <si>
    <t>Tores 01</t>
  </si>
  <si>
    <t>Chernicharo 01</t>
  </si>
  <si>
    <t>Florencio 01</t>
  </si>
  <si>
    <t>Singh 01</t>
  </si>
  <si>
    <t>Singh 03</t>
  </si>
  <si>
    <t>Lew 03</t>
  </si>
  <si>
    <t>Alvarez 04</t>
  </si>
  <si>
    <t>Lew 04</t>
  </si>
  <si>
    <t>Mahmoud 04</t>
  </si>
  <si>
    <t>Halalsheh 04</t>
  </si>
  <si>
    <t>Tandukar 05</t>
  </si>
  <si>
    <t>Leitao 05</t>
  </si>
  <si>
    <t>Pena 06</t>
  </si>
  <si>
    <t>Tandukar 07</t>
  </si>
  <si>
    <t>Tawfik 06</t>
  </si>
  <si>
    <t>Banu 07</t>
  </si>
  <si>
    <t>Sumino 07</t>
  </si>
  <si>
    <t>El Shafai 07</t>
  </si>
  <si>
    <t>Motta 07</t>
  </si>
  <si>
    <t>Ruiz 08</t>
  </si>
  <si>
    <t>Yilmaz 08</t>
  </si>
  <si>
    <t>Motta 08</t>
  </si>
  <si>
    <t>Mahmoud 08</t>
  </si>
  <si>
    <t>Tawfik 08</t>
  </si>
  <si>
    <t>Mahmoud 08 b</t>
  </si>
  <si>
    <t>Cao 09</t>
  </si>
  <si>
    <t>Aquino 09</t>
  </si>
  <si>
    <t>Singh 09</t>
  </si>
  <si>
    <t>Moawad 09</t>
  </si>
  <si>
    <t>Almeida 09</t>
  </si>
  <si>
    <t>Das 09</t>
  </si>
  <si>
    <t>Alrajoula 09</t>
  </si>
  <si>
    <t>Leitao 09</t>
  </si>
  <si>
    <t xml:space="preserve">Halalsheh 10 </t>
  </si>
  <si>
    <t>Asada 10</t>
  </si>
  <si>
    <t>Tawfik 10</t>
  </si>
  <si>
    <t>De Graff 10</t>
  </si>
  <si>
    <t>Sawajneh 10</t>
  </si>
  <si>
    <t>Isik 10</t>
  </si>
  <si>
    <t>Abou-Elela 11</t>
  </si>
  <si>
    <t>Nada 11</t>
  </si>
  <si>
    <t>Hazrati 11</t>
  </si>
  <si>
    <t>Pontes 11</t>
  </si>
  <si>
    <t>Takahashi 11</t>
  </si>
  <si>
    <t>Heffernan 11</t>
  </si>
  <si>
    <t>Turkdogan-Aydinol 11</t>
  </si>
  <si>
    <t>Lew 11</t>
  </si>
  <si>
    <t>Turkdogan-Aydinol 11 b</t>
  </si>
  <si>
    <t>Takahashi 11 b</t>
  </si>
  <si>
    <t>Gallagher 11</t>
  </si>
  <si>
    <t>Syutsubo 11</t>
  </si>
  <si>
    <t>Mohaptra 12</t>
  </si>
  <si>
    <t>El-khaateeb 12</t>
  </si>
  <si>
    <t>Zhang 12</t>
  </si>
  <si>
    <t>Yadav 13</t>
  </si>
  <si>
    <t>Liu 13</t>
  </si>
  <si>
    <t>Raboni 14</t>
  </si>
  <si>
    <t>Das 15</t>
  </si>
  <si>
    <t>Syafrudin 15</t>
  </si>
  <si>
    <t>Ozgun 15</t>
  </si>
  <si>
    <t>Von Sperling 15</t>
  </si>
  <si>
    <t>UASB - Lamella</t>
  </si>
  <si>
    <t>0.76 (gTS/m3 WWT)</t>
  </si>
  <si>
    <t>Halalsheh 10</t>
  </si>
  <si>
    <t>0.63 (gTS/m3 WWT)</t>
  </si>
  <si>
    <t>75-80 (BOD)</t>
  </si>
  <si>
    <t>Monroy 00</t>
  </si>
  <si>
    <t>80-85 (BOD)</t>
  </si>
  <si>
    <t>Two Stage UASB</t>
  </si>
  <si>
    <t>Sand and Grease Removal</t>
  </si>
  <si>
    <t>45.9 (25.5,20.4)</t>
  </si>
  <si>
    <t>26.6 (3.5, 23.1)</t>
  </si>
  <si>
    <t>gVSS</t>
  </si>
  <si>
    <t>16.9 (3, 13.9)</t>
  </si>
  <si>
    <t>9.3 (2.8, 9.3)</t>
  </si>
  <si>
    <t>14.3 (5, 9.3)</t>
  </si>
  <si>
    <t>17.3 (5.7, 11.6)</t>
  </si>
  <si>
    <t>Coarse screen and Grit Chamber</t>
  </si>
  <si>
    <t>96 (60, 36)</t>
  </si>
  <si>
    <t>13 - 16</t>
  </si>
  <si>
    <t>Halalsheh 05</t>
  </si>
  <si>
    <t>UASB-AnMBR</t>
  </si>
  <si>
    <t>0.16(0.15)</t>
  </si>
  <si>
    <t>17.1 (-)</t>
  </si>
  <si>
    <t>Gouveia 15</t>
  </si>
  <si>
    <t>16.1 (-)</t>
  </si>
  <si>
    <t>14.1 (-)</t>
  </si>
  <si>
    <t>13.2 (-)</t>
  </si>
  <si>
    <t>13 (-)</t>
  </si>
  <si>
    <t>11.2 (-)</t>
  </si>
  <si>
    <t>13.4 (-)</t>
  </si>
  <si>
    <t>10 (-)</t>
  </si>
  <si>
    <t>7.6 (-)</t>
  </si>
  <si>
    <t>7 (-)</t>
  </si>
  <si>
    <t>Herrera-Robledo 11</t>
  </si>
  <si>
    <t>UASBDigester</t>
  </si>
  <si>
    <t>Screened &lt;3mm</t>
  </si>
  <si>
    <t xml:space="preserve">Xu et al. 18 </t>
  </si>
  <si>
    <t>Digester</t>
  </si>
  <si>
    <t>Overall</t>
  </si>
  <si>
    <t>47 (gCOD/gCODin)</t>
  </si>
  <si>
    <t>18 (gCOD/gCODin)</t>
  </si>
  <si>
    <t>11-13</t>
  </si>
  <si>
    <t>1 (l/d)</t>
  </si>
  <si>
    <t>Zhang 13</t>
  </si>
  <si>
    <t>UASB,glucose added as co-substrate</t>
  </si>
  <si>
    <t>100*</t>
  </si>
  <si>
    <t>0.03 (0.02)</t>
  </si>
  <si>
    <t>0.06 (0.04)</t>
  </si>
  <si>
    <t>0.9 (gCOD/gCODin)</t>
  </si>
  <si>
    <t>H% and M% are graphical</t>
  </si>
  <si>
    <t>Al Jamal 09</t>
  </si>
  <si>
    <t>Grit Screened</t>
  </si>
  <si>
    <t>Perfect for Hydro calcs!</t>
  </si>
  <si>
    <t>Insufficent Info</t>
  </si>
  <si>
    <t>Luostarien 07</t>
  </si>
  <si>
    <t>14-19</t>
  </si>
  <si>
    <t>5-13</t>
  </si>
  <si>
    <t>14-17</t>
  </si>
  <si>
    <t xml:space="preserve">Vacuum toilet not considered as too strong influent </t>
  </si>
  <si>
    <t>BLACKWATER</t>
  </si>
  <si>
    <t>Insufficent reactor details</t>
  </si>
  <si>
    <t>Blackwater</t>
  </si>
  <si>
    <t>70-75</t>
  </si>
  <si>
    <t>75-80</t>
  </si>
  <si>
    <t>There is a discussion of hydrolysis and fill rate</t>
  </si>
  <si>
    <t>UASB Digester</t>
  </si>
  <si>
    <t>Methane Generation (L/m-3WWT )</t>
  </si>
  <si>
    <t>SCOD only</t>
  </si>
  <si>
    <t>Does state the lCH4 m-3WWT for a reactor</t>
  </si>
  <si>
    <t>Black water</t>
  </si>
  <si>
    <t>Cecconet 22</t>
  </si>
  <si>
    <t>Screen</t>
  </si>
  <si>
    <t>Vacuum Toielt</t>
  </si>
  <si>
    <t>Hybrid UASB</t>
  </si>
  <si>
    <t>Study period is available I just don’t care</t>
  </si>
  <si>
    <t>17 - 29</t>
  </si>
  <si>
    <t>Conv</t>
  </si>
  <si>
    <t>T1</t>
  </si>
  <si>
    <t>T2</t>
  </si>
  <si>
    <t>T3</t>
  </si>
  <si>
    <t>S1</t>
  </si>
  <si>
    <t>S2</t>
  </si>
  <si>
    <t>S3</t>
  </si>
  <si>
    <t>Ry</t>
  </si>
  <si>
    <t>Insufficnet data</t>
  </si>
  <si>
    <t>But there is some interest</t>
  </si>
  <si>
    <t>Does also do H%</t>
  </si>
  <si>
    <t>Wrong Feed</t>
  </si>
  <si>
    <t>10 - 14</t>
  </si>
  <si>
    <t>0.4 - 0.5</t>
  </si>
  <si>
    <t>23.5 - 28.5</t>
  </si>
  <si>
    <t>1.2- 1.8</t>
  </si>
  <si>
    <t>Sinn and Lackner 20</t>
  </si>
  <si>
    <t>16-35</t>
  </si>
  <si>
    <t>Grease trap</t>
  </si>
  <si>
    <t>Screen and grease trap</t>
  </si>
  <si>
    <t>This reactor had a stirrer</t>
  </si>
  <si>
    <t>UASB - Packed Bed</t>
  </si>
  <si>
    <t>UASB - Modified</t>
  </si>
  <si>
    <t>A little discussion on the biomass</t>
  </si>
  <si>
    <t>Not enough operational data</t>
  </si>
  <si>
    <t>But this is a great source for operational issues</t>
  </si>
  <si>
    <t>15-30</t>
  </si>
  <si>
    <t>Elwwad 19</t>
  </si>
  <si>
    <t>See other tab</t>
  </si>
  <si>
    <t>0.8*</t>
  </si>
  <si>
    <t>*non contious flow to maintain 0.8</t>
  </si>
  <si>
    <t>H%</t>
  </si>
  <si>
    <t>Vacuum Toilet</t>
  </si>
  <si>
    <t>This paper needs further analysis is complicated</t>
  </si>
  <si>
    <t>wrong feed</t>
  </si>
  <si>
    <t>with and without sludge cycling</t>
  </si>
  <si>
    <t>Sludge Removed</t>
  </si>
  <si>
    <t>l/d</t>
  </si>
  <si>
    <t>Conc</t>
  </si>
  <si>
    <t>mg/l</t>
  </si>
  <si>
    <t>Grit and Grease</t>
  </si>
  <si>
    <t>Double check for sludge accumulation stuff</t>
  </si>
  <si>
    <t>26-29</t>
  </si>
  <si>
    <t>18-23</t>
  </si>
  <si>
    <t>18-28</t>
  </si>
  <si>
    <t>18kgTSS PE-1 m-3</t>
  </si>
  <si>
    <t>This also has a good table of old work!</t>
  </si>
  <si>
    <t>Sanz 89</t>
  </si>
  <si>
    <t>Insufficent reactor details (only v and HRT)</t>
  </si>
  <si>
    <t>Dia = 5.2</t>
  </si>
  <si>
    <t>Vieira 92</t>
  </si>
  <si>
    <t>EGSB</t>
  </si>
  <si>
    <t>20-30</t>
  </si>
  <si>
    <t>Drannijer 92</t>
  </si>
  <si>
    <t>Insufficent influent data</t>
  </si>
  <si>
    <t>5-6</t>
  </si>
  <si>
    <t>67-81</t>
  </si>
  <si>
    <t>55-75</t>
  </si>
  <si>
    <t>0.4-0.6 kg TSS/kgTSSin</t>
  </si>
  <si>
    <t>200-300</t>
  </si>
  <si>
    <t>24-26</t>
  </si>
  <si>
    <t>16-23</t>
  </si>
  <si>
    <t>Graphical unreadable data</t>
  </si>
  <si>
    <t>Insufficent data</t>
  </si>
  <si>
    <t>There is a little graphical sludge data</t>
  </si>
  <si>
    <t>Reactor has a mixer in it</t>
  </si>
  <si>
    <t>Methane is largely still disolved!</t>
  </si>
  <si>
    <t>The operation is all over the place</t>
  </si>
  <si>
    <t>Good data, no temp</t>
  </si>
  <si>
    <t>Got a table of old low temp UASBs</t>
  </si>
  <si>
    <t>Pre settled</t>
  </si>
  <si>
    <t>No temp</t>
  </si>
  <si>
    <t>Data is a mess again</t>
  </si>
  <si>
    <t>Torres 01</t>
  </si>
  <si>
    <t>Data on kinetics</t>
  </si>
  <si>
    <t>Possible</t>
  </si>
  <si>
    <t>23-27</t>
  </si>
  <si>
    <t>0.19-0.22</t>
  </si>
  <si>
    <t>1.4-1.6</t>
  </si>
  <si>
    <t>Halasheh 04</t>
  </si>
  <si>
    <t>20-25</t>
  </si>
  <si>
    <t>21-25</t>
  </si>
  <si>
    <t>Tandukar 07 a</t>
  </si>
  <si>
    <t>Potential</t>
  </si>
  <si>
    <t>Grit</t>
  </si>
  <si>
    <t>9-32</t>
  </si>
  <si>
    <t>Tandukar 07b</t>
  </si>
  <si>
    <t>Performance</t>
  </si>
  <si>
    <t>25-31</t>
  </si>
  <si>
    <t>12.5-19</t>
  </si>
  <si>
    <t>Motta 07, 08</t>
  </si>
  <si>
    <t>Combined both paper to do hydro calcs</t>
  </si>
  <si>
    <t>See 07</t>
  </si>
  <si>
    <t>UASD-Digester</t>
  </si>
  <si>
    <t>Insufficent operational</t>
  </si>
  <si>
    <t>Great info on sludge accumulation</t>
  </si>
  <si>
    <t>Two stage system</t>
  </si>
  <si>
    <t>Insufficient reactor detials</t>
  </si>
  <si>
    <t>Include Leitao 09</t>
  </si>
  <si>
    <t>See leitao 09</t>
  </si>
  <si>
    <t>22-35</t>
  </si>
  <si>
    <t>Vacuum Toilets</t>
  </si>
  <si>
    <t>Second stage, post AF</t>
  </si>
  <si>
    <t>17-35</t>
  </si>
  <si>
    <t>Screen and Grit</t>
  </si>
  <si>
    <t>But has a COD balance</t>
  </si>
  <si>
    <t>No wrong feed</t>
  </si>
  <si>
    <t>wrong reactor type</t>
  </si>
  <si>
    <t>But intesting large scale reactors</t>
  </si>
  <si>
    <t>Messy data</t>
  </si>
  <si>
    <t>UASB digester</t>
  </si>
  <si>
    <t>Enzyme addition</t>
  </si>
  <si>
    <t>UASB - Enzyme addition</t>
  </si>
  <si>
    <t>Screened</t>
  </si>
  <si>
    <t>10.6-27.7</t>
  </si>
  <si>
    <t>16-29</t>
  </si>
  <si>
    <t>Mohapatra 12</t>
  </si>
  <si>
    <t>UASB - Filter</t>
  </si>
  <si>
    <t>24-28</t>
  </si>
  <si>
    <t>21-23</t>
  </si>
  <si>
    <t xml:space="preserve">Has a bit on sludge </t>
  </si>
  <si>
    <t>Has a bit on sludge</t>
  </si>
  <si>
    <t>Q</t>
  </si>
  <si>
    <t>R</t>
  </si>
  <si>
    <t>Qs</t>
  </si>
  <si>
    <t>TSSs</t>
  </si>
  <si>
    <t>TSSi</t>
  </si>
  <si>
    <t>Vs</t>
  </si>
  <si>
    <t>k</t>
  </si>
  <si>
    <t>fb</t>
  </si>
  <si>
    <t>a</t>
  </si>
  <si>
    <t>Numerator</t>
  </si>
  <si>
    <t>Denominator</t>
  </si>
  <si>
    <t>kh</t>
  </si>
  <si>
    <t>I know the amount of sludge waste per day</t>
  </si>
  <si>
    <t>0.4 kg TSS / TSSin</t>
  </si>
  <si>
    <t>There is a discussion on the amount of solids removed by  hydrolysis</t>
  </si>
  <si>
    <t>Median</t>
  </si>
  <si>
    <t>min</t>
  </si>
  <si>
    <t>max</t>
  </si>
  <si>
    <t>HRT=4h</t>
  </si>
  <si>
    <t>HRT=6h</t>
  </si>
  <si>
    <t>HRT=8h</t>
  </si>
  <si>
    <t>HRT=24h</t>
  </si>
  <si>
    <t>Blocks</t>
  </si>
  <si>
    <t>Connections</t>
  </si>
  <si>
    <t>Complexity</t>
  </si>
  <si>
    <t>Including all sampling ports</t>
  </si>
  <si>
    <t>Excluding sampling port not required for operation (e.g. sludge disposal port is required)</t>
  </si>
  <si>
    <t>Connection Types</t>
  </si>
  <si>
    <t>EFF SCOD</t>
  </si>
  <si>
    <t>SCOD R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</si>
</sst>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8" x14ac:knownFonts="1"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</font>
    <font>
      <sz val="11"/>
      <color theme="8"/>
      <name val="Arial"/>
      <family val="2"/>
    </font>
    <font>
      <sz val="11"/>
      <color theme="4"/>
      <name val="Calibri"/>
      <family val="2"/>
      <scheme val="minor"/>
    </font>
    <font>
      <sz val="11"/>
      <color theme="4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0" fontId="0" fillId="0" borderId="0" xfId="0" applyAlignment="1">
      <alignment wrapText="1"/>
    </xf>
    <xf numFmtId="0" fontId="2" fillId="0" borderId="0" xfId="0" quotePrefix="1" applyFont="1"/>
    <xf numFmtId="1" fontId="0" fillId="0" borderId="0" xfId="0" applyNumberFormat="1" applyAlignment="1">
      <alignment wrapText="1"/>
    </xf>
    <xf numFmtId="1" fontId="2" fillId="0" borderId="0" xfId="0" applyNumberFormat="1" applyFont="1"/>
    <xf numFmtId="2" fontId="2" fillId="0" borderId="0" xfId="0" applyNumberFormat="1" applyFont="1"/>
    <xf numFmtId="1" fontId="0" fillId="0" borderId="0" xfId="0" applyNumberFormat="1"/>
    <xf numFmtId="0" fontId="2" fillId="2" borderId="0" xfId="0" applyFont="1" applyFill="1"/>
    <xf numFmtId="1" fontId="0" fillId="2" borderId="0" xfId="0" applyNumberFormat="1" applyFill="1"/>
    <xf numFmtId="165" fontId="2" fillId="0" borderId="0" xfId="0" applyNumberFormat="1" applyFont="1"/>
    <xf numFmtId="2" fontId="0" fillId="0" borderId="0" xfId="0" applyNumberFormat="1"/>
    <xf numFmtId="0" fontId="2" fillId="0" borderId="0" xfId="0" applyFont="1" applyAlignment="1">
      <alignment horizontal="center"/>
    </xf>
    <xf numFmtId="0" fontId="2" fillId="2" borderId="0" xfId="0" quotePrefix="1" applyFont="1" applyFill="1"/>
    <xf numFmtId="165" fontId="2" fillId="2" borderId="0" xfId="0" applyNumberFormat="1" applyFont="1" applyFill="1"/>
    <xf numFmtId="165" fontId="0" fillId="0" borderId="0" xfId="0" applyNumberFormat="1"/>
    <xf numFmtId="165" fontId="1" fillId="0" borderId="0" xfId="0" applyNumberFormat="1" applyFont="1"/>
    <xf numFmtId="17" fontId="0" fillId="0" borderId="0" xfId="0" quotePrefix="1" applyNumberFormat="1" applyAlignment="1">
      <alignment horizontal="right"/>
    </xf>
    <xf numFmtId="164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quotePrefix="1"/>
    <xf numFmtId="0" fontId="3" fillId="0" borderId="0" xfId="0" applyFont="1"/>
    <xf numFmtId="164" fontId="2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7" fontId="0" fillId="0" borderId="0" xfId="0" quotePrefix="1" applyNumberFormat="1"/>
    <xf numFmtId="166" fontId="0" fillId="0" borderId="0" xfId="0" applyNumberFormat="1"/>
    <xf numFmtId="16" fontId="0" fillId="0" borderId="0" xfId="0" quotePrefix="1" applyNumberFormat="1"/>
    <xf numFmtId="0" fontId="0" fillId="3" borderId="0" xfId="0" applyFill="1"/>
    <xf numFmtId="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0" borderId="0" xfId="0" applyFill="1"/>
    <xf numFmtId="1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0" xfId="0" applyFill="1" applyAlignment="1"/>
    <xf numFmtId="1" fontId="0" fillId="0" borderId="0" xfId="0" applyNumberFormat="1" applyFill="1" applyAlignment="1">
      <alignment horizontal="right"/>
    </xf>
    <xf numFmtId="1" fontId="0" fillId="0" borderId="0" xfId="0" applyNumberFormat="1" applyFill="1" applyAlignment="1"/>
    <xf numFmtId="1" fontId="2" fillId="0" borderId="0" xfId="0" applyNumberFormat="1" applyFont="1" applyFill="1"/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Analysis!$Z$2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Analysis!$Y$3:$Y$236</c:f>
              <c:numCache>
                <c:formatCode>General</c:formatCode>
                <c:ptCount val="234"/>
                <c:pt idx="0">
                  <c:v>7.1</c:v>
                </c:pt>
                <c:pt idx="1">
                  <c:v>9</c:v>
                </c:pt>
                <c:pt idx="2">
                  <c:v>9</c:v>
                </c:pt>
                <c:pt idx="3">
                  <c:v>10.3</c:v>
                </c:pt>
                <c:pt idx="4">
                  <c:v>12</c:v>
                </c:pt>
                <c:pt idx="5">
                  <c:v>12</c:v>
                </c:pt>
                <c:pt idx="6">
                  <c:v>12.7</c:v>
                </c:pt>
                <c:pt idx="7">
                  <c:v>12.9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13.6</c:v>
                </c:pt>
                <c:pt idx="16">
                  <c:v>13.7</c:v>
                </c:pt>
                <c:pt idx="17">
                  <c:v>13.8</c:v>
                </c:pt>
                <c:pt idx="18">
                  <c:v>14.4</c:v>
                </c:pt>
                <c:pt idx="19">
                  <c:v>14.7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15.75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16.399999999999999</c:v>
                </c:pt>
                <c:pt idx="41">
                  <c:v>16.399999999999999</c:v>
                </c:pt>
                <c:pt idx="42">
                  <c:v>16.5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18.5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19.149999999999999</c:v>
                </c:pt>
                <c:pt idx="68">
                  <c:v>19.5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20.5</c:v>
                </c:pt>
                <c:pt idx="95">
                  <c:v>20.5</c:v>
                </c:pt>
                <c:pt idx="96">
                  <c:v>20.5</c:v>
                </c:pt>
                <c:pt idx="97">
                  <c:v>20.5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21</c:v>
                </c:pt>
                <c:pt idx="102">
                  <c:v>22</c:v>
                </c:pt>
                <c:pt idx="103">
                  <c:v>22</c:v>
                </c:pt>
                <c:pt idx="104">
                  <c:v>22</c:v>
                </c:pt>
                <c:pt idx="105">
                  <c:v>22</c:v>
                </c:pt>
                <c:pt idx="106">
                  <c:v>22</c:v>
                </c:pt>
                <c:pt idx="107">
                  <c:v>22</c:v>
                </c:pt>
                <c:pt idx="108">
                  <c:v>22</c:v>
                </c:pt>
                <c:pt idx="109">
                  <c:v>22</c:v>
                </c:pt>
                <c:pt idx="110">
                  <c:v>22</c:v>
                </c:pt>
                <c:pt idx="111">
                  <c:v>22.5</c:v>
                </c:pt>
                <c:pt idx="112">
                  <c:v>22.5</c:v>
                </c:pt>
                <c:pt idx="113">
                  <c:v>22.5</c:v>
                </c:pt>
                <c:pt idx="114">
                  <c:v>22.5</c:v>
                </c:pt>
                <c:pt idx="115">
                  <c:v>22.7</c:v>
                </c:pt>
                <c:pt idx="116">
                  <c:v>22.7</c:v>
                </c:pt>
                <c:pt idx="117">
                  <c:v>23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23</c:v>
                </c:pt>
                <c:pt idx="123">
                  <c:v>23</c:v>
                </c:pt>
                <c:pt idx="124">
                  <c:v>23</c:v>
                </c:pt>
                <c:pt idx="125">
                  <c:v>23</c:v>
                </c:pt>
                <c:pt idx="126">
                  <c:v>23</c:v>
                </c:pt>
                <c:pt idx="127">
                  <c:v>23</c:v>
                </c:pt>
                <c:pt idx="128">
                  <c:v>23</c:v>
                </c:pt>
                <c:pt idx="129">
                  <c:v>23</c:v>
                </c:pt>
                <c:pt idx="130">
                  <c:v>23</c:v>
                </c:pt>
                <c:pt idx="131">
                  <c:v>23</c:v>
                </c:pt>
                <c:pt idx="132">
                  <c:v>23</c:v>
                </c:pt>
                <c:pt idx="133">
                  <c:v>24</c:v>
                </c:pt>
                <c:pt idx="134">
                  <c:v>24</c:v>
                </c:pt>
                <c:pt idx="135">
                  <c:v>24.3</c:v>
                </c:pt>
                <c:pt idx="136">
                  <c:v>24.3</c:v>
                </c:pt>
                <c:pt idx="137">
                  <c:v>25</c:v>
                </c:pt>
                <c:pt idx="138">
                  <c:v>25</c:v>
                </c:pt>
                <c:pt idx="139">
                  <c:v>25</c:v>
                </c:pt>
                <c:pt idx="140">
                  <c:v>25</c:v>
                </c:pt>
                <c:pt idx="141">
                  <c:v>25</c:v>
                </c:pt>
                <c:pt idx="142">
                  <c:v>25</c:v>
                </c:pt>
                <c:pt idx="143">
                  <c:v>25</c:v>
                </c:pt>
                <c:pt idx="144">
                  <c:v>25</c:v>
                </c:pt>
                <c:pt idx="145">
                  <c:v>25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25</c:v>
                </c:pt>
                <c:pt idx="151">
                  <c:v>25</c:v>
                </c:pt>
                <c:pt idx="152">
                  <c:v>25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25</c:v>
                </c:pt>
                <c:pt idx="158">
                  <c:v>25</c:v>
                </c:pt>
                <c:pt idx="159">
                  <c:v>25</c:v>
                </c:pt>
                <c:pt idx="160">
                  <c:v>25</c:v>
                </c:pt>
                <c:pt idx="161">
                  <c:v>25</c:v>
                </c:pt>
                <c:pt idx="162">
                  <c:v>25</c:v>
                </c:pt>
                <c:pt idx="163">
                  <c:v>25</c:v>
                </c:pt>
                <c:pt idx="164">
                  <c:v>25.5</c:v>
                </c:pt>
                <c:pt idx="165">
                  <c:v>25.5</c:v>
                </c:pt>
                <c:pt idx="166">
                  <c:v>25.5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26</c:v>
                </c:pt>
                <c:pt idx="176">
                  <c:v>26</c:v>
                </c:pt>
                <c:pt idx="177">
                  <c:v>26</c:v>
                </c:pt>
                <c:pt idx="178">
                  <c:v>26</c:v>
                </c:pt>
                <c:pt idx="179">
                  <c:v>26</c:v>
                </c:pt>
                <c:pt idx="180">
                  <c:v>26</c:v>
                </c:pt>
                <c:pt idx="181">
                  <c:v>26.5</c:v>
                </c:pt>
                <c:pt idx="182">
                  <c:v>26.5</c:v>
                </c:pt>
                <c:pt idx="183">
                  <c:v>27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27</c:v>
                </c:pt>
                <c:pt idx="189">
                  <c:v>27</c:v>
                </c:pt>
                <c:pt idx="190">
                  <c:v>27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27</c:v>
                </c:pt>
                <c:pt idx="198">
                  <c:v>27</c:v>
                </c:pt>
                <c:pt idx="199">
                  <c:v>27</c:v>
                </c:pt>
                <c:pt idx="200">
                  <c:v>27.3</c:v>
                </c:pt>
                <c:pt idx="201">
                  <c:v>27.4</c:v>
                </c:pt>
                <c:pt idx="202">
                  <c:v>27.4</c:v>
                </c:pt>
                <c:pt idx="203">
                  <c:v>27.4</c:v>
                </c:pt>
                <c:pt idx="204">
                  <c:v>27.9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</c:v>
                </c:pt>
                <c:pt idx="209">
                  <c:v>28.1</c:v>
                </c:pt>
                <c:pt idx="210">
                  <c:v>28.5</c:v>
                </c:pt>
                <c:pt idx="211">
                  <c:v>28.5</c:v>
                </c:pt>
                <c:pt idx="212">
                  <c:v>28.5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30</c:v>
                </c:pt>
                <c:pt idx="217">
                  <c:v>31</c:v>
                </c:pt>
                <c:pt idx="218">
                  <c:v>31</c:v>
                </c:pt>
                <c:pt idx="219">
                  <c:v>31</c:v>
                </c:pt>
                <c:pt idx="220">
                  <c:v>31</c:v>
                </c:pt>
                <c:pt idx="221">
                  <c:v>31.5</c:v>
                </c:pt>
                <c:pt idx="222">
                  <c:v>32</c:v>
                </c:pt>
                <c:pt idx="223">
                  <c:v>32</c:v>
                </c:pt>
                <c:pt idx="224">
                  <c:v>33</c:v>
                </c:pt>
                <c:pt idx="225">
                  <c:v>33</c:v>
                </c:pt>
                <c:pt idx="226">
                  <c:v>34</c:v>
                </c:pt>
                <c:pt idx="227">
                  <c:v>35</c:v>
                </c:pt>
                <c:pt idx="228">
                  <c:v>35</c:v>
                </c:pt>
                <c:pt idx="229">
                  <c:v>35</c:v>
                </c:pt>
                <c:pt idx="230">
                  <c:v>35</c:v>
                </c:pt>
                <c:pt idx="231">
                  <c:v>35</c:v>
                </c:pt>
                <c:pt idx="232">
                  <c:v>35</c:v>
                </c:pt>
                <c:pt idx="233">
                  <c:v>35</c:v>
                </c:pt>
              </c:numCache>
            </c:numRef>
          </c:xVal>
          <c:yVal>
            <c:numRef>
              <c:f>Analysis!$Z$3:$Z$236</c:f>
              <c:numCache>
                <c:formatCode>General</c:formatCode>
                <c:ptCount val="234"/>
                <c:pt idx="0">
                  <c:v>33.14037626628074</c:v>
                </c:pt>
                <c:pt idx="1">
                  <c:v>43.916570104287374</c:v>
                </c:pt>
                <c:pt idx="2">
                  <c:v>65</c:v>
                </c:pt>
                <c:pt idx="3">
                  <c:v>35.311143270622274</c:v>
                </c:pt>
                <c:pt idx="4">
                  <c:v>70.428571428571431</c:v>
                </c:pt>
                <c:pt idx="5">
                  <c:v>71.142857142857139</c:v>
                </c:pt>
                <c:pt idx="6">
                  <c:v>40.25</c:v>
                </c:pt>
                <c:pt idx="7">
                  <c:v>3.8367844092570031</c:v>
                </c:pt>
                <c:pt idx="8">
                  <c:v>64</c:v>
                </c:pt>
                <c:pt idx="9">
                  <c:v>59</c:v>
                </c:pt>
                <c:pt idx="10">
                  <c:v>48.113207547169814</c:v>
                </c:pt>
                <c:pt idx="11">
                  <c:v>57</c:v>
                </c:pt>
                <c:pt idx="12">
                  <c:v>59</c:v>
                </c:pt>
                <c:pt idx="13">
                  <c:v>60</c:v>
                </c:pt>
                <c:pt idx="14">
                  <c:v>79.7</c:v>
                </c:pt>
                <c:pt idx="15">
                  <c:v>26.642335766423358</c:v>
                </c:pt>
                <c:pt idx="16">
                  <c:v>44.508670520231213</c:v>
                </c:pt>
                <c:pt idx="17">
                  <c:v>31.290983606557376</c:v>
                </c:pt>
                <c:pt idx="18">
                  <c:v>39.814814814814817</c:v>
                </c:pt>
                <c:pt idx="19">
                  <c:v>39.726027397260275</c:v>
                </c:pt>
                <c:pt idx="20">
                  <c:v>45.908460471567267</c:v>
                </c:pt>
                <c:pt idx="21">
                  <c:v>68.099999999999994</c:v>
                </c:pt>
                <c:pt idx="22">
                  <c:v>68.5</c:v>
                </c:pt>
                <c:pt idx="23">
                  <c:v>79.3</c:v>
                </c:pt>
                <c:pt idx="24">
                  <c:v>61</c:v>
                </c:pt>
                <c:pt idx="25">
                  <c:v>70</c:v>
                </c:pt>
                <c:pt idx="26">
                  <c:v>70.3</c:v>
                </c:pt>
                <c:pt idx="27">
                  <c:v>53.2</c:v>
                </c:pt>
                <c:pt idx="28">
                  <c:v>63.7</c:v>
                </c:pt>
                <c:pt idx="29">
                  <c:v>68.8</c:v>
                </c:pt>
                <c:pt idx="30">
                  <c:v>82.5</c:v>
                </c:pt>
                <c:pt idx="31">
                  <c:v>26</c:v>
                </c:pt>
                <c:pt idx="32">
                  <c:v>50.1</c:v>
                </c:pt>
                <c:pt idx="33">
                  <c:v>82.5</c:v>
                </c:pt>
                <c:pt idx="34">
                  <c:v>45.9</c:v>
                </c:pt>
                <c:pt idx="35">
                  <c:v>70.493685419058551</c:v>
                </c:pt>
                <c:pt idx="36">
                  <c:v>71</c:v>
                </c:pt>
                <c:pt idx="37">
                  <c:v>70</c:v>
                </c:pt>
                <c:pt idx="38">
                  <c:v>50</c:v>
                </c:pt>
                <c:pt idx="39">
                  <c:v>33</c:v>
                </c:pt>
                <c:pt idx="40">
                  <c:v>38</c:v>
                </c:pt>
                <c:pt idx="41">
                  <c:v>41</c:v>
                </c:pt>
                <c:pt idx="42">
                  <c:v>70</c:v>
                </c:pt>
                <c:pt idx="43">
                  <c:v>69.135802469135797</c:v>
                </c:pt>
                <c:pt idx="44">
                  <c:v>72.663139329805986</c:v>
                </c:pt>
                <c:pt idx="45">
                  <c:v>60</c:v>
                </c:pt>
                <c:pt idx="46">
                  <c:v>72</c:v>
                </c:pt>
                <c:pt idx="47">
                  <c:v>74</c:v>
                </c:pt>
                <c:pt idx="48">
                  <c:v>56.8</c:v>
                </c:pt>
                <c:pt idx="49">
                  <c:v>51</c:v>
                </c:pt>
                <c:pt idx="50">
                  <c:v>54</c:v>
                </c:pt>
                <c:pt idx="51">
                  <c:v>33.684210526315788</c:v>
                </c:pt>
                <c:pt idx="52">
                  <c:v>63.027295285359799</c:v>
                </c:pt>
                <c:pt idx="53">
                  <c:v>93.9</c:v>
                </c:pt>
                <c:pt idx="54">
                  <c:v>51</c:v>
                </c:pt>
                <c:pt idx="55">
                  <c:v>65.26315789473685</c:v>
                </c:pt>
                <c:pt idx="56">
                  <c:v>72</c:v>
                </c:pt>
                <c:pt idx="57">
                  <c:v>61</c:v>
                </c:pt>
                <c:pt idx="58">
                  <c:v>38.356164383561641</c:v>
                </c:pt>
                <c:pt idx="59">
                  <c:v>65</c:v>
                </c:pt>
                <c:pt idx="60">
                  <c:v>64</c:v>
                </c:pt>
                <c:pt idx="61">
                  <c:v>67</c:v>
                </c:pt>
                <c:pt idx="62">
                  <c:v>73</c:v>
                </c:pt>
                <c:pt idx="63">
                  <c:v>64.5</c:v>
                </c:pt>
                <c:pt idx="64">
                  <c:v>73</c:v>
                </c:pt>
                <c:pt idx="65">
                  <c:v>64</c:v>
                </c:pt>
                <c:pt idx="66">
                  <c:v>68</c:v>
                </c:pt>
                <c:pt idx="67">
                  <c:v>66</c:v>
                </c:pt>
                <c:pt idx="68">
                  <c:v>72</c:v>
                </c:pt>
                <c:pt idx="69">
                  <c:v>19.941348973607038</c:v>
                </c:pt>
                <c:pt idx="70">
                  <c:v>60.141509433962256</c:v>
                </c:pt>
                <c:pt idx="71">
                  <c:v>70</c:v>
                </c:pt>
                <c:pt idx="72">
                  <c:v>75</c:v>
                </c:pt>
                <c:pt idx="73">
                  <c:v>70</c:v>
                </c:pt>
                <c:pt idx="74">
                  <c:v>75</c:v>
                </c:pt>
                <c:pt idx="75">
                  <c:v>70</c:v>
                </c:pt>
                <c:pt idx="76">
                  <c:v>95</c:v>
                </c:pt>
                <c:pt idx="77">
                  <c:v>90</c:v>
                </c:pt>
                <c:pt idx="78">
                  <c:v>70</c:v>
                </c:pt>
                <c:pt idx="79">
                  <c:v>70</c:v>
                </c:pt>
                <c:pt idx="80">
                  <c:v>70</c:v>
                </c:pt>
                <c:pt idx="81">
                  <c:v>70</c:v>
                </c:pt>
                <c:pt idx="82">
                  <c:v>54.700854700854705</c:v>
                </c:pt>
                <c:pt idx="83">
                  <c:v>58.677685950413228</c:v>
                </c:pt>
                <c:pt idx="84">
                  <c:v>48.648648648648653</c:v>
                </c:pt>
                <c:pt idx="85">
                  <c:v>84.352941176470594</c:v>
                </c:pt>
                <c:pt idx="86">
                  <c:v>61.989795918367349</c:v>
                </c:pt>
                <c:pt idx="87">
                  <c:v>45.662100456621005</c:v>
                </c:pt>
                <c:pt idx="88">
                  <c:v>82.608695652173907</c:v>
                </c:pt>
                <c:pt idx="89">
                  <c:v>80.810810810810821</c:v>
                </c:pt>
                <c:pt idx="90">
                  <c:v>75.161290322580655</c:v>
                </c:pt>
                <c:pt idx="91">
                  <c:v>70</c:v>
                </c:pt>
                <c:pt idx="92">
                  <c:v>75.238095238095241</c:v>
                </c:pt>
                <c:pt idx="93">
                  <c:v>88.956397426733375</c:v>
                </c:pt>
                <c:pt idx="94">
                  <c:v>62.2</c:v>
                </c:pt>
                <c:pt idx="95">
                  <c:v>51.060070671378085</c:v>
                </c:pt>
                <c:pt idx="96">
                  <c:v>40.476190476190474</c:v>
                </c:pt>
                <c:pt idx="97">
                  <c:v>41.509433962264154</c:v>
                </c:pt>
                <c:pt idx="98">
                  <c:v>61.88925081433225</c:v>
                </c:pt>
                <c:pt idx="99">
                  <c:v>31</c:v>
                </c:pt>
                <c:pt idx="100">
                  <c:v>71</c:v>
                </c:pt>
                <c:pt idx="101">
                  <c:v>65.110565110565105</c:v>
                </c:pt>
                <c:pt idx="102">
                  <c:v>15</c:v>
                </c:pt>
                <c:pt idx="103">
                  <c:v>70</c:v>
                </c:pt>
                <c:pt idx="104">
                  <c:v>39</c:v>
                </c:pt>
                <c:pt idx="105">
                  <c:v>28.753180661577609</c:v>
                </c:pt>
                <c:pt idx="106">
                  <c:v>59.358288770053477</c:v>
                </c:pt>
                <c:pt idx="107">
                  <c:v>55.119825708061001</c:v>
                </c:pt>
                <c:pt idx="108">
                  <c:v>57</c:v>
                </c:pt>
                <c:pt idx="109">
                  <c:v>57</c:v>
                </c:pt>
                <c:pt idx="110">
                  <c:v>58</c:v>
                </c:pt>
                <c:pt idx="111">
                  <c:v>50</c:v>
                </c:pt>
                <c:pt idx="112">
                  <c:v>47</c:v>
                </c:pt>
                <c:pt idx="113">
                  <c:v>56</c:v>
                </c:pt>
                <c:pt idx="114">
                  <c:v>64</c:v>
                </c:pt>
                <c:pt idx="115">
                  <c:v>48</c:v>
                </c:pt>
                <c:pt idx="116">
                  <c:v>42.153846153846153</c:v>
                </c:pt>
                <c:pt idx="117">
                  <c:v>65.024630541871915</c:v>
                </c:pt>
                <c:pt idx="118">
                  <c:v>74</c:v>
                </c:pt>
                <c:pt idx="119">
                  <c:v>51</c:v>
                </c:pt>
                <c:pt idx="120">
                  <c:v>49</c:v>
                </c:pt>
                <c:pt idx="121">
                  <c:v>49</c:v>
                </c:pt>
                <c:pt idx="122">
                  <c:v>53</c:v>
                </c:pt>
                <c:pt idx="123">
                  <c:v>63</c:v>
                </c:pt>
                <c:pt idx="124">
                  <c:v>58.943089430894311</c:v>
                </c:pt>
                <c:pt idx="125">
                  <c:v>58</c:v>
                </c:pt>
                <c:pt idx="126">
                  <c:v>53</c:v>
                </c:pt>
                <c:pt idx="127">
                  <c:v>65</c:v>
                </c:pt>
                <c:pt idx="128">
                  <c:v>52</c:v>
                </c:pt>
                <c:pt idx="129">
                  <c:v>50</c:v>
                </c:pt>
                <c:pt idx="130">
                  <c:v>70</c:v>
                </c:pt>
                <c:pt idx="131">
                  <c:v>63</c:v>
                </c:pt>
                <c:pt idx="132">
                  <c:v>63</c:v>
                </c:pt>
                <c:pt idx="133">
                  <c:v>56</c:v>
                </c:pt>
                <c:pt idx="134">
                  <c:v>58</c:v>
                </c:pt>
                <c:pt idx="135">
                  <c:v>49</c:v>
                </c:pt>
                <c:pt idx="136">
                  <c:v>71.085714285714289</c:v>
                </c:pt>
                <c:pt idx="137">
                  <c:v>48.711340206185568</c:v>
                </c:pt>
                <c:pt idx="138">
                  <c:v>42.4</c:v>
                </c:pt>
                <c:pt idx="139">
                  <c:v>64.583333333333343</c:v>
                </c:pt>
                <c:pt idx="140">
                  <c:v>66.723549488054616</c:v>
                </c:pt>
                <c:pt idx="141">
                  <c:v>68.600682593856661</c:v>
                </c:pt>
                <c:pt idx="142">
                  <c:v>53.619302949061662</c:v>
                </c:pt>
                <c:pt idx="143">
                  <c:v>70</c:v>
                </c:pt>
                <c:pt idx="144">
                  <c:v>71.633237822349571</c:v>
                </c:pt>
                <c:pt idx="145">
                  <c:v>58</c:v>
                </c:pt>
                <c:pt idx="146">
                  <c:v>55.227882037533519</c:v>
                </c:pt>
                <c:pt idx="147">
                  <c:v>68.383658969804614</c:v>
                </c:pt>
                <c:pt idx="148">
                  <c:v>73.53463587921847</c:v>
                </c:pt>
                <c:pt idx="149">
                  <c:v>69.982238010657198</c:v>
                </c:pt>
                <c:pt idx="150">
                  <c:v>60.077519379844958</c:v>
                </c:pt>
                <c:pt idx="151">
                  <c:v>54.123711340206185</c:v>
                </c:pt>
                <c:pt idx="152">
                  <c:v>72</c:v>
                </c:pt>
                <c:pt idx="153">
                  <c:v>70</c:v>
                </c:pt>
                <c:pt idx="154">
                  <c:v>22</c:v>
                </c:pt>
                <c:pt idx="155">
                  <c:v>63</c:v>
                </c:pt>
                <c:pt idx="156">
                  <c:v>23</c:v>
                </c:pt>
                <c:pt idx="157">
                  <c:v>31</c:v>
                </c:pt>
                <c:pt idx="158">
                  <c:v>41</c:v>
                </c:pt>
                <c:pt idx="159">
                  <c:v>66</c:v>
                </c:pt>
                <c:pt idx="160">
                  <c:v>67.8</c:v>
                </c:pt>
                <c:pt idx="161">
                  <c:v>68.5</c:v>
                </c:pt>
                <c:pt idx="162">
                  <c:v>30</c:v>
                </c:pt>
                <c:pt idx="163">
                  <c:v>62</c:v>
                </c:pt>
                <c:pt idx="164">
                  <c:v>65.938864628820966</c:v>
                </c:pt>
                <c:pt idx="165">
                  <c:v>54.635761589403977</c:v>
                </c:pt>
                <c:pt idx="166">
                  <c:v>60.36866359447005</c:v>
                </c:pt>
                <c:pt idx="167">
                  <c:v>63.111888111888113</c:v>
                </c:pt>
                <c:pt idx="168">
                  <c:v>66.783216783216787</c:v>
                </c:pt>
                <c:pt idx="169">
                  <c:v>52.336448598130836</c:v>
                </c:pt>
                <c:pt idx="170">
                  <c:v>53</c:v>
                </c:pt>
                <c:pt idx="171">
                  <c:v>61</c:v>
                </c:pt>
                <c:pt idx="172">
                  <c:v>73</c:v>
                </c:pt>
                <c:pt idx="173">
                  <c:v>47</c:v>
                </c:pt>
                <c:pt idx="174">
                  <c:v>47</c:v>
                </c:pt>
                <c:pt idx="175">
                  <c:v>62</c:v>
                </c:pt>
                <c:pt idx="176">
                  <c:v>61</c:v>
                </c:pt>
                <c:pt idx="177">
                  <c:v>65</c:v>
                </c:pt>
                <c:pt idx="178">
                  <c:v>81</c:v>
                </c:pt>
                <c:pt idx="179">
                  <c:v>77</c:v>
                </c:pt>
                <c:pt idx="180">
                  <c:v>50</c:v>
                </c:pt>
                <c:pt idx="181">
                  <c:v>70</c:v>
                </c:pt>
                <c:pt idx="182">
                  <c:v>82</c:v>
                </c:pt>
                <c:pt idx="183">
                  <c:v>34.497206703910614</c:v>
                </c:pt>
                <c:pt idx="184">
                  <c:v>44.599745870393903</c:v>
                </c:pt>
                <c:pt idx="185">
                  <c:v>45.97402597402597</c:v>
                </c:pt>
                <c:pt idx="186">
                  <c:v>57.965686274509807</c:v>
                </c:pt>
                <c:pt idx="187">
                  <c:v>61.621621621621628</c:v>
                </c:pt>
                <c:pt idx="188">
                  <c:v>65.100671140939596</c:v>
                </c:pt>
                <c:pt idx="189">
                  <c:v>54.358974358974358</c:v>
                </c:pt>
                <c:pt idx="190">
                  <c:v>53.260869565217398</c:v>
                </c:pt>
                <c:pt idx="191">
                  <c:v>75.441696113074215</c:v>
                </c:pt>
                <c:pt idx="192">
                  <c:v>62.5</c:v>
                </c:pt>
                <c:pt idx="193">
                  <c:v>43.253968253968253</c:v>
                </c:pt>
                <c:pt idx="194">
                  <c:v>46.354166666666671</c:v>
                </c:pt>
                <c:pt idx="195">
                  <c:v>16.206030150753769</c:v>
                </c:pt>
                <c:pt idx="196">
                  <c:v>49.165120593692023</c:v>
                </c:pt>
                <c:pt idx="197">
                  <c:v>58.311345646437992</c:v>
                </c:pt>
                <c:pt idx="198">
                  <c:v>55.210237659963433</c:v>
                </c:pt>
                <c:pt idx="199">
                  <c:v>66</c:v>
                </c:pt>
                <c:pt idx="200">
                  <c:v>68.341708542713562</c:v>
                </c:pt>
                <c:pt idx="201">
                  <c:v>79.968944099378874</c:v>
                </c:pt>
                <c:pt idx="202">
                  <c:v>88.627935723114959</c:v>
                </c:pt>
                <c:pt idx="203">
                  <c:v>83.60128617363344</c:v>
                </c:pt>
                <c:pt idx="204">
                  <c:v>54.320987654320987</c:v>
                </c:pt>
                <c:pt idx="205">
                  <c:v>79.839786381842458</c:v>
                </c:pt>
                <c:pt idx="206">
                  <c:v>55.851063829787229</c:v>
                </c:pt>
                <c:pt idx="207">
                  <c:v>72</c:v>
                </c:pt>
                <c:pt idx="208">
                  <c:v>84</c:v>
                </c:pt>
                <c:pt idx="209">
                  <c:v>59.574468085106382</c:v>
                </c:pt>
                <c:pt idx="210">
                  <c:v>58</c:v>
                </c:pt>
                <c:pt idx="211">
                  <c:v>64</c:v>
                </c:pt>
                <c:pt idx="212">
                  <c:v>69</c:v>
                </c:pt>
                <c:pt idx="213">
                  <c:v>67</c:v>
                </c:pt>
                <c:pt idx="214">
                  <c:v>83.5</c:v>
                </c:pt>
                <c:pt idx="215">
                  <c:v>64.120781527531079</c:v>
                </c:pt>
                <c:pt idx="216">
                  <c:v>61.629881154499152</c:v>
                </c:pt>
                <c:pt idx="217">
                  <c:v>58.333333333333336</c:v>
                </c:pt>
                <c:pt idx="218">
                  <c:v>58.496732026143796</c:v>
                </c:pt>
                <c:pt idx="219">
                  <c:v>56.896551724137936</c:v>
                </c:pt>
                <c:pt idx="220">
                  <c:v>75.045537340619305</c:v>
                </c:pt>
                <c:pt idx="221">
                  <c:v>54.748603351955303</c:v>
                </c:pt>
                <c:pt idx="222">
                  <c:v>57.9</c:v>
                </c:pt>
                <c:pt idx="223">
                  <c:v>57</c:v>
                </c:pt>
                <c:pt idx="224">
                  <c:v>77</c:v>
                </c:pt>
                <c:pt idx="225">
                  <c:v>73</c:v>
                </c:pt>
                <c:pt idx="226">
                  <c:v>54.395604395604394</c:v>
                </c:pt>
                <c:pt idx="227">
                  <c:v>65.102639296187675</c:v>
                </c:pt>
                <c:pt idx="228">
                  <c:v>73.238095238095241</c:v>
                </c:pt>
                <c:pt idx="229">
                  <c:v>82.4</c:v>
                </c:pt>
                <c:pt idx="230">
                  <c:v>85</c:v>
                </c:pt>
                <c:pt idx="231">
                  <c:v>84.6</c:v>
                </c:pt>
                <c:pt idx="232">
                  <c:v>80.576208178438662</c:v>
                </c:pt>
                <c:pt idx="233">
                  <c:v>72.727272727272734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AA-44EC-AC24-9237C7313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1863584"/>
        <c:axId val="1541866912"/>
      </c:scatterChart>
      <c:valAx>
        <c:axId val="15418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866912"/>
        <c:crosses val="autoZero"/>
        <c:crossBetween val="midCat"/>
      </c:valAx>
      <c:valAx>
        <c:axId val="1541866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863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'Analysis New'!$AR$4</c:f>
              <c:strCache>
                <c:ptCount val="1"/>
                <c:pt idx="0">
                  <c:v>HRT=4h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New'!$AQ$5:$AQ$89</c:f>
              <c:numCache>
                <c:formatCode>General</c:formatCode>
                <c:ptCount val="85"/>
                <c:pt idx="0">
                  <c:v>2.544</c:v>
                </c:pt>
                <c:pt idx="1">
                  <c:v>4</c:v>
                </c:pt>
                <c:pt idx="2">
                  <c:v>2.4359999999999999</c:v>
                </c:pt>
                <c:pt idx="3">
                  <c:v>3.7619999999999996</c:v>
                </c:pt>
                <c:pt idx="4">
                  <c:v>2.238</c:v>
                </c:pt>
                <c:pt idx="5">
                  <c:v>3.516</c:v>
                </c:pt>
                <c:pt idx="6">
                  <c:v>3.516</c:v>
                </c:pt>
                <c:pt idx="7">
                  <c:v>4.032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1.9259999999999997</c:v>
                </c:pt>
                <c:pt idx="12">
                  <c:v>4.62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2.0460000000000003</c:v>
                </c:pt>
                <c:pt idx="16">
                  <c:v>0.41459999999999997</c:v>
                </c:pt>
                <c:pt idx="17">
                  <c:v>0.41459999999999997</c:v>
                </c:pt>
                <c:pt idx="18">
                  <c:v>1.032</c:v>
                </c:pt>
                <c:pt idx="19">
                  <c:v>2.2000000000000002</c:v>
                </c:pt>
                <c:pt idx="20">
                  <c:v>0.9</c:v>
                </c:pt>
                <c:pt idx="21">
                  <c:v>1.4760000000000002</c:v>
                </c:pt>
                <c:pt idx="22">
                  <c:v>1.911</c:v>
                </c:pt>
                <c:pt idx="23">
                  <c:v>1.026</c:v>
                </c:pt>
                <c:pt idx="24">
                  <c:v>0.75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0.6</c:v>
                </c:pt>
                <c:pt idx="29">
                  <c:v>2</c:v>
                </c:pt>
                <c:pt idx="30">
                  <c:v>0.63</c:v>
                </c:pt>
                <c:pt idx="31">
                  <c:v>0.63</c:v>
                </c:pt>
                <c:pt idx="32">
                  <c:v>0.63</c:v>
                </c:pt>
                <c:pt idx="33">
                  <c:v>0.65</c:v>
                </c:pt>
                <c:pt idx="34">
                  <c:v>0.65</c:v>
                </c:pt>
                <c:pt idx="35">
                  <c:v>1.5</c:v>
                </c:pt>
                <c:pt idx="36">
                  <c:v>1.1099999999999997</c:v>
                </c:pt>
                <c:pt idx="37">
                  <c:v>2.8839999999999999</c:v>
                </c:pt>
                <c:pt idx="38">
                  <c:v>3.4840000000000004</c:v>
                </c:pt>
                <c:pt idx="39">
                  <c:v>2.548</c:v>
                </c:pt>
                <c:pt idx="40">
                  <c:v>3.3</c:v>
                </c:pt>
                <c:pt idx="41">
                  <c:v>1.2</c:v>
                </c:pt>
                <c:pt idx="42">
                  <c:v>1.83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2.4</c:v>
                </c:pt>
                <c:pt idx="47">
                  <c:v>0.97199999999999998</c:v>
                </c:pt>
                <c:pt idx="48">
                  <c:v>2.2759999999999998</c:v>
                </c:pt>
                <c:pt idx="49">
                  <c:v>2.1280000000000001</c:v>
                </c:pt>
                <c:pt idx="50">
                  <c:v>1.4920000000000002</c:v>
                </c:pt>
                <c:pt idx="51">
                  <c:v>1.5719999999999998</c:v>
                </c:pt>
                <c:pt idx="52">
                  <c:v>2.2520000000000002</c:v>
                </c:pt>
                <c:pt idx="53">
                  <c:v>2.2520000000000002</c:v>
                </c:pt>
                <c:pt idx="54">
                  <c:v>2.2520000000000002</c:v>
                </c:pt>
                <c:pt idx="55">
                  <c:v>2.7919999999999998</c:v>
                </c:pt>
                <c:pt idx="56">
                  <c:v>0.53</c:v>
                </c:pt>
                <c:pt idx="57">
                  <c:v>0.53</c:v>
                </c:pt>
                <c:pt idx="58">
                  <c:v>0.53</c:v>
                </c:pt>
                <c:pt idx="59">
                  <c:v>0.87</c:v>
                </c:pt>
                <c:pt idx="60">
                  <c:v>0.87</c:v>
                </c:pt>
                <c:pt idx="61">
                  <c:v>0.36800000000000005</c:v>
                </c:pt>
                <c:pt idx="62">
                  <c:v>0.77999999999999992</c:v>
                </c:pt>
                <c:pt idx="63">
                  <c:v>1.1919999999999999</c:v>
                </c:pt>
                <c:pt idx="64">
                  <c:v>2.2199999999999998</c:v>
                </c:pt>
                <c:pt idx="65">
                  <c:v>3.2640000000000002</c:v>
                </c:pt>
                <c:pt idx="66">
                  <c:v>2.9960000000000004</c:v>
                </c:pt>
                <c:pt idx="67">
                  <c:v>2.4</c:v>
                </c:pt>
                <c:pt idx="68">
                  <c:v>0.6</c:v>
                </c:pt>
                <c:pt idx="69">
                  <c:v>1.51</c:v>
                </c:pt>
                <c:pt idx="70">
                  <c:v>1.4</c:v>
                </c:pt>
                <c:pt idx="71">
                  <c:v>0.41</c:v>
                </c:pt>
                <c:pt idx="72">
                  <c:v>1.38</c:v>
                </c:pt>
                <c:pt idx="73">
                  <c:v>1.45</c:v>
                </c:pt>
                <c:pt idx="74">
                  <c:v>0.63700000000000001</c:v>
                </c:pt>
                <c:pt idx="75">
                  <c:v>0.53900000000000003</c:v>
                </c:pt>
                <c:pt idx="76">
                  <c:v>0.14000000000000001</c:v>
                </c:pt>
                <c:pt idx="77">
                  <c:v>0.24299999999999999</c:v>
                </c:pt>
                <c:pt idx="78">
                  <c:v>0.31799999999999995</c:v>
                </c:pt>
                <c:pt idx="79">
                  <c:v>0.31799999999999995</c:v>
                </c:pt>
                <c:pt idx="80">
                  <c:v>1.5</c:v>
                </c:pt>
                <c:pt idx="81">
                  <c:v>0.38</c:v>
                </c:pt>
                <c:pt idx="82">
                  <c:v>1.5</c:v>
                </c:pt>
                <c:pt idx="83">
                  <c:v>1.5</c:v>
                </c:pt>
                <c:pt idx="84">
                  <c:v>0.18</c:v>
                </c:pt>
              </c:numCache>
            </c:numRef>
          </c:xVal>
          <c:yVal>
            <c:numRef>
              <c:f>'Analysis New'!$AR$5:$AR$89</c:f>
              <c:numCache>
                <c:formatCode>General</c:formatCode>
                <c:ptCount val="85"/>
                <c:pt idx="0">
                  <c:v>60.141509433962256</c:v>
                </c:pt>
                <c:pt idx="1">
                  <c:v>15</c:v>
                </c:pt>
                <c:pt idx="2">
                  <c:v>65.024630541871915</c:v>
                </c:pt>
                <c:pt idx="3">
                  <c:v>74</c:v>
                </c:pt>
                <c:pt idx="4">
                  <c:v>53.619302949061662</c:v>
                </c:pt>
                <c:pt idx="5">
                  <c:v>66.723549488054616</c:v>
                </c:pt>
                <c:pt idx="6">
                  <c:v>68.600682593856661</c:v>
                </c:pt>
                <c:pt idx="7">
                  <c:v>64.583333333333343</c:v>
                </c:pt>
                <c:pt idx="8">
                  <c:v>53</c:v>
                </c:pt>
                <c:pt idx="9">
                  <c:v>61</c:v>
                </c:pt>
                <c:pt idx="10">
                  <c:v>73</c:v>
                </c:pt>
                <c:pt idx="11">
                  <c:v>52.336448598130836</c:v>
                </c:pt>
                <c:pt idx="12">
                  <c:v>45.97402597402597</c:v>
                </c:pt>
                <c:pt idx="13">
                  <c:v>67</c:v>
                </c:pt>
                <c:pt idx="14">
                  <c:v>83.5</c:v>
                </c:pt>
                <c:pt idx="15">
                  <c:v>65.102639296187675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26-4783-8092-30388C09DC9F}"/>
            </c:ext>
          </c:extLst>
        </c:ser>
        <c:ser>
          <c:idx val="1"/>
          <c:order val="1"/>
          <c:tx>
            <c:strRef>
              <c:f>'Analysis New'!$AS$4</c:f>
              <c:strCache>
                <c:ptCount val="1"/>
                <c:pt idx="0">
                  <c:v>HRT=6h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'Analysis New'!$AQ$5:$AQ$89</c:f>
              <c:numCache>
                <c:formatCode>General</c:formatCode>
                <c:ptCount val="85"/>
                <c:pt idx="0">
                  <c:v>2.544</c:v>
                </c:pt>
                <c:pt idx="1">
                  <c:v>4</c:v>
                </c:pt>
                <c:pt idx="2">
                  <c:v>2.4359999999999999</c:v>
                </c:pt>
                <c:pt idx="3">
                  <c:v>3.7619999999999996</c:v>
                </c:pt>
                <c:pt idx="4">
                  <c:v>2.238</c:v>
                </c:pt>
                <c:pt idx="5">
                  <c:v>3.516</c:v>
                </c:pt>
                <c:pt idx="6">
                  <c:v>3.516</c:v>
                </c:pt>
                <c:pt idx="7">
                  <c:v>4.032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1.9259999999999997</c:v>
                </c:pt>
                <c:pt idx="12">
                  <c:v>4.62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2.0460000000000003</c:v>
                </c:pt>
                <c:pt idx="16">
                  <c:v>0.41459999999999997</c:v>
                </c:pt>
                <c:pt idx="17">
                  <c:v>0.41459999999999997</c:v>
                </c:pt>
                <c:pt idx="18">
                  <c:v>1.032</c:v>
                </c:pt>
                <c:pt idx="19">
                  <c:v>2.2000000000000002</c:v>
                </c:pt>
                <c:pt idx="20">
                  <c:v>0.9</c:v>
                </c:pt>
                <c:pt idx="21">
                  <c:v>1.4760000000000002</c:v>
                </c:pt>
                <c:pt idx="22">
                  <c:v>1.911</c:v>
                </c:pt>
                <c:pt idx="23">
                  <c:v>1.026</c:v>
                </c:pt>
                <c:pt idx="24">
                  <c:v>0.75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0.6</c:v>
                </c:pt>
                <c:pt idx="29">
                  <c:v>2</c:v>
                </c:pt>
                <c:pt idx="30">
                  <c:v>0.63</c:v>
                </c:pt>
                <c:pt idx="31">
                  <c:v>0.63</c:v>
                </c:pt>
                <c:pt idx="32">
                  <c:v>0.63</c:v>
                </c:pt>
                <c:pt idx="33">
                  <c:v>0.65</c:v>
                </c:pt>
                <c:pt idx="34">
                  <c:v>0.65</c:v>
                </c:pt>
                <c:pt idx="35">
                  <c:v>1.5</c:v>
                </c:pt>
                <c:pt idx="36">
                  <c:v>1.1099999999999997</c:v>
                </c:pt>
                <c:pt idx="37">
                  <c:v>2.8839999999999999</c:v>
                </c:pt>
                <c:pt idx="38">
                  <c:v>3.4840000000000004</c:v>
                </c:pt>
                <c:pt idx="39">
                  <c:v>2.548</c:v>
                </c:pt>
                <c:pt idx="40">
                  <c:v>3.3</c:v>
                </c:pt>
                <c:pt idx="41">
                  <c:v>1.2</c:v>
                </c:pt>
                <c:pt idx="42">
                  <c:v>1.83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2.4</c:v>
                </c:pt>
                <c:pt idx="47">
                  <c:v>0.97199999999999998</c:v>
                </c:pt>
                <c:pt idx="48">
                  <c:v>2.2759999999999998</c:v>
                </c:pt>
                <c:pt idx="49">
                  <c:v>2.1280000000000001</c:v>
                </c:pt>
                <c:pt idx="50">
                  <c:v>1.4920000000000002</c:v>
                </c:pt>
                <c:pt idx="51">
                  <c:v>1.5719999999999998</c:v>
                </c:pt>
                <c:pt idx="52">
                  <c:v>2.2520000000000002</c:v>
                </c:pt>
                <c:pt idx="53">
                  <c:v>2.2520000000000002</c:v>
                </c:pt>
                <c:pt idx="54">
                  <c:v>2.2520000000000002</c:v>
                </c:pt>
                <c:pt idx="55">
                  <c:v>2.7919999999999998</c:v>
                </c:pt>
                <c:pt idx="56">
                  <c:v>0.53</c:v>
                </c:pt>
                <c:pt idx="57">
                  <c:v>0.53</c:v>
                </c:pt>
                <c:pt idx="58">
                  <c:v>0.53</c:v>
                </c:pt>
                <c:pt idx="59">
                  <c:v>0.87</c:v>
                </c:pt>
                <c:pt idx="60">
                  <c:v>0.87</c:v>
                </c:pt>
                <c:pt idx="61">
                  <c:v>0.36800000000000005</c:v>
                </c:pt>
                <c:pt idx="62">
                  <c:v>0.77999999999999992</c:v>
                </c:pt>
                <c:pt idx="63">
                  <c:v>1.1919999999999999</c:v>
                </c:pt>
                <c:pt idx="64">
                  <c:v>2.2199999999999998</c:v>
                </c:pt>
                <c:pt idx="65">
                  <c:v>3.2640000000000002</c:v>
                </c:pt>
                <c:pt idx="66">
                  <c:v>2.9960000000000004</c:v>
                </c:pt>
                <c:pt idx="67">
                  <c:v>2.4</c:v>
                </c:pt>
                <c:pt idx="68">
                  <c:v>0.6</c:v>
                </c:pt>
                <c:pt idx="69">
                  <c:v>1.51</c:v>
                </c:pt>
                <c:pt idx="70">
                  <c:v>1.4</c:v>
                </c:pt>
                <c:pt idx="71">
                  <c:v>0.41</c:v>
                </c:pt>
                <c:pt idx="72">
                  <c:v>1.38</c:v>
                </c:pt>
                <c:pt idx="73">
                  <c:v>1.45</c:v>
                </c:pt>
                <c:pt idx="74">
                  <c:v>0.63700000000000001</c:v>
                </c:pt>
                <c:pt idx="75">
                  <c:v>0.53900000000000003</c:v>
                </c:pt>
                <c:pt idx="76">
                  <c:v>0.14000000000000001</c:v>
                </c:pt>
                <c:pt idx="77">
                  <c:v>0.24299999999999999</c:v>
                </c:pt>
                <c:pt idx="78">
                  <c:v>0.31799999999999995</c:v>
                </c:pt>
                <c:pt idx="79">
                  <c:v>0.31799999999999995</c:v>
                </c:pt>
                <c:pt idx="80">
                  <c:v>1.5</c:v>
                </c:pt>
                <c:pt idx="81">
                  <c:v>0.38</c:v>
                </c:pt>
                <c:pt idx="82">
                  <c:v>1.5</c:v>
                </c:pt>
                <c:pt idx="83">
                  <c:v>1.5</c:v>
                </c:pt>
                <c:pt idx="84">
                  <c:v>0.18</c:v>
                </c:pt>
              </c:numCache>
            </c:numRef>
          </c:xVal>
          <c:yVal>
            <c:numRef>
              <c:f>'Analysis New'!$AS$5:$AS$89</c:f>
              <c:numCache>
                <c:formatCode>General</c:formatCode>
                <c:ptCount val="85"/>
                <c:pt idx="37">
                  <c:v>45.908460471567267</c:v>
                </c:pt>
                <c:pt idx="38">
                  <c:v>70.493685419058551</c:v>
                </c:pt>
                <c:pt idx="39">
                  <c:v>61</c:v>
                </c:pt>
                <c:pt idx="40">
                  <c:v>38.356164383561641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75</c:v>
                </c:pt>
                <c:pt idx="45">
                  <c:v>75</c:v>
                </c:pt>
                <c:pt idx="46">
                  <c:v>62.2</c:v>
                </c:pt>
                <c:pt idx="47">
                  <c:v>31</c:v>
                </c:pt>
                <c:pt idx="48">
                  <c:v>71</c:v>
                </c:pt>
                <c:pt idx="49">
                  <c:v>63</c:v>
                </c:pt>
                <c:pt idx="50">
                  <c:v>55.227882037533519</c:v>
                </c:pt>
                <c:pt idx="51">
                  <c:v>58</c:v>
                </c:pt>
                <c:pt idx="52">
                  <c:v>68.383658969804614</c:v>
                </c:pt>
                <c:pt idx="53">
                  <c:v>69.982238010657198</c:v>
                </c:pt>
                <c:pt idx="54">
                  <c:v>73.53463587921847</c:v>
                </c:pt>
                <c:pt idx="55">
                  <c:v>71.633237822349571</c:v>
                </c:pt>
                <c:pt idx="56">
                  <c:v>47</c:v>
                </c:pt>
                <c:pt idx="57">
                  <c:v>47</c:v>
                </c:pt>
                <c:pt idx="58">
                  <c:v>62</c:v>
                </c:pt>
                <c:pt idx="59">
                  <c:v>70</c:v>
                </c:pt>
                <c:pt idx="60">
                  <c:v>82</c:v>
                </c:pt>
                <c:pt idx="61">
                  <c:v>53.260869565217398</c:v>
                </c:pt>
                <c:pt idx="62">
                  <c:v>54.358974358974358</c:v>
                </c:pt>
                <c:pt idx="63">
                  <c:v>65.100671140939596</c:v>
                </c:pt>
                <c:pt idx="64">
                  <c:v>61.621621621621628</c:v>
                </c:pt>
                <c:pt idx="65">
                  <c:v>57.965686274509807</c:v>
                </c:pt>
                <c:pt idx="66">
                  <c:v>79.839786381842458</c:v>
                </c:pt>
                <c:pt idx="67">
                  <c:v>64</c:v>
                </c:pt>
                <c:pt idx="68">
                  <c:v>51.530035335689043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26-4783-8092-30388C09DC9F}"/>
            </c:ext>
          </c:extLst>
        </c:ser>
        <c:ser>
          <c:idx val="2"/>
          <c:order val="2"/>
          <c:tx>
            <c:strRef>
              <c:f>'Analysis New'!$AT$4</c:f>
              <c:strCache>
                <c:ptCount val="1"/>
                <c:pt idx="0">
                  <c:v>HRT=8h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'Analysis New'!$AQ$5:$AQ$89</c:f>
              <c:numCache>
                <c:formatCode>General</c:formatCode>
                <c:ptCount val="85"/>
                <c:pt idx="0">
                  <c:v>2.544</c:v>
                </c:pt>
                <c:pt idx="1">
                  <c:v>4</c:v>
                </c:pt>
                <c:pt idx="2">
                  <c:v>2.4359999999999999</c:v>
                </c:pt>
                <c:pt idx="3">
                  <c:v>3.7619999999999996</c:v>
                </c:pt>
                <c:pt idx="4">
                  <c:v>2.238</c:v>
                </c:pt>
                <c:pt idx="5">
                  <c:v>3.516</c:v>
                </c:pt>
                <c:pt idx="6">
                  <c:v>3.516</c:v>
                </c:pt>
                <c:pt idx="7">
                  <c:v>4.032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1.9259999999999997</c:v>
                </c:pt>
                <c:pt idx="12">
                  <c:v>4.62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2.0460000000000003</c:v>
                </c:pt>
                <c:pt idx="16">
                  <c:v>0.41459999999999997</c:v>
                </c:pt>
                <c:pt idx="17">
                  <c:v>0.41459999999999997</c:v>
                </c:pt>
                <c:pt idx="18">
                  <c:v>1.032</c:v>
                </c:pt>
                <c:pt idx="19">
                  <c:v>2.2000000000000002</c:v>
                </c:pt>
                <c:pt idx="20">
                  <c:v>0.9</c:v>
                </c:pt>
                <c:pt idx="21">
                  <c:v>1.4760000000000002</c:v>
                </c:pt>
                <c:pt idx="22">
                  <c:v>1.911</c:v>
                </c:pt>
                <c:pt idx="23">
                  <c:v>1.026</c:v>
                </c:pt>
                <c:pt idx="24">
                  <c:v>0.75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0.6</c:v>
                </c:pt>
                <c:pt idx="29">
                  <c:v>2</c:v>
                </c:pt>
                <c:pt idx="30">
                  <c:v>0.63</c:v>
                </c:pt>
                <c:pt idx="31">
                  <c:v>0.63</c:v>
                </c:pt>
                <c:pt idx="32">
                  <c:v>0.63</c:v>
                </c:pt>
                <c:pt idx="33">
                  <c:v>0.65</c:v>
                </c:pt>
                <c:pt idx="34">
                  <c:v>0.65</c:v>
                </c:pt>
                <c:pt idx="35">
                  <c:v>1.5</c:v>
                </c:pt>
                <c:pt idx="36">
                  <c:v>1.1099999999999997</c:v>
                </c:pt>
                <c:pt idx="37">
                  <c:v>2.8839999999999999</c:v>
                </c:pt>
                <c:pt idx="38">
                  <c:v>3.4840000000000004</c:v>
                </c:pt>
                <c:pt idx="39">
                  <c:v>2.548</c:v>
                </c:pt>
                <c:pt idx="40">
                  <c:v>3.3</c:v>
                </c:pt>
                <c:pt idx="41">
                  <c:v>1.2</c:v>
                </c:pt>
                <c:pt idx="42">
                  <c:v>1.83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2.4</c:v>
                </c:pt>
                <c:pt idx="47">
                  <c:v>0.97199999999999998</c:v>
                </c:pt>
                <c:pt idx="48">
                  <c:v>2.2759999999999998</c:v>
                </c:pt>
                <c:pt idx="49">
                  <c:v>2.1280000000000001</c:v>
                </c:pt>
                <c:pt idx="50">
                  <c:v>1.4920000000000002</c:v>
                </c:pt>
                <c:pt idx="51">
                  <c:v>1.5719999999999998</c:v>
                </c:pt>
                <c:pt idx="52">
                  <c:v>2.2520000000000002</c:v>
                </c:pt>
                <c:pt idx="53">
                  <c:v>2.2520000000000002</c:v>
                </c:pt>
                <c:pt idx="54">
                  <c:v>2.2520000000000002</c:v>
                </c:pt>
                <c:pt idx="55">
                  <c:v>2.7919999999999998</c:v>
                </c:pt>
                <c:pt idx="56">
                  <c:v>0.53</c:v>
                </c:pt>
                <c:pt idx="57">
                  <c:v>0.53</c:v>
                </c:pt>
                <c:pt idx="58">
                  <c:v>0.53</c:v>
                </c:pt>
                <c:pt idx="59">
                  <c:v>0.87</c:v>
                </c:pt>
                <c:pt idx="60">
                  <c:v>0.87</c:v>
                </c:pt>
                <c:pt idx="61">
                  <c:v>0.36800000000000005</c:v>
                </c:pt>
                <c:pt idx="62">
                  <c:v>0.77999999999999992</c:v>
                </c:pt>
                <c:pt idx="63">
                  <c:v>1.1919999999999999</c:v>
                </c:pt>
                <c:pt idx="64">
                  <c:v>2.2199999999999998</c:v>
                </c:pt>
                <c:pt idx="65">
                  <c:v>3.2640000000000002</c:v>
                </c:pt>
                <c:pt idx="66">
                  <c:v>2.9960000000000004</c:v>
                </c:pt>
                <c:pt idx="67">
                  <c:v>2.4</c:v>
                </c:pt>
                <c:pt idx="68">
                  <c:v>0.6</c:v>
                </c:pt>
                <c:pt idx="69">
                  <c:v>1.51</c:v>
                </c:pt>
                <c:pt idx="70">
                  <c:v>1.4</c:v>
                </c:pt>
                <c:pt idx="71">
                  <c:v>0.41</c:v>
                </c:pt>
                <c:pt idx="72">
                  <c:v>1.38</c:v>
                </c:pt>
                <c:pt idx="73">
                  <c:v>1.45</c:v>
                </c:pt>
                <c:pt idx="74">
                  <c:v>0.63700000000000001</c:v>
                </c:pt>
                <c:pt idx="75">
                  <c:v>0.53900000000000003</c:v>
                </c:pt>
                <c:pt idx="76">
                  <c:v>0.14000000000000001</c:v>
                </c:pt>
                <c:pt idx="77">
                  <c:v>0.24299999999999999</c:v>
                </c:pt>
                <c:pt idx="78">
                  <c:v>0.31799999999999995</c:v>
                </c:pt>
                <c:pt idx="79">
                  <c:v>0.31799999999999995</c:v>
                </c:pt>
                <c:pt idx="80">
                  <c:v>1.5</c:v>
                </c:pt>
                <c:pt idx="81">
                  <c:v>0.38</c:v>
                </c:pt>
                <c:pt idx="82">
                  <c:v>1.5</c:v>
                </c:pt>
                <c:pt idx="83">
                  <c:v>1.5</c:v>
                </c:pt>
                <c:pt idx="84">
                  <c:v>0.18</c:v>
                </c:pt>
              </c:numCache>
            </c:numRef>
          </c:xVal>
          <c:yVal>
            <c:numRef>
              <c:f>'Analysis New'!$AT$5:$AT$89</c:f>
              <c:numCache>
                <c:formatCode>General</c:formatCode>
                <c:ptCount val="85"/>
                <c:pt idx="16">
                  <c:v>33.14037626628074</c:v>
                </c:pt>
                <c:pt idx="17">
                  <c:v>35.311143270622274</c:v>
                </c:pt>
                <c:pt idx="18">
                  <c:v>59</c:v>
                </c:pt>
                <c:pt idx="19">
                  <c:v>48.113207547169814</c:v>
                </c:pt>
                <c:pt idx="20">
                  <c:v>70</c:v>
                </c:pt>
                <c:pt idx="21">
                  <c:v>61</c:v>
                </c:pt>
                <c:pt idx="22">
                  <c:v>65</c:v>
                </c:pt>
                <c:pt idx="23">
                  <c:v>66</c:v>
                </c:pt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28">
                  <c:v>72</c:v>
                </c:pt>
                <c:pt idx="29">
                  <c:v>65.938864628820966</c:v>
                </c:pt>
                <c:pt idx="30">
                  <c:v>61</c:v>
                </c:pt>
                <c:pt idx="31">
                  <c:v>65</c:v>
                </c:pt>
                <c:pt idx="32">
                  <c:v>81</c:v>
                </c:pt>
                <c:pt idx="33">
                  <c:v>72</c:v>
                </c:pt>
                <c:pt idx="34">
                  <c:v>84</c:v>
                </c:pt>
                <c:pt idx="35">
                  <c:v>69</c:v>
                </c:pt>
                <c:pt idx="36">
                  <c:v>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26-4783-8092-30388C09DC9F}"/>
            </c:ext>
          </c:extLst>
        </c:ser>
        <c:ser>
          <c:idx val="3"/>
          <c:order val="3"/>
          <c:tx>
            <c:strRef>
              <c:f>'Analysis New'!$AU$4</c:f>
              <c:strCache>
                <c:ptCount val="1"/>
                <c:pt idx="0">
                  <c:v>HRT=24h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'Analysis New'!$AQ$5:$AQ$89</c:f>
              <c:numCache>
                <c:formatCode>General</c:formatCode>
                <c:ptCount val="85"/>
                <c:pt idx="0">
                  <c:v>2.544</c:v>
                </c:pt>
                <c:pt idx="1">
                  <c:v>4</c:v>
                </c:pt>
                <c:pt idx="2">
                  <c:v>2.4359999999999999</c:v>
                </c:pt>
                <c:pt idx="3">
                  <c:v>3.7619999999999996</c:v>
                </c:pt>
                <c:pt idx="4">
                  <c:v>2.238</c:v>
                </c:pt>
                <c:pt idx="5">
                  <c:v>3.516</c:v>
                </c:pt>
                <c:pt idx="6">
                  <c:v>3.516</c:v>
                </c:pt>
                <c:pt idx="7">
                  <c:v>4.032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1.9259999999999997</c:v>
                </c:pt>
                <c:pt idx="12">
                  <c:v>4.62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2.0460000000000003</c:v>
                </c:pt>
                <c:pt idx="16">
                  <c:v>0.41459999999999997</c:v>
                </c:pt>
                <c:pt idx="17">
                  <c:v>0.41459999999999997</c:v>
                </c:pt>
                <c:pt idx="18">
                  <c:v>1.032</c:v>
                </c:pt>
                <c:pt idx="19">
                  <c:v>2.2000000000000002</c:v>
                </c:pt>
                <c:pt idx="20">
                  <c:v>0.9</c:v>
                </c:pt>
                <c:pt idx="21">
                  <c:v>1.4760000000000002</c:v>
                </c:pt>
                <c:pt idx="22">
                  <c:v>1.911</c:v>
                </c:pt>
                <c:pt idx="23">
                  <c:v>1.026</c:v>
                </c:pt>
                <c:pt idx="24">
                  <c:v>0.75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0.6</c:v>
                </c:pt>
                <c:pt idx="29">
                  <c:v>2</c:v>
                </c:pt>
                <c:pt idx="30">
                  <c:v>0.63</c:v>
                </c:pt>
                <c:pt idx="31">
                  <c:v>0.63</c:v>
                </c:pt>
                <c:pt idx="32">
                  <c:v>0.63</c:v>
                </c:pt>
                <c:pt idx="33">
                  <c:v>0.65</c:v>
                </c:pt>
                <c:pt idx="34">
                  <c:v>0.65</c:v>
                </c:pt>
                <c:pt idx="35">
                  <c:v>1.5</c:v>
                </c:pt>
                <c:pt idx="36">
                  <c:v>1.1099999999999997</c:v>
                </c:pt>
                <c:pt idx="37">
                  <c:v>2.8839999999999999</c:v>
                </c:pt>
                <c:pt idx="38">
                  <c:v>3.4840000000000004</c:v>
                </c:pt>
                <c:pt idx="39">
                  <c:v>2.548</c:v>
                </c:pt>
                <c:pt idx="40">
                  <c:v>3.3</c:v>
                </c:pt>
                <c:pt idx="41">
                  <c:v>1.2</c:v>
                </c:pt>
                <c:pt idx="42">
                  <c:v>1.83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2.4</c:v>
                </c:pt>
                <c:pt idx="47">
                  <c:v>0.97199999999999998</c:v>
                </c:pt>
                <c:pt idx="48">
                  <c:v>2.2759999999999998</c:v>
                </c:pt>
                <c:pt idx="49">
                  <c:v>2.1280000000000001</c:v>
                </c:pt>
                <c:pt idx="50">
                  <c:v>1.4920000000000002</c:v>
                </c:pt>
                <c:pt idx="51">
                  <c:v>1.5719999999999998</c:v>
                </c:pt>
                <c:pt idx="52">
                  <c:v>2.2520000000000002</c:v>
                </c:pt>
                <c:pt idx="53">
                  <c:v>2.2520000000000002</c:v>
                </c:pt>
                <c:pt idx="54">
                  <c:v>2.2520000000000002</c:v>
                </c:pt>
                <c:pt idx="55">
                  <c:v>2.7919999999999998</c:v>
                </c:pt>
                <c:pt idx="56">
                  <c:v>0.53</c:v>
                </c:pt>
                <c:pt idx="57">
                  <c:v>0.53</c:v>
                </c:pt>
                <c:pt idx="58">
                  <c:v>0.53</c:v>
                </c:pt>
                <c:pt idx="59">
                  <c:v>0.87</c:v>
                </c:pt>
                <c:pt idx="60">
                  <c:v>0.87</c:v>
                </c:pt>
                <c:pt idx="61">
                  <c:v>0.36800000000000005</c:v>
                </c:pt>
                <c:pt idx="62">
                  <c:v>0.77999999999999992</c:v>
                </c:pt>
                <c:pt idx="63">
                  <c:v>1.1919999999999999</c:v>
                </c:pt>
                <c:pt idx="64">
                  <c:v>2.2199999999999998</c:v>
                </c:pt>
                <c:pt idx="65">
                  <c:v>3.2640000000000002</c:v>
                </c:pt>
                <c:pt idx="66">
                  <c:v>2.9960000000000004</c:v>
                </c:pt>
                <c:pt idx="67">
                  <c:v>2.4</c:v>
                </c:pt>
                <c:pt idx="68">
                  <c:v>0.6</c:v>
                </c:pt>
                <c:pt idx="69">
                  <c:v>1.51</c:v>
                </c:pt>
                <c:pt idx="70">
                  <c:v>1.4</c:v>
                </c:pt>
                <c:pt idx="71">
                  <c:v>0.41</c:v>
                </c:pt>
                <c:pt idx="72">
                  <c:v>1.38</c:v>
                </c:pt>
                <c:pt idx="73">
                  <c:v>1.45</c:v>
                </c:pt>
                <c:pt idx="74">
                  <c:v>0.63700000000000001</c:v>
                </c:pt>
                <c:pt idx="75">
                  <c:v>0.53900000000000003</c:v>
                </c:pt>
                <c:pt idx="76">
                  <c:v>0.14000000000000001</c:v>
                </c:pt>
                <c:pt idx="77">
                  <c:v>0.24299999999999999</c:v>
                </c:pt>
                <c:pt idx="78">
                  <c:v>0.31799999999999995</c:v>
                </c:pt>
                <c:pt idx="79">
                  <c:v>0.31799999999999995</c:v>
                </c:pt>
                <c:pt idx="80">
                  <c:v>1.5</c:v>
                </c:pt>
                <c:pt idx="81">
                  <c:v>0.38</c:v>
                </c:pt>
                <c:pt idx="82">
                  <c:v>1.5</c:v>
                </c:pt>
                <c:pt idx="83">
                  <c:v>1.5</c:v>
                </c:pt>
                <c:pt idx="84">
                  <c:v>0.18</c:v>
                </c:pt>
              </c:numCache>
            </c:numRef>
          </c:xVal>
          <c:yVal>
            <c:numRef>
              <c:f>'Analysis New'!$AU$5:$AU$89</c:f>
              <c:numCache>
                <c:formatCode>General</c:formatCode>
                <c:ptCount val="85"/>
                <c:pt idx="69">
                  <c:v>38</c:v>
                </c:pt>
                <c:pt idx="70">
                  <c:v>50</c:v>
                </c:pt>
                <c:pt idx="71">
                  <c:v>82.5</c:v>
                </c:pt>
                <c:pt idx="72">
                  <c:v>26</c:v>
                </c:pt>
                <c:pt idx="73">
                  <c:v>41</c:v>
                </c:pt>
                <c:pt idx="74">
                  <c:v>64</c:v>
                </c:pt>
                <c:pt idx="75">
                  <c:v>70</c:v>
                </c:pt>
                <c:pt idx="76">
                  <c:v>30</c:v>
                </c:pt>
                <c:pt idx="77">
                  <c:v>77</c:v>
                </c:pt>
                <c:pt idx="78">
                  <c:v>57</c:v>
                </c:pt>
                <c:pt idx="79">
                  <c:v>57.9</c:v>
                </c:pt>
                <c:pt idx="80">
                  <c:v>51</c:v>
                </c:pt>
                <c:pt idx="81">
                  <c:v>75.161290322580655</c:v>
                </c:pt>
                <c:pt idx="82">
                  <c:v>58</c:v>
                </c:pt>
                <c:pt idx="83">
                  <c:v>62</c:v>
                </c:pt>
                <c:pt idx="84">
                  <c:v>59.574468085106382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626-4783-8092-30388C09D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9018847"/>
        <c:axId val="979019263"/>
      </c:scatterChart>
      <c:valAx>
        <c:axId val="979018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9019263"/>
        <c:crosses val="autoZero"/>
        <c:crossBetween val="midCat"/>
      </c:valAx>
      <c:valAx>
        <c:axId val="979019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90188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3'!$T$1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3'!$Q$2:$Q$82</c:f>
              <c:numCache>
                <c:formatCode>General</c:formatCode>
                <c:ptCount val="81"/>
                <c:pt idx="0">
                  <c:v>400</c:v>
                </c:pt>
                <c:pt idx="1">
                  <c:v>402</c:v>
                </c:pt>
                <c:pt idx="2">
                  <c:v>403</c:v>
                </c:pt>
                <c:pt idx="3">
                  <c:v>403.64583333333326</c:v>
                </c:pt>
                <c:pt idx="4">
                  <c:v>406</c:v>
                </c:pt>
                <c:pt idx="5">
                  <c:v>407</c:v>
                </c:pt>
                <c:pt idx="6">
                  <c:v>422.40000000000003</c:v>
                </c:pt>
                <c:pt idx="7">
                  <c:v>424</c:v>
                </c:pt>
                <c:pt idx="8">
                  <c:v>432</c:v>
                </c:pt>
                <c:pt idx="9">
                  <c:v>434</c:v>
                </c:pt>
                <c:pt idx="10">
                  <c:v>437.5</c:v>
                </c:pt>
                <c:pt idx="11">
                  <c:v>442.70833333333331</c:v>
                </c:pt>
                <c:pt idx="12">
                  <c:v>452</c:v>
                </c:pt>
                <c:pt idx="13">
                  <c:v>452</c:v>
                </c:pt>
                <c:pt idx="14">
                  <c:v>459</c:v>
                </c:pt>
                <c:pt idx="15">
                  <c:v>475</c:v>
                </c:pt>
                <c:pt idx="16">
                  <c:v>475.2</c:v>
                </c:pt>
                <c:pt idx="17">
                  <c:v>475.66</c:v>
                </c:pt>
                <c:pt idx="18">
                  <c:v>489.6</c:v>
                </c:pt>
                <c:pt idx="19">
                  <c:v>539</c:v>
                </c:pt>
                <c:pt idx="20">
                  <c:v>539</c:v>
                </c:pt>
                <c:pt idx="21">
                  <c:v>539</c:v>
                </c:pt>
                <c:pt idx="22">
                  <c:v>539</c:v>
                </c:pt>
                <c:pt idx="23">
                  <c:v>547</c:v>
                </c:pt>
                <c:pt idx="24">
                  <c:v>553</c:v>
                </c:pt>
                <c:pt idx="25">
                  <c:v>553</c:v>
                </c:pt>
                <c:pt idx="26">
                  <c:v>553</c:v>
                </c:pt>
                <c:pt idx="27">
                  <c:v>563</c:v>
                </c:pt>
                <c:pt idx="28">
                  <c:v>563</c:v>
                </c:pt>
                <c:pt idx="29">
                  <c:v>563</c:v>
                </c:pt>
                <c:pt idx="30">
                  <c:v>566</c:v>
                </c:pt>
                <c:pt idx="31">
                  <c:v>566</c:v>
                </c:pt>
                <c:pt idx="32">
                  <c:v>567</c:v>
                </c:pt>
                <c:pt idx="33">
                  <c:v>567</c:v>
                </c:pt>
                <c:pt idx="34">
                  <c:v>572</c:v>
                </c:pt>
                <c:pt idx="35">
                  <c:v>572</c:v>
                </c:pt>
                <c:pt idx="36">
                  <c:v>586</c:v>
                </c:pt>
                <c:pt idx="37">
                  <c:v>586</c:v>
                </c:pt>
                <c:pt idx="38">
                  <c:v>589</c:v>
                </c:pt>
                <c:pt idx="39">
                  <c:v>612</c:v>
                </c:pt>
                <c:pt idx="40">
                  <c:v>612</c:v>
                </c:pt>
                <c:pt idx="41">
                  <c:v>618</c:v>
                </c:pt>
                <c:pt idx="42">
                  <c:v>622</c:v>
                </c:pt>
                <c:pt idx="43">
                  <c:v>627</c:v>
                </c:pt>
                <c:pt idx="44">
                  <c:v>637</c:v>
                </c:pt>
                <c:pt idx="45">
                  <c:v>637</c:v>
                </c:pt>
                <c:pt idx="46">
                  <c:v>637</c:v>
                </c:pt>
                <c:pt idx="47">
                  <c:v>637</c:v>
                </c:pt>
                <c:pt idx="48">
                  <c:v>637</c:v>
                </c:pt>
                <c:pt idx="49">
                  <c:v>637</c:v>
                </c:pt>
                <c:pt idx="50">
                  <c:v>637</c:v>
                </c:pt>
                <c:pt idx="51">
                  <c:v>637</c:v>
                </c:pt>
                <c:pt idx="52">
                  <c:v>637</c:v>
                </c:pt>
                <c:pt idx="53">
                  <c:v>637</c:v>
                </c:pt>
                <c:pt idx="54">
                  <c:v>644</c:v>
                </c:pt>
                <c:pt idx="55">
                  <c:v>653</c:v>
                </c:pt>
                <c:pt idx="56">
                  <c:v>659</c:v>
                </c:pt>
                <c:pt idx="57">
                  <c:v>672</c:v>
                </c:pt>
                <c:pt idx="58">
                  <c:v>686</c:v>
                </c:pt>
                <c:pt idx="59">
                  <c:v>687</c:v>
                </c:pt>
                <c:pt idx="60">
                  <c:v>689</c:v>
                </c:pt>
                <c:pt idx="61">
                  <c:v>698</c:v>
                </c:pt>
                <c:pt idx="62">
                  <c:v>700</c:v>
                </c:pt>
                <c:pt idx="63">
                  <c:v>700</c:v>
                </c:pt>
                <c:pt idx="64">
                  <c:v>745</c:v>
                </c:pt>
                <c:pt idx="65">
                  <c:v>749</c:v>
                </c:pt>
                <c:pt idx="66">
                  <c:v>750</c:v>
                </c:pt>
                <c:pt idx="67">
                  <c:v>756</c:v>
                </c:pt>
                <c:pt idx="68">
                  <c:v>756</c:v>
                </c:pt>
                <c:pt idx="69">
                  <c:v>776</c:v>
                </c:pt>
                <c:pt idx="70">
                  <c:v>796</c:v>
                </c:pt>
                <c:pt idx="71">
                  <c:v>809</c:v>
                </c:pt>
                <c:pt idx="72">
                  <c:v>820</c:v>
                </c:pt>
                <c:pt idx="73">
                  <c:v>821</c:v>
                </c:pt>
                <c:pt idx="74">
                  <c:v>905</c:v>
                </c:pt>
                <c:pt idx="75">
                  <c:v>905</c:v>
                </c:pt>
                <c:pt idx="76">
                  <c:v>925.6</c:v>
                </c:pt>
                <c:pt idx="77">
                  <c:v>925.6</c:v>
                </c:pt>
                <c:pt idx="78">
                  <c:v>976</c:v>
                </c:pt>
                <c:pt idx="79">
                  <c:v>980</c:v>
                </c:pt>
                <c:pt idx="80">
                  <c:v>990</c:v>
                </c:pt>
              </c:numCache>
            </c:numRef>
          </c:xVal>
          <c:yVal>
            <c:numRef>
              <c:f>'Analysis 3'!$T$2:$T$82</c:f>
              <c:numCache>
                <c:formatCode>General</c:formatCode>
                <c:ptCount val="81"/>
                <c:pt idx="0">
                  <c:v>142</c:v>
                </c:pt>
                <c:pt idx="1">
                  <c:v>112.56</c:v>
                </c:pt>
                <c:pt idx="2">
                  <c:v>149</c:v>
                </c:pt>
                <c:pt idx="3">
                  <c:v>100.26041666666666</c:v>
                </c:pt>
                <c:pt idx="4">
                  <c:v>142</c:v>
                </c:pt>
                <c:pt idx="5">
                  <c:v>142</c:v>
                </c:pt>
                <c:pt idx="6">
                  <c:v>219.16981132075475</c:v>
                </c:pt>
                <c:pt idx="7">
                  <c:v>169</c:v>
                </c:pt>
                <c:pt idx="8">
                  <c:v>186.62400000000002</c:v>
                </c:pt>
                <c:pt idx="9">
                  <c:v>172</c:v>
                </c:pt>
                <c:pt idx="10">
                  <c:v>108.33333333333333</c:v>
                </c:pt>
                <c:pt idx="11">
                  <c:v>69.270833333333329</c:v>
                </c:pt>
                <c:pt idx="12">
                  <c:v>235.04000000000002</c:v>
                </c:pt>
                <c:pt idx="13">
                  <c:v>230.52</c:v>
                </c:pt>
                <c:pt idx="14">
                  <c:v>206</c:v>
                </c:pt>
                <c:pt idx="15">
                  <c:v>165</c:v>
                </c:pt>
                <c:pt idx="16">
                  <c:v>292.93150684931504</c:v>
                </c:pt>
                <c:pt idx="17">
                  <c:v>52.53</c:v>
                </c:pt>
                <c:pt idx="18">
                  <c:v>274.58447276940905</c:v>
                </c:pt>
                <c:pt idx="19">
                  <c:v>71</c:v>
                </c:pt>
                <c:pt idx="20">
                  <c:v>71</c:v>
                </c:pt>
                <c:pt idx="21">
                  <c:v>50</c:v>
                </c:pt>
                <c:pt idx="22">
                  <c:v>274</c:v>
                </c:pt>
                <c:pt idx="23">
                  <c:v>245</c:v>
                </c:pt>
                <c:pt idx="24">
                  <c:v>276.5</c:v>
                </c:pt>
                <c:pt idx="25">
                  <c:v>293.09000000000003</c:v>
                </c:pt>
                <c:pt idx="26">
                  <c:v>243.32</c:v>
                </c:pt>
                <c:pt idx="27">
                  <c:v>178</c:v>
                </c:pt>
                <c:pt idx="28">
                  <c:v>149</c:v>
                </c:pt>
                <c:pt idx="29">
                  <c:v>169</c:v>
                </c:pt>
                <c:pt idx="30">
                  <c:v>277</c:v>
                </c:pt>
                <c:pt idx="31">
                  <c:v>139</c:v>
                </c:pt>
                <c:pt idx="32">
                  <c:v>175</c:v>
                </c:pt>
                <c:pt idx="33">
                  <c:v>155</c:v>
                </c:pt>
                <c:pt idx="34">
                  <c:v>211</c:v>
                </c:pt>
                <c:pt idx="35">
                  <c:v>190</c:v>
                </c:pt>
                <c:pt idx="36">
                  <c:v>195</c:v>
                </c:pt>
                <c:pt idx="37">
                  <c:v>184</c:v>
                </c:pt>
                <c:pt idx="38">
                  <c:v>226</c:v>
                </c:pt>
                <c:pt idx="39">
                  <c:v>255</c:v>
                </c:pt>
                <c:pt idx="40">
                  <c:v>254</c:v>
                </c:pt>
                <c:pt idx="41">
                  <c:v>495</c:v>
                </c:pt>
                <c:pt idx="42">
                  <c:v>102</c:v>
                </c:pt>
                <c:pt idx="43">
                  <c:v>163.01999999999998</c:v>
                </c:pt>
                <c:pt idx="44">
                  <c:v>165.62</c:v>
                </c:pt>
                <c:pt idx="45">
                  <c:v>178.36</c:v>
                </c:pt>
                <c:pt idx="46">
                  <c:v>254.8</c:v>
                </c:pt>
                <c:pt idx="47">
                  <c:v>203.83999999999997</c:v>
                </c:pt>
                <c:pt idx="48">
                  <c:v>229.32</c:v>
                </c:pt>
                <c:pt idx="49">
                  <c:v>171.99</c:v>
                </c:pt>
                <c:pt idx="50">
                  <c:v>171.99</c:v>
                </c:pt>
                <c:pt idx="51">
                  <c:v>229.32</c:v>
                </c:pt>
                <c:pt idx="52">
                  <c:v>222.95</c:v>
                </c:pt>
                <c:pt idx="53">
                  <c:v>248.43</c:v>
                </c:pt>
                <c:pt idx="54">
                  <c:v>129</c:v>
                </c:pt>
                <c:pt idx="55">
                  <c:v>518</c:v>
                </c:pt>
                <c:pt idx="56">
                  <c:v>391</c:v>
                </c:pt>
                <c:pt idx="57">
                  <c:v>238</c:v>
                </c:pt>
                <c:pt idx="58">
                  <c:v>584</c:v>
                </c:pt>
                <c:pt idx="59">
                  <c:v>234</c:v>
                </c:pt>
                <c:pt idx="60">
                  <c:v>403</c:v>
                </c:pt>
                <c:pt idx="61">
                  <c:v>198</c:v>
                </c:pt>
                <c:pt idx="62">
                  <c:v>207</c:v>
                </c:pt>
                <c:pt idx="63">
                  <c:v>202</c:v>
                </c:pt>
                <c:pt idx="64">
                  <c:v>506</c:v>
                </c:pt>
                <c:pt idx="65">
                  <c:v>374.5</c:v>
                </c:pt>
                <c:pt idx="66">
                  <c:v>432</c:v>
                </c:pt>
                <c:pt idx="67">
                  <c:v>234</c:v>
                </c:pt>
                <c:pt idx="68">
                  <c:v>450</c:v>
                </c:pt>
                <c:pt idx="69">
                  <c:v>398</c:v>
                </c:pt>
                <c:pt idx="70">
                  <c:v>667</c:v>
                </c:pt>
                <c:pt idx="71">
                  <c:v>92</c:v>
                </c:pt>
                <c:pt idx="72">
                  <c:v>631</c:v>
                </c:pt>
                <c:pt idx="73">
                  <c:v>789.5</c:v>
                </c:pt>
                <c:pt idx="74">
                  <c:v>433</c:v>
                </c:pt>
                <c:pt idx="75">
                  <c:v>408</c:v>
                </c:pt>
                <c:pt idx="76">
                  <c:v>280.39999999999998</c:v>
                </c:pt>
                <c:pt idx="77">
                  <c:v>263.89999999999998</c:v>
                </c:pt>
                <c:pt idx="78">
                  <c:v>670.6</c:v>
                </c:pt>
                <c:pt idx="79">
                  <c:v>150.92000000000007</c:v>
                </c:pt>
                <c:pt idx="80">
                  <c:v>270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8C-43C2-9606-C68E6345E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2201087"/>
        <c:axId val="802195263"/>
      </c:scatterChart>
      <c:valAx>
        <c:axId val="802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195263"/>
        <c:crosses val="autoZero"/>
        <c:crossBetween val="midCat"/>
      </c:valAx>
      <c:valAx>
        <c:axId val="802195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2010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3'!$T$1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2718941382327209E-2"/>
                  <c:y val="-0.110570501603966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'Analysis 3'!$R$2:$R$255</c:f>
              <c:numCache>
                <c:formatCode>0</c:formatCode>
                <c:ptCount val="254"/>
                <c:pt idx="0" formatCode="General">
                  <c:v>19</c:v>
                </c:pt>
                <c:pt idx="1">
                  <c:v>20</c:v>
                </c:pt>
                <c:pt idx="2" formatCode="General">
                  <c:v>18</c:v>
                </c:pt>
                <c:pt idx="3" formatCode="General">
                  <c:v>20</c:v>
                </c:pt>
                <c:pt idx="4" formatCode="General">
                  <c:v>23</c:v>
                </c:pt>
                <c:pt idx="5" formatCode="General">
                  <c:v>21</c:v>
                </c:pt>
                <c:pt idx="6" formatCode="General">
                  <c:v>13</c:v>
                </c:pt>
                <c:pt idx="7" formatCode="General">
                  <c:v>20</c:v>
                </c:pt>
                <c:pt idx="8" formatCode="General">
                  <c:v>17</c:v>
                </c:pt>
                <c:pt idx="9" formatCode="General">
                  <c:v>25.5</c:v>
                </c:pt>
                <c:pt idx="10" formatCode="General">
                  <c:v>20</c:v>
                </c:pt>
                <c:pt idx="11" formatCode="General">
                  <c:v>20</c:v>
                </c:pt>
                <c:pt idx="12" formatCode="General">
                  <c:v>22.7</c:v>
                </c:pt>
                <c:pt idx="13" formatCode="General">
                  <c:v>24.3</c:v>
                </c:pt>
                <c:pt idx="14" formatCode="General">
                  <c:v>22</c:v>
                </c:pt>
                <c:pt idx="15" formatCode="General">
                  <c:v>18.5</c:v>
                </c:pt>
                <c:pt idx="16" formatCode="General">
                  <c:v>19</c:v>
                </c:pt>
                <c:pt idx="17" formatCode="General">
                  <c:v>20</c:v>
                </c:pt>
                <c:pt idx="18" formatCode="General">
                  <c:v>9</c:v>
                </c:pt>
                <c:pt idx="19">
                  <c:v>23</c:v>
                </c:pt>
                <c:pt idx="20" formatCode="General">
                  <c:v>23</c:v>
                </c:pt>
                <c:pt idx="21" formatCode="General">
                  <c:v>23</c:v>
                </c:pt>
                <c:pt idx="22" formatCode="General">
                  <c:v>27</c:v>
                </c:pt>
                <c:pt idx="23" formatCode="General">
                  <c:v>27</c:v>
                </c:pt>
                <c:pt idx="24" formatCode="General">
                  <c:v>23</c:v>
                </c:pt>
                <c:pt idx="25" formatCode="General">
                  <c:v>23</c:v>
                </c:pt>
                <c:pt idx="26" formatCode="General">
                  <c:v>23</c:v>
                </c:pt>
                <c:pt idx="27" formatCode="General">
                  <c:v>25</c:v>
                </c:pt>
                <c:pt idx="28" formatCode="General">
                  <c:v>25</c:v>
                </c:pt>
                <c:pt idx="29" formatCode="General">
                  <c:v>25</c:v>
                </c:pt>
                <c:pt idx="30" formatCode="General">
                  <c:v>23</c:v>
                </c:pt>
                <c:pt idx="31" formatCode="General">
                  <c:v>27</c:v>
                </c:pt>
                <c:pt idx="32" formatCode="General">
                  <c:v>17</c:v>
                </c:pt>
                <c:pt idx="33" formatCode="General">
                  <c:v>17</c:v>
                </c:pt>
                <c:pt idx="34" formatCode="General">
                  <c:v>26</c:v>
                </c:pt>
                <c:pt idx="35" formatCode="General">
                  <c:v>26</c:v>
                </c:pt>
                <c:pt idx="36" formatCode="General">
                  <c:v>25</c:v>
                </c:pt>
                <c:pt idx="37" formatCode="General">
                  <c:v>25</c:v>
                </c:pt>
                <c:pt idx="38" formatCode="General">
                  <c:v>30</c:v>
                </c:pt>
                <c:pt idx="39" formatCode="General">
                  <c:v>31</c:v>
                </c:pt>
                <c:pt idx="40" formatCode="General">
                  <c:v>31</c:v>
                </c:pt>
                <c:pt idx="41" formatCode="General">
                  <c:v>22</c:v>
                </c:pt>
                <c:pt idx="42" formatCode="General">
                  <c:v>27.4</c:v>
                </c:pt>
                <c:pt idx="43" formatCode="General">
                  <c:v>23</c:v>
                </c:pt>
                <c:pt idx="44" formatCode="General">
                  <c:v>17</c:v>
                </c:pt>
                <c:pt idx="45" formatCode="General">
                  <c:v>17</c:v>
                </c:pt>
                <c:pt idx="46" formatCode="General">
                  <c:v>17</c:v>
                </c:pt>
                <c:pt idx="47" formatCode="General">
                  <c:v>19</c:v>
                </c:pt>
                <c:pt idx="48" formatCode="General">
                  <c:v>19</c:v>
                </c:pt>
                <c:pt idx="49" formatCode="General">
                  <c:v>19</c:v>
                </c:pt>
                <c:pt idx="50" formatCode="General">
                  <c:v>19</c:v>
                </c:pt>
                <c:pt idx="51" formatCode="General">
                  <c:v>19</c:v>
                </c:pt>
                <c:pt idx="52" formatCode="General">
                  <c:v>19</c:v>
                </c:pt>
                <c:pt idx="53" formatCode="General">
                  <c:v>19</c:v>
                </c:pt>
                <c:pt idx="54" formatCode="General">
                  <c:v>27.4</c:v>
                </c:pt>
                <c:pt idx="55" formatCode="General">
                  <c:v>25</c:v>
                </c:pt>
                <c:pt idx="56" formatCode="General">
                  <c:v>25</c:v>
                </c:pt>
                <c:pt idx="57" formatCode="General">
                  <c:v>25</c:v>
                </c:pt>
                <c:pt idx="58" formatCode="General">
                  <c:v>22</c:v>
                </c:pt>
                <c:pt idx="59">
                  <c:v>26</c:v>
                </c:pt>
                <c:pt idx="60" formatCode="General">
                  <c:v>23</c:v>
                </c:pt>
                <c:pt idx="61" formatCode="General">
                  <c:v>25</c:v>
                </c:pt>
                <c:pt idx="62" formatCode="General">
                  <c:v>12</c:v>
                </c:pt>
                <c:pt idx="63" formatCode="General">
                  <c:v>12</c:v>
                </c:pt>
                <c:pt idx="64" formatCode="General">
                  <c:v>25</c:v>
                </c:pt>
                <c:pt idx="65">
                  <c:v>26</c:v>
                </c:pt>
                <c:pt idx="66" formatCode="General">
                  <c:v>25</c:v>
                </c:pt>
                <c:pt idx="67" formatCode="General">
                  <c:v>25</c:v>
                </c:pt>
                <c:pt idx="68" formatCode="General">
                  <c:v>23</c:v>
                </c:pt>
                <c:pt idx="69" formatCode="General">
                  <c:v>25</c:v>
                </c:pt>
                <c:pt idx="70" formatCode="General">
                  <c:v>27</c:v>
                </c:pt>
                <c:pt idx="71" formatCode="General">
                  <c:v>27.4</c:v>
                </c:pt>
                <c:pt idx="72" formatCode="General">
                  <c:v>25</c:v>
                </c:pt>
                <c:pt idx="73" formatCode="General">
                  <c:v>12.9</c:v>
                </c:pt>
                <c:pt idx="74" formatCode="General">
                  <c:v>17</c:v>
                </c:pt>
                <c:pt idx="75" formatCode="General">
                  <c:v>17</c:v>
                </c:pt>
                <c:pt idx="76" formatCode="General">
                  <c:v>25</c:v>
                </c:pt>
                <c:pt idx="77" formatCode="General">
                  <c:v>25</c:v>
                </c:pt>
                <c:pt idx="78" formatCode="General">
                  <c:v>13.8</c:v>
                </c:pt>
                <c:pt idx="79" formatCode="General">
                  <c:v>35</c:v>
                </c:pt>
                <c:pt idx="80" formatCode="General">
                  <c:v>35</c:v>
                </c:pt>
              </c:numCache>
            </c:numRef>
          </c:xVal>
          <c:yVal>
            <c:numRef>
              <c:f>'Analysis 3'!$T$2:$T$255</c:f>
              <c:numCache>
                <c:formatCode>General</c:formatCode>
                <c:ptCount val="254"/>
                <c:pt idx="0">
                  <c:v>142</c:v>
                </c:pt>
                <c:pt idx="1">
                  <c:v>112.56</c:v>
                </c:pt>
                <c:pt idx="2">
                  <c:v>149</c:v>
                </c:pt>
                <c:pt idx="3">
                  <c:v>100.26041666666666</c:v>
                </c:pt>
                <c:pt idx="4">
                  <c:v>142</c:v>
                </c:pt>
                <c:pt idx="5">
                  <c:v>142</c:v>
                </c:pt>
                <c:pt idx="6">
                  <c:v>219.16981132075475</c:v>
                </c:pt>
                <c:pt idx="7">
                  <c:v>169</c:v>
                </c:pt>
                <c:pt idx="8">
                  <c:v>186.62400000000002</c:v>
                </c:pt>
                <c:pt idx="9">
                  <c:v>172</c:v>
                </c:pt>
                <c:pt idx="10">
                  <c:v>108.33333333333333</c:v>
                </c:pt>
                <c:pt idx="11">
                  <c:v>69.270833333333329</c:v>
                </c:pt>
                <c:pt idx="12">
                  <c:v>235.04000000000002</c:v>
                </c:pt>
                <c:pt idx="13">
                  <c:v>230.52</c:v>
                </c:pt>
                <c:pt idx="14">
                  <c:v>206</c:v>
                </c:pt>
                <c:pt idx="15">
                  <c:v>165</c:v>
                </c:pt>
                <c:pt idx="16">
                  <c:v>292.93150684931504</c:v>
                </c:pt>
                <c:pt idx="17">
                  <c:v>52.53</c:v>
                </c:pt>
                <c:pt idx="18">
                  <c:v>274.58447276940905</c:v>
                </c:pt>
                <c:pt idx="19">
                  <c:v>71</c:v>
                </c:pt>
                <c:pt idx="20">
                  <c:v>71</c:v>
                </c:pt>
                <c:pt idx="21">
                  <c:v>50</c:v>
                </c:pt>
                <c:pt idx="22">
                  <c:v>274</c:v>
                </c:pt>
                <c:pt idx="23">
                  <c:v>245</c:v>
                </c:pt>
                <c:pt idx="24">
                  <c:v>276.5</c:v>
                </c:pt>
                <c:pt idx="25">
                  <c:v>293.09000000000003</c:v>
                </c:pt>
                <c:pt idx="26">
                  <c:v>243.32</c:v>
                </c:pt>
                <c:pt idx="27">
                  <c:v>178</c:v>
                </c:pt>
                <c:pt idx="28">
                  <c:v>149</c:v>
                </c:pt>
                <c:pt idx="29">
                  <c:v>169</c:v>
                </c:pt>
                <c:pt idx="30">
                  <c:v>277</c:v>
                </c:pt>
                <c:pt idx="31">
                  <c:v>139</c:v>
                </c:pt>
                <c:pt idx="32">
                  <c:v>175</c:v>
                </c:pt>
                <c:pt idx="33">
                  <c:v>155</c:v>
                </c:pt>
                <c:pt idx="34">
                  <c:v>211</c:v>
                </c:pt>
                <c:pt idx="35">
                  <c:v>190</c:v>
                </c:pt>
                <c:pt idx="36">
                  <c:v>195</c:v>
                </c:pt>
                <c:pt idx="37">
                  <c:v>184</c:v>
                </c:pt>
                <c:pt idx="38">
                  <c:v>226</c:v>
                </c:pt>
                <c:pt idx="39">
                  <c:v>255</c:v>
                </c:pt>
                <c:pt idx="40">
                  <c:v>254</c:v>
                </c:pt>
                <c:pt idx="41">
                  <c:v>495</c:v>
                </c:pt>
                <c:pt idx="42">
                  <c:v>102</c:v>
                </c:pt>
                <c:pt idx="43">
                  <c:v>163.01999999999998</c:v>
                </c:pt>
                <c:pt idx="44">
                  <c:v>165.62</c:v>
                </c:pt>
                <c:pt idx="45">
                  <c:v>178.36</c:v>
                </c:pt>
                <c:pt idx="46">
                  <c:v>254.8</c:v>
                </c:pt>
                <c:pt idx="47">
                  <c:v>203.83999999999997</c:v>
                </c:pt>
                <c:pt idx="48">
                  <c:v>229.32</c:v>
                </c:pt>
                <c:pt idx="49">
                  <c:v>171.99</c:v>
                </c:pt>
                <c:pt idx="50">
                  <c:v>171.99</c:v>
                </c:pt>
                <c:pt idx="51">
                  <c:v>229.32</c:v>
                </c:pt>
                <c:pt idx="52">
                  <c:v>222.95</c:v>
                </c:pt>
                <c:pt idx="53">
                  <c:v>248.43</c:v>
                </c:pt>
                <c:pt idx="54">
                  <c:v>129</c:v>
                </c:pt>
                <c:pt idx="55">
                  <c:v>518</c:v>
                </c:pt>
                <c:pt idx="56">
                  <c:v>391</c:v>
                </c:pt>
                <c:pt idx="57">
                  <c:v>238</c:v>
                </c:pt>
                <c:pt idx="58">
                  <c:v>584</c:v>
                </c:pt>
                <c:pt idx="59">
                  <c:v>234</c:v>
                </c:pt>
                <c:pt idx="60">
                  <c:v>403</c:v>
                </c:pt>
                <c:pt idx="61">
                  <c:v>198</c:v>
                </c:pt>
                <c:pt idx="62">
                  <c:v>207</c:v>
                </c:pt>
                <c:pt idx="63">
                  <c:v>202</c:v>
                </c:pt>
                <c:pt idx="64">
                  <c:v>506</c:v>
                </c:pt>
                <c:pt idx="65">
                  <c:v>374.5</c:v>
                </c:pt>
                <c:pt idx="66">
                  <c:v>432</c:v>
                </c:pt>
                <c:pt idx="67">
                  <c:v>234</c:v>
                </c:pt>
                <c:pt idx="68">
                  <c:v>450</c:v>
                </c:pt>
                <c:pt idx="69">
                  <c:v>398</c:v>
                </c:pt>
                <c:pt idx="70">
                  <c:v>667</c:v>
                </c:pt>
                <c:pt idx="71">
                  <c:v>92</c:v>
                </c:pt>
                <c:pt idx="72">
                  <c:v>631</c:v>
                </c:pt>
                <c:pt idx="73">
                  <c:v>789.5</c:v>
                </c:pt>
                <c:pt idx="74">
                  <c:v>433</c:v>
                </c:pt>
                <c:pt idx="75">
                  <c:v>408</c:v>
                </c:pt>
                <c:pt idx="76">
                  <c:v>280.39999999999998</c:v>
                </c:pt>
                <c:pt idx="77">
                  <c:v>263.89999999999998</c:v>
                </c:pt>
                <c:pt idx="78">
                  <c:v>670.6</c:v>
                </c:pt>
                <c:pt idx="79">
                  <c:v>150.92000000000007</c:v>
                </c:pt>
                <c:pt idx="80">
                  <c:v>270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A8-4A3D-90B1-1982DA76B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3022495"/>
        <c:axId val="793025407"/>
      </c:scatterChart>
      <c:valAx>
        <c:axId val="793022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025407"/>
        <c:crosses val="autoZero"/>
        <c:crossBetween val="midCat"/>
      </c:valAx>
      <c:valAx>
        <c:axId val="7930254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022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3'!$T$1</c:f>
              <c:strCache>
                <c:ptCount val="1"/>
                <c:pt idx="0">
                  <c:v>Eff TCOD (mg/l)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2447506561679787E-2"/>
                  <c:y val="-0.10161563137941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strRef>
              <c:f>'Analysis 3'!$S$2:$S$255</c:f>
              <c:strCache>
                <c:ptCount val="81"/>
                <c:pt idx="0">
                  <c:v>14.5</c:v>
                </c:pt>
                <c:pt idx="1">
                  <c:v>7</c:v>
                </c:pt>
                <c:pt idx="2">
                  <c:v>11</c:v>
                </c:pt>
                <c:pt idx="3">
                  <c:v>25</c:v>
                </c:pt>
                <c:pt idx="4">
                  <c:v>4</c:v>
                </c:pt>
                <c:pt idx="5">
                  <c:v>8.8</c:v>
                </c:pt>
                <c:pt idx="6">
                  <c:v>8</c:v>
                </c:pt>
                <c:pt idx="7">
                  <c:v>4</c:v>
                </c:pt>
                <c:pt idx="8">
                  <c:v>18</c:v>
                </c:pt>
                <c:pt idx="9">
                  <c:v>72</c:v>
                </c:pt>
                <c:pt idx="10">
                  <c:v>40</c:v>
                </c:pt>
                <c:pt idx="11">
                  <c:v>10</c:v>
                </c:pt>
                <c:pt idx="12">
                  <c:v>5.7</c:v>
                </c:pt>
                <c:pt idx="13">
                  <c:v>5.9</c:v>
                </c:pt>
                <c:pt idx="14">
                  <c:v>7.2</c:v>
                </c:pt>
                <c:pt idx="15">
                  <c:v>3.6</c:v>
                </c:pt>
                <c:pt idx="16">
                  <c:v>6</c:v>
                </c:pt>
                <c:pt idx="18">
                  <c:v>12</c:v>
                </c:pt>
                <c:pt idx="19">
                  <c:v>48</c:v>
                </c:pt>
                <c:pt idx="20">
                  <c:v>36</c:v>
                </c:pt>
                <c:pt idx="21">
                  <c:v>24</c:v>
                </c:pt>
                <c:pt idx="22">
                  <c:v>10.2</c:v>
                </c:pt>
                <c:pt idx="23">
                  <c:v>11.8</c:v>
                </c:pt>
                <c:pt idx="24">
                  <c:v>2.8</c:v>
                </c:pt>
                <c:pt idx="25">
                  <c:v>4.4</c:v>
                </c:pt>
                <c:pt idx="26">
                  <c:v>5.7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10.2</c:v>
                </c:pt>
                <c:pt idx="31">
                  <c:v>8.5</c:v>
                </c:pt>
                <c:pt idx="32">
                  <c:v>5.5</c:v>
                </c:pt>
                <c:pt idx="33">
                  <c:v>5.5</c:v>
                </c:pt>
                <c:pt idx="34">
                  <c:v>2.7</c:v>
                </c:pt>
                <c:pt idx="35">
                  <c:v>2.7</c:v>
                </c:pt>
                <c:pt idx="36">
                  <c:v>4</c:v>
                </c:pt>
                <c:pt idx="37">
                  <c:v>4</c:v>
                </c:pt>
                <c:pt idx="38">
                  <c:v>32</c:v>
                </c:pt>
                <c:pt idx="39">
                  <c:v>1.4</c:v>
                </c:pt>
                <c:pt idx="40">
                  <c:v>1.4</c:v>
                </c:pt>
                <c:pt idx="41">
                  <c:v>5</c:v>
                </c:pt>
                <c:pt idx="42">
                  <c:v>7.5</c:v>
                </c:pt>
                <c:pt idx="43">
                  <c:v>4</c:v>
                </c:pt>
                <c:pt idx="44">
                  <c:v>18</c:v>
                </c:pt>
                <c:pt idx="45">
                  <c:v>14</c:v>
                </c:pt>
                <c:pt idx="46">
                  <c:v>10</c:v>
                </c:pt>
                <c:pt idx="47">
                  <c:v>36</c:v>
                </c:pt>
                <c:pt idx="48">
                  <c:v>24</c:v>
                </c:pt>
                <c:pt idx="49">
                  <c:v>18</c:v>
                </c:pt>
                <c:pt idx="50">
                  <c:v>14</c:v>
                </c:pt>
                <c:pt idx="51">
                  <c:v>10</c:v>
                </c:pt>
                <c:pt idx="52">
                  <c:v>8</c:v>
                </c:pt>
                <c:pt idx="53">
                  <c:v>6</c:v>
                </c:pt>
                <c:pt idx="54">
                  <c:v>7.5</c:v>
                </c:pt>
                <c:pt idx="55">
                  <c:v>8.8</c:v>
                </c:pt>
                <c:pt idx="56">
                  <c:v>11.2</c:v>
                </c:pt>
                <c:pt idx="57">
                  <c:v>4</c:v>
                </c:pt>
                <c:pt idx="58">
                  <c:v>4</c:v>
                </c:pt>
                <c:pt idx="59">
                  <c:v>8</c:v>
                </c:pt>
                <c:pt idx="60">
                  <c:v>14.3</c:v>
                </c:pt>
                <c:pt idx="61">
                  <c:v>6</c:v>
                </c:pt>
                <c:pt idx="62">
                  <c:v>7</c:v>
                </c:pt>
                <c:pt idx="63">
                  <c:v>7</c:v>
                </c:pt>
                <c:pt idx="64">
                  <c:v>10.5</c:v>
                </c:pt>
                <c:pt idx="65">
                  <c:v>10 - 14</c:v>
                </c:pt>
                <c:pt idx="66">
                  <c:v>3</c:v>
                </c:pt>
                <c:pt idx="67">
                  <c:v>13</c:v>
                </c:pt>
                <c:pt idx="68">
                  <c:v>10.9</c:v>
                </c:pt>
                <c:pt idx="69">
                  <c:v>2.4</c:v>
                </c:pt>
                <c:pt idx="70">
                  <c:v>9.8</c:v>
                </c:pt>
                <c:pt idx="71">
                  <c:v>7.5</c:v>
                </c:pt>
                <c:pt idx="72">
                  <c:v>9.5</c:v>
                </c:pt>
                <c:pt idx="73">
                  <c:v>57.2</c:v>
                </c:pt>
                <c:pt idx="74">
                  <c:v>48</c:v>
                </c:pt>
                <c:pt idx="75">
                  <c:v>96</c:v>
                </c:pt>
                <c:pt idx="76">
                  <c:v>16</c:v>
                </c:pt>
                <c:pt idx="77">
                  <c:v>16</c:v>
                </c:pt>
                <c:pt idx="78">
                  <c:v>44.3</c:v>
                </c:pt>
                <c:pt idx="79">
                  <c:v>52.8</c:v>
                </c:pt>
                <c:pt idx="80">
                  <c:v>132</c:v>
                </c:pt>
              </c:strCache>
            </c:strRef>
          </c:xVal>
          <c:yVal>
            <c:numRef>
              <c:f>'Analysis 3'!$T$2:$T$255</c:f>
              <c:numCache>
                <c:formatCode>General</c:formatCode>
                <c:ptCount val="254"/>
                <c:pt idx="0">
                  <c:v>142</c:v>
                </c:pt>
                <c:pt idx="1">
                  <c:v>112.56</c:v>
                </c:pt>
                <c:pt idx="2">
                  <c:v>149</c:v>
                </c:pt>
                <c:pt idx="3">
                  <c:v>100.26041666666666</c:v>
                </c:pt>
                <c:pt idx="4">
                  <c:v>142</c:v>
                </c:pt>
                <c:pt idx="5">
                  <c:v>142</c:v>
                </c:pt>
                <c:pt idx="6">
                  <c:v>219.16981132075475</c:v>
                </c:pt>
                <c:pt idx="7">
                  <c:v>169</c:v>
                </c:pt>
                <c:pt idx="8">
                  <c:v>186.62400000000002</c:v>
                </c:pt>
                <c:pt idx="9">
                  <c:v>172</c:v>
                </c:pt>
                <c:pt idx="10">
                  <c:v>108.33333333333333</c:v>
                </c:pt>
                <c:pt idx="11">
                  <c:v>69.270833333333329</c:v>
                </c:pt>
                <c:pt idx="12">
                  <c:v>235.04000000000002</c:v>
                </c:pt>
                <c:pt idx="13">
                  <c:v>230.52</c:v>
                </c:pt>
                <c:pt idx="14">
                  <c:v>206</c:v>
                </c:pt>
                <c:pt idx="15">
                  <c:v>165</c:v>
                </c:pt>
                <c:pt idx="16">
                  <c:v>292.93150684931504</c:v>
                </c:pt>
                <c:pt idx="17">
                  <c:v>52.53</c:v>
                </c:pt>
                <c:pt idx="18">
                  <c:v>274.58447276940905</c:v>
                </c:pt>
                <c:pt idx="19">
                  <c:v>71</c:v>
                </c:pt>
                <c:pt idx="20">
                  <c:v>71</c:v>
                </c:pt>
                <c:pt idx="21">
                  <c:v>50</c:v>
                </c:pt>
                <c:pt idx="22">
                  <c:v>274</c:v>
                </c:pt>
                <c:pt idx="23">
                  <c:v>245</c:v>
                </c:pt>
                <c:pt idx="24">
                  <c:v>276.5</c:v>
                </c:pt>
                <c:pt idx="25">
                  <c:v>293.09000000000003</c:v>
                </c:pt>
                <c:pt idx="26">
                  <c:v>243.32</c:v>
                </c:pt>
                <c:pt idx="27">
                  <c:v>178</c:v>
                </c:pt>
                <c:pt idx="28">
                  <c:v>149</c:v>
                </c:pt>
                <c:pt idx="29">
                  <c:v>169</c:v>
                </c:pt>
                <c:pt idx="30">
                  <c:v>277</c:v>
                </c:pt>
                <c:pt idx="31">
                  <c:v>139</c:v>
                </c:pt>
                <c:pt idx="32">
                  <c:v>175</c:v>
                </c:pt>
                <c:pt idx="33">
                  <c:v>155</c:v>
                </c:pt>
                <c:pt idx="34">
                  <c:v>211</c:v>
                </c:pt>
                <c:pt idx="35">
                  <c:v>190</c:v>
                </c:pt>
                <c:pt idx="36">
                  <c:v>195</c:v>
                </c:pt>
                <c:pt idx="37">
                  <c:v>184</c:v>
                </c:pt>
                <c:pt idx="38">
                  <c:v>226</c:v>
                </c:pt>
                <c:pt idx="39">
                  <c:v>255</c:v>
                </c:pt>
                <c:pt idx="40">
                  <c:v>254</c:v>
                </c:pt>
                <c:pt idx="41">
                  <c:v>495</c:v>
                </c:pt>
                <c:pt idx="42">
                  <c:v>102</c:v>
                </c:pt>
                <c:pt idx="43">
                  <c:v>163.01999999999998</c:v>
                </c:pt>
                <c:pt idx="44">
                  <c:v>165.62</c:v>
                </c:pt>
                <c:pt idx="45">
                  <c:v>178.36</c:v>
                </c:pt>
                <c:pt idx="46">
                  <c:v>254.8</c:v>
                </c:pt>
                <c:pt idx="47">
                  <c:v>203.83999999999997</c:v>
                </c:pt>
                <c:pt idx="48">
                  <c:v>229.32</c:v>
                </c:pt>
                <c:pt idx="49">
                  <c:v>171.99</c:v>
                </c:pt>
                <c:pt idx="50">
                  <c:v>171.99</c:v>
                </c:pt>
                <c:pt idx="51">
                  <c:v>229.32</c:v>
                </c:pt>
                <c:pt idx="52">
                  <c:v>222.95</c:v>
                </c:pt>
                <c:pt idx="53">
                  <c:v>248.43</c:v>
                </c:pt>
                <c:pt idx="54">
                  <c:v>129</c:v>
                </c:pt>
                <c:pt idx="55">
                  <c:v>518</c:v>
                </c:pt>
                <c:pt idx="56">
                  <c:v>391</c:v>
                </c:pt>
                <c:pt idx="57">
                  <c:v>238</c:v>
                </c:pt>
                <c:pt idx="58">
                  <c:v>584</c:v>
                </c:pt>
                <c:pt idx="59">
                  <c:v>234</c:v>
                </c:pt>
                <c:pt idx="60">
                  <c:v>403</c:v>
                </c:pt>
                <c:pt idx="61">
                  <c:v>198</c:v>
                </c:pt>
                <c:pt idx="62">
                  <c:v>207</c:v>
                </c:pt>
                <c:pt idx="63">
                  <c:v>202</c:v>
                </c:pt>
                <c:pt idx="64">
                  <c:v>506</c:v>
                </c:pt>
                <c:pt idx="65">
                  <c:v>374.5</c:v>
                </c:pt>
                <c:pt idx="66">
                  <c:v>432</c:v>
                </c:pt>
                <c:pt idx="67">
                  <c:v>234</c:v>
                </c:pt>
                <c:pt idx="68">
                  <c:v>450</c:v>
                </c:pt>
                <c:pt idx="69">
                  <c:v>398</c:v>
                </c:pt>
                <c:pt idx="70">
                  <c:v>667</c:v>
                </c:pt>
                <c:pt idx="71">
                  <c:v>92</c:v>
                </c:pt>
                <c:pt idx="72">
                  <c:v>631</c:v>
                </c:pt>
                <c:pt idx="73">
                  <c:v>789.5</c:v>
                </c:pt>
                <c:pt idx="74">
                  <c:v>433</c:v>
                </c:pt>
                <c:pt idx="75">
                  <c:v>408</c:v>
                </c:pt>
                <c:pt idx="76">
                  <c:v>280.39999999999998</c:v>
                </c:pt>
                <c:pt idx="77">
                  <c:v>263.89999999999998</c:v>
                </c:pt>
                <c:pt idx="78">
                  <c:v>670.6</c:v>
                </c:pt>
                <c:pt idx="79">
                  <c:v>150.92000000000007</c:v>
                </c:pt>
                <c:pt idx="80">
                  <c:v>270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4-46A1-8038-7CF56DCCB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384271"/>
        <c:axId val="840385519"/>
      </c:scatterChart>
      <c:valAx>
        <c:axId val="840384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385519"/>
        <c:crosses val="autoZero"/>
        <c:crossBetween val="midCat"/>
      </c:valAx>
      <c:valAx>
        <c:axId val="8403855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3842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3'!$BC$1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3'!$AZ$2:$AZ$268</c:f>
              <c:numCache>
                <c:formatCode>General</c:formatCode>
                <c:ptCount val="267"/>
                <c:pt idx="0">
                  <c:v>48</c:v>
                </c:pt>
                <c:pt idx="1">
                  <c:v>48</c:v>
                </c:pt>
                <c:pt idx="2" formatCode="0">
                  <c:v>53.63</c:v>
                </c:pt>
                <c:pt idx="3">
                  <c:v>58</c:v>
                </c:pt>
                <c:pt idx="4">
                  <c:v>62</c:v>
                </c:pt>
                <c:pt idx="5">
                  <c:v>67</c:v>
                </c:pt>
                <c:pt idx="6">
                  <c:v>68</c:v>
                </c:pt>
                <c:pt idx="7">
                  <c:v>69</c:v>
                </c:pt>
                <c:pt idx="8">
                  <c:v>71</c:v>
                </c:pt>
                <c:pt idx="9">
                  <c:v>71</c:v>
                </c:pt>
                <c:pt idx="10">
                  <c:v>88</c:v>
                </c:pt>
                <c:pt idx="11">
                  <c:v>89</c:v>
                </c:pt>
                <c:pt idx="12">
                  <c:v>91</c:v>
                </c:pt>
                <c:pt idx="13">
                  <c:v>95</c:v>
                </c:pt>
                <c:pt idx="14">
                  <c:v>113</c:v>
                </c:pt>
                <c:pt idx="15">
                  <c:v>120</c:v>
                </c:pt>
                <c:pt idx="16">
                  <c:v>121</c:v>
                </c:pt>
                <c:pt idx="17">
                  <c:v>126</c:v>
                </c:pt>
                <c:pt idx="18">
                  <c:v>131</c:v>
                </c:pt>
                <c:pt idx="19">
                  <c:v>134</c:v>
                </c:pt>
                <c:pt idx="20">
                  <c:v>134</c:v>
                </c:pt>
                <c:pt idx="21">
                  <c:v>138</c:v>
                </c:pt>
                <c:pt idx="22">
                  <c:v>139</c:v>
                </c:pt>
                <c:pt idx="23">
                  <c:v>148</c:v>
                </c:pt>
                <c:pt idx="24">
                  <c:v>148</c:v>
                </c:pt>
                <c:pt idx="25">
                  <c:v>149</c:v>
                </c:pt>
                <c:pt idx="26">
                  <c:v>151</c:v>
                </c:pt>
                <c:pt idx="27">
                  <c:v>154</c:v>
                </c:pt>
                <c:pt idx="28">
                  <c:v>174</c:v>
                </c:pt>
                <c:pt idx="29">
                  <c:v>178</c:v>
                </c:pt>
                <c:pt idx="30">
                  <c:v>182</c:v>
                </c:pt>
                <c:pt idx="31">
                  <c:v>188</c:v>
                </c:pt>
                <c:pt idx="32">
                  <c:v>189</c:v>
                </c:pt>
                <c:pt idx="33">
                  <c:v>190</c:v>
                </c:pt>
                <c:pt idx="34">
                  <c:v>191</c:v>
                </c:pt>
                <c:pt idx="35">
                  <c:v>192</c:v>
                </c:pt>
                <c:pt idx="36">
                  <c:v>194</c:v>
                </c:pt>
                <c:pt idx="37">
                  <c:v>195</c:v>
                </c:pt>
                <c:pt idx="38">
                  <c:v>196</c:v>
                </c:pt>
                <c:pt idx="39">
                  <c:v>200</c:v>
                </c:pt>
                <c:pt idx="40">
                  <c:v>204</c:v>
                </c:pt>
                <c:pt idx="41">
                  <c:v>206</c:v>
                </c:pt>
                <c:pt idx="42">
                  <c:v>207</c:v>
                </c:pt>
                <c:pt idx="43">
                  <c:v>208</c:v>
                </c:pt>
                <c:pt idx="44">
                  <c:v>218</c:v>
                </c:pt>
                <c:pt idx="45">
                  <c:v>218</c:v>
                </c:pt>
                <c:pt idx="46">
                  <c:v>218</c:v>
                </c:pt>
                <c:pt idx="47">
                  <c:v>219</c:v>
                </c:pt>
                <c:pt idx="48">
                  <c:v>224</c:v>
                </c:pt>
                <c:pt idx="49">
                  <c:v>229</c:v>
                </c:pt>
                <c:pt idx="50">
                  <c:v>232</c:v>
                </c:pt>
                <c:pt idx="51">
                  <c:v>233</c:v>
                </c:pt>
                <c:pt idx="52">
                  <c:v>233</c:v>
                </c:pt>
                <c:pt idx="53">
                  <c:v>235</c:v>
                </c:pt>
                <c:pt idx="54">
                  <c:v>235</c:v>
                </c:pt>
                <c:pt idx="55">
                  <c:v>236</c:v>
                </c:pt>
                <c:pt idx="56">
                  <c:v>236</c:v>
                </c:pt>
                <c:pt idx="57">
                  <c:v>258</c:v>
                </c:pt>
                <c:pt idx="58">
                  <c:v>258</c:v>
                </c:pt>
                <c:pt idx="59">
                  <c:v>267</c:v>
                </c:pt>
                <c:pt idx="60">
                  <c:v>272</c:v>
                </c:pt>
                <c:pt idx="61">
                  <c:v>272</c:v>
                </c:pt>
                <c:pt idx="62">
                  <c:v>274</c:v>
                </c:pt>
                <c:pt idx="63">
                  <c:v>280</c:v>
                </c:pt>
                <c:pt idx="64">
                  <c:v>280</c:v>
                </c:pt>
                <c:pt idx="65">
                  <c:v>289</c:v>
                </c:pt>
                <c:pt idx="66">
                  <c:v>289</c:v>
                </c:pt>
                <c:pt idx="67">
                  <c:v>292</c:v>
                </c:pt>
                <c:pt idx="68">
                  <c:v>296</c:v>
                </c:pt>
                <c:pt idx="69">
                  <c:v>296</c:v>
                </c:pt>
                <c:pt idx="70">
                  <c:v>296</c:v>
                </c:pt>
                <c:pt idx="71">
                  <c:v>303</c:v>
                </c:pt>
                <c:pt idx="72">
                  <c:v>311</c:v>
                </c:pt>
                <c:pt idx="73">
                  <c:v>311</c:v>
                </c:pt>
                <c:pt idx="74">
                  <c:v>326</c:v>
                </c:pt>
                <c:pt idx="75">
                  <c:v>330</c:v>
                </c:pt>
                <c:pt idx="76">
                  <c:v>334</c:v>
                </c:pt>
                <c:pt idx="77">
                  <c:v>334</c:v>
                </c:pt>
                <c:pt idx="78">
                  <c:v>335</c:v>
                </c:pt>
                <c:pt idx="79">
                  <c:v>342</c:v>
                </c:pt>
                <c:pt idx="80">
                  <c:v>343</c:v>
                </c:pt>
                <c:pt idx="81">
                  <c:v>343</c:v>
                </c:pt>
                <c:pt idx="82">
                  <c:v>349</c:v>
                </c:pt>
                <c:pt idx="83">
                  <c:v>352</c:v>
                </c:pt>
                <c:pt idx="84">
                  <c:v>361</c:v>
                </c:pt>
                <c:pt idx="85">
                  <c:v>371</c:v>
                </c:pt>
                <c:pt idx="86">
                  <c:v>371</c:v>
                </c:pt>
                <c:pt idx="87">
                  <c:v>376</c:v>
                </c:pt>
                <c:pt idx="88">
                  <c:v>379</c:v>
                </c:pt>
                <c:pt idx="89">
                  <c:v>380</c:v>
                </c:pt>
                <c:pt idx="90">
                  <c:v>384</c:v>
                </c:pt>
                <c:pt idx="91">
                  <c:v>386</c:v>
                </c:pt>
                <c:pt idx="92">
                  <c:v>398</c:v>
                </c:pt>
                <c:pt idx="93">
                  <c:v>398</c:v>
                </c:pt>
                <c:pt idx="94">
                  <c:v>400</c:v>
                </c:pt>
                <c:pt idx="95">
                  <c:v>400</c:v>
                </c:pt>
                <c:pt idx="96">
                  <c:v>400</c:v>
                </c:pt>
                <c:pt idx="97">
                  <c:v>403</c:v>
                </c:pt>
                <c:pt idx="98">
                  <c:v>404</c:v>
                </c:pt>
                <c:pt idx="99">
                  <c:v>418</c:v>
                </c:pt>
                <c:pt idx="100">
                  <c:v>418</c:v>
                </c:pt>
                <c:pt idx="101">
                  <c:v>418</c:v>
                </c:pt>
                <c:pt idx="102">
                  <c:v>423</c:v>
                </c:pt>
                <c:pt idx="103">
                  <c:v>425</c:v>
                </c:pt>
                <c:pt idx="104">
                  <c:v>431</c:v>
                </c:pt>
                <c:pt idx="105">
                  <c:v>458</c:v>
                </c:pt>
                <c:pt idx="106">
                  <c:v>479</c:v>
                </c:pt>
                <c:pt idx="107">
                  <c:v>481</c:v>
                </c:pt>
                <c:pt idx="108">
                  <c:v>491</c:v>
                </c:pt>
                <c:pt idx="109">
                  <c:v>562</c:v>
                </c:pt>
                <c:pt idx="110">
                  <c:v>612</c:v>
                </c:pt>
                <c:pt idx="111">
                  <c:v>612</c:v>
                </c:pt>
                <c:pt idx="112">
                  <c:v>612</c:v>
                </c:pt>
                <c:pt idx="113">
                  <c:v>623</c:v>
                </c:pt>
                <c:pt idx="114">
                  <c:v>623</c:v>
                </c:pt>
                <c:pt idx="115">
                  <c:v>692</c:v>
                </c:pt>
                <c:pt idx="116">
                  <c:v>791</c:v>
                </c:pt>
                <c:pt idx="117">
                  <c:v>833</c:v>
                </c:pt>
                <c:pt idx="118">
                  <c:v>894</c:v>
                </c:pt>
              </c:numCache>
            </c:numRef>
          </c:xVal>
          <c:yVal>
            <c:numRef>
              <c:f>'Analysis 3'!$BC$2:$BC$268</c:f>
              <c:numCache>
                <c:formatCode>0</c:formatCode>
                <c:ptCount val="267"/>
                <c:pt idx="0" formatCode="General">
                  <c:v>13.1</c:v>
                </c:pt>
                <c:pt idx="1">
                  <c:v>27.2</c:v>
                </c:pt>
                <c:pt idx="2" formatCode="General">
                  <c:v>22.75</c:v>
                </c:pt>
                <c:pt idx="3" formatCode="General">
                  <c:v>6.4</c:v>
                </c:pt>
                <c:pt idx="4" formatCode="General">
                  <c:v>13.1</c:v>
                </c:pt>
                <c:pt idx="5" formatCode="General">
                  <c:v>24</c:v>
                </c:pt>
                <c:pt idx="6" formatCode="General">
                  <c:v>13.9</c:v>
                </c:pt>
                <c:pt idx="7" formatCode="General">
                  <c:v>24</c:v>
                </c:pt>
                <c:pt idx="8" formatCode="General">
                  <c:v>10.3</c:v>
                </c:pt>
                <c:pt idx="9">
                  <c:v>14.6</c:v>
                </c:pt>
                <c:pt idx="10" formatCode="General">
                  <c:v>34</c:v>
                </c:pt>
                <c:pt idx="11" formatCode="General">
                  <c:v>38</c:v>
                </c:pt>
                <c:pt idx="12" formatCode="General">
                  <c:v>34</c:v>
                </c:pt>
                <c:pt idx="13" formatCode="General">
                  <c:v>38</c:v>
                </c:pt>
                <c:pt idx="14">
                  <c:v>37</c:v>
                </c:pt>
                <c:pt idx="15" formatCode="General">
                  <c:v>66</c:v>
                </c:pt>
                <c:pt idx="16" formatCode="General">
                  <c:v>72</c:v>
                </c:pt>
                <c:pt idx="17" formatCode="General">
                  <c:v>56</c:v>
                </c:pt>
                <c:pt idx="18" formatCode="General">
                  <c:v>49</c:v>
                </c:pt>
                <c:pt idx="19" formatCode="General">
                  <c:v>75</c:v>
                </c:pt>
                <c:pt idx="20" formatCode="General">
                  <c:v>71</c:v>
                </c:pt>
                <c:pt idx="21" formatCode="General">
                  <c:v>56</c:v>
                </c:pt>
                <c:pt idx="22" formatCode="General">
                  <c:v>64</c:v>
                </c:pt>
                <c:pt idx="23" formatCode="General">
                  <c:v>54</c:v>
                </c:pt>
                <c:pt idx="24" formatCode="General">
                  <c:v>74</c:v>
                </c:pt>
                <c:pt idx="25" formatCode="General">
                  <c:v>49</c:v>
                </c:pt>
                <c:pt idx="26" formatCode="General">
                  <c:v>58</c:v>
                </c:pt>
                <c:pt idx="27" formatCode="General">
                  <c:v>74</c:v>
                </c:pt>
                <c:pt idx="28" formatCode="General">
                  <c:v>54</c:v>
                </c:pt>
                <c:pt idx="29" formatCode="General">
                  <c:v>43</c:v>
                </c:pt>
                <c:pt idx="30">
                  <c:v>45</c:v>
                </c:pt>
                <c:pt idx="31">
                  <c:v>58</c:v>
                </c:pt>
                <c:pt idx="32" formatCode="General">
                  <c:v>144</c:v>
                </c:pt>
                <c:pt idx="33" formatCode="General">
                  <c:v>45</c:v>
                </c:pt>
                <c:pt idx="34">
                  <c:v>60</c:v>
                </c:pt>
                <c:pt idx="35" formatCode="General">
                  <c:v>45</c:v>
                </c:pt>
                <c:pt idx="36">
                  <c:v>74</c:v>
                </c:pt>
                <c:pt idx="37" formatCode="General">
                  <c:v>49</c:v>
                </c:pt>
                <c:pt idx="38" formatCode="General">
                  <c:v>96</c:v>
                </c:pt>
                <c:pt idx="39" formatCode="General">
                  <c:v>76</c:v>
                </c:pt>
                <c:pt idx="40" formatCode="General">
                  <c:v>80</c:v>
                </c:pt>
                <c:pt idx="41" formatCode="General">
                  <c:v>43</c:v>
                </c:pt>
                <c:pt idx="42" formatCode="General">
                  <c:v>78</c:v>
                </c:pt>
                <c:pt idx="43" formatCode="General">
                  <c:v>66.56</c:v>
                </c:pt>
                <c:pt idx="44" formatCode="General">
                  <c:v>80</c:v>
                </c:pt>
                <c:pt idx="45" formatCode="General">
                  <c:v>143</c:v>
                </c:pt>
                <c:pt idx="46" formatCode="General">
                  <c:v>81</c:v>
                </c:pt>
                <c:pt idx="47" formatCode="General">
                  <c:v>74</c:v>
                </c:pt>
                <c:pt idx="48" formatCode="General">
                  <c:v>53</c:v>
                </c:pt>
                <c:pt idx="49" formatCode="General">
                  <c:v>56</c:v>
                </c:pt>
                <c:pt idx="50" formatCode="General">
                  <c:v>65</c:v>
                </c:pt>
                <c:pt idx="51" formatCode="General">
                  <c:v>125.82</c:v>
                </c:pt>
                <c:pt idx="52" formatCode="General">
                  <c:v>107.17999999999999</c:v>
                </c:pt>
                <c:pt idx="53" formatCode="General">
                  <c:v>101</c:v>
                </c:pt>
                <c:pt idx="54" formatCode="General">
                  <c:v>145</c:v>
                </c:pt>
                <c:pt idx="55" formatCode="General">
                  <c:v>105</c:v>
                </c:pt>
                <c:pt idx="56" formatCode="General">
                  <c:v>142</c:v>
                </c:pt>
                <c:pt idx="57" formatCode="General">
                  <c:v>143</c:v>
                </c:pt>
                <c:pt idx="58" formatCode="General">
                  <c:v>142</c:v>
                </c:pt>
                <c:pt idx="59" formatCode="General">
                  <c:v>131</c:v>
                </c:pt>
                <c:pt idx="60" formatCode="General">
                  <c:v>204</c:v>
                </c:pt>
                <c:pt idx="61" formatCode="General">
                  <c:v>180</c:v>
                </c:pt>
                <c:pt idx="62" formatCode="General">
                  <c:v>128</c:v>
                </c:pt>
                <c:pt idx="63" formatCode="General">
                  <c:v>150</c:v>
                </c:pt>
                <c:pt idx="64" formatCode="General">
                  <c:v>147</c:v>
                </c:pt>
                <c:pt idx="65" formatCode="General">
                  <c:v>167</c:v>
                </c:pt>
                <c:pt idx="66" formatCode="General">
                  <c:v>162</c:v>
                </c:pt>
                <c:pt idx="67" formatCode="General">
                  <c:v>242</c:v>
                </c:pt>
                <c:pt idx="68" formatCode="General">
                  <c:v>151</c:v>
                </c:pt>
                <c:pt idx="69" formatCode="General">
                  <c:v>146</c:v>
                </c:pt>
                <c:pt idx="70">
                  <c:v>51</c:v>
                </c:pt>
                <c:pt idx="71" formatCode="General">
                  <c:v>95</c:v>
                </c:pt>
                <c:pt idx="72" formatCode="General">
                  <c:v>164</c:v>
                </c:pt>
                <c:pt idx="73" formatCode="General">
                  <c:v>157</c:v>
                </c:pt>
                <c:pt idx="74" formatCode="General">
                  <c:v>141</c:v>
                </c:pt>
                <c:pt idx="75" formatCode="General">
                  <c:v>83</c:v>
                </c:pt>
                <c:pt idx="76" formatCode="General">
                  <c:v>66.8</c:v>
                </c:pt>
                <c:pt idx="77" formatCode="General">
                  <c:v>57.8</c:v>
                </c:pt>
                <c:pt idx="78" formatCode="General">
                  <c:v>113</c:v>
                </c:pt>
                <c:pt idx="79" formatCode="General">
                  <c:v>224</c:v>
                </c:pt>
                <c:pt idx="80" formatCode="General">
                  <c:v>199</c:v>
                </c:pt>
                <c:pt idx="81" formatCode="General">
                  <c:v>29</c:v>
                </c:pt>
                <c:pt idx="82">
                  <c:v>156</c:v>
                </c:pt>
                <c:pt idx="83" formatCode="General">
                  <c:v>158.39999999999998</c:v>
                </c:pt>
                <c:pt idx="84" formatCode="General">
                  <c:v>146</c:v>
                </c:pt>
                <c:pt idx="85" formatCode="General">
                  <c:v>89</c:v>
                </c:pt>
                <c:pt idx="86" formatCode="General">
                  <c:v>73</c:v>
                </c:pt>
                <c:pt idx="87" formatCode="General">
                  <c:v>109.04000000000002</c:v>
                </c:pt>
                <c:pt idx="88" formatCode="General">
                  <c:v>50</c:v>
                </c:pt>
                <c:pt idx="89" formatCode="General">
                  <c:v>58</c:v>
                </c:pt>
                <c:pt idx="90" formatCode="General">
                  <c:v>46</c:v>
                </c:pt>
                <c:pt idx="91" formatCode="General">
                  <c:v>114</c:v>
                </c:pt>
                <c:pt idx="92">
                  <c:v>318</c:v>
                </c:pt>
                <c:pt idx="93" formatCode="General">
                  <c:v>132</c:v>
                </c:pt>
                <c:pt idx="94" formatCode="General">
                  <c:v>105</c:v>
                </c:pt>
                <c:pt idx="95" formatCode="General">
                  <c:v>301</c:v>
                </c:pt>
                <c:pt idx="96" formatCode="General">
                  <c:v>55</c:v>
                </c:pt>
                <c:pt idx="97">
                  <c:v>141</c:v>
                </c:pt>
                <c:pt idx="98" formatCode="General">
                  <c:v>153.52000000000001</c:v>
                </c:pt>
                <c:pt idx="99" formatCode="General">
                  <c:v>134</c:v>
                </c:pt>
                <c:pt idx="100" formatCode="General">
                  <c:v>130</c:v>
                </c:pt>
                <c:pt idx="101" formatCode="General">
                  <c:v>107</c:v>
                </c:pt>
                <c:pt idx="102" formatCode="General">
                  <c:v>255</c:v>
                </c:pt>
                <c:pt idx="103" formatCode="General">
                  <c:v>326</c:v>
                </c:pt>
                <c:pt idx="104" formatCode="General">
                  <c:v>172.40000000000003</c:v>
                </c:pt>
                <c:pt idx="105" formatCode="General">
                  <c:v>142</c:v>
                </c:pt>
                <c:pt idx="106" formatCode="General">
                  <c:v>209</c:v>
                </c:pt>
                <c:pt idx="107" formatCode="General">
                  <c:v>116</c:v>
                </c:pt>
                <c:pt idx="108" formatCode="General">
                  <c:v>201</c:v>
                </c:pt>
                <c:pt idx="109" formatCode="General">
                  <c:v>516</c:v>
                </c:pt>
                <c:pt idx="110" formatCode="General">
                  <c:v>157</c:v>
                </c:pt>
                <c:pt idx="111" formatCode="General">
                  <c:v>148</c:v>
                </c:pt>
                <c:pt idx="112" formatCode="General">
                  <c:v>125</c:v>
                </c:pt>
                <c:pt idx="113">
                  <c:v>116</c:v>
                </c:pt>
                <c:pt idx="114" formatCode="General">
                  <c:v>113</c:v>
                </c:pt>
                <c:pt idx="115" formatCode="General">
                  <c:v>18</c:v>
                </c:pt>
                <c:pt idx="116">
                  <c:v>386</c:v>
                </c:pt>
                <c:pt idx="117" formatCode="General">
                  <c:v>569</c:v>
                </c:pt>
                <c:pt idx="118" formatCode="General">
                  <c:v>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02-4BD9-92A0-E72C86844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5194687"/>
        <c:axId val="1945181375"/>
      </c:scatterChart>
      <c:valAx>
        <c:axId val="1945194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5181375"/>
        <c:crosses val="autoZero"/>
        <c:crossBetween val="midCat"/>
      </c:valAx>
      <c:valAx>
        <c:axId val="19451813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51946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3'!$BC$1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3'!$BA$2:$BA$268</c:f>
              <c:numCache>
                <c:formatCode>General</c:formatCode>
                <c:ptCount val="267"/>
                <c:pt idx="0">
                  <c:v>7.1</c:v>
                </c:pt>
                <c:pt idx="1">
                  <c:v>10.3</c:v>
                </c:pt>
                <c:pt idx="2">
                  <c:v>20</c:v>
                </c:pt>
                <c:pt idx="3">
                  <c:v>25.5</c:v>
                </c:pt>
                <c:pt idx="4">
                  <c:v>28.1</c:v>
                </c:pt>
                <c:pt idx="5">
                  <c:v>28</c:v>
                </c:pt>
                <c:pt idx="6">
                  <c:v>31.5</c:v>
                </c:pt>
                <c:pt idx="7">
                  <c:v>27.3</c:v>
                </c:pt>
                <c:pt idx="8">
                  <c:v>27.9</c:v>
                </c:pt>
                <c:pt idx="9">
                  <c:v>34</c:v>
                </c:pt>
                <c:pt idx="10">
                  <c:v>35</c:v>
                </c:pt>
                <c:pt idx="11">
                  <c:v>14.7</c:v>
                </c:pt>
                <c:pt idx="12">
                  <c:v>25</c:v>
                </c:pt>
                <c:pt idx="13">
                  <c:v>20</c:v>
                </c:pt>
                <c:pt idx="14">
                  <c:v>25</c:v>
                </c:pt>
                <c:pt idx="15">
                  <c:v>19.149999999999999</c:v>
                </c:pt>
                <c:pt idx="16">
                  <c:v>27</c:v>
                </c:pt>
                <c:pt idx="17">
                  <c:v>14.4</c:v>
                </c:pt>
                <c:pt idx="18">
                  <c:v>21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31</c:v>
                </c:pt>
                <c:pt idx="23">
                  <c:v>23</c:v>
                </c:pt>
                <c:pt idx="24">
                  <c:v>23</c:v>
                </c:pt>
                <c:pt idx="25">
                  <c:v>21</c:v>
                </c:pt>
                <c:pt idx="26">
                  <c:v>27</c:v>
                </c:pt>
                <c:pt idx="27">
                  <c:v>13.6</c:v>
                </c:pt>
                <c:pt idx="28">
                  <c:v>13.7</c:v>
                </c:pt>
                <c:pt idx="29">
                  <c:v>20</c:v>
                </c:pt>
                <c:pt idx="30">
                  <c:v>18</c:v>
                </c:pt>
                <c:pt idx="31">
                  <c:v>20</c:v>
                </c:pt>
                <c:pt idx="32">
                  <c:v>20</c:v>
                </c:pt>
                <c:pt idx="33">
                  <c:v>18.5</c:v>
                </c:pt>
                <c:pt idx="34">
                  <c:v>23</c:v>
                </c:pt>
                <c:pt idx="35">
                  <c:v>22</c:v>
                </c:pt>
                <c:pt idx="36">
                  <c:v>22</c:v>
                </c:pt>
                <c:pt idx="37">
                  <c:v>21</c:v>
                </c:pt>
                <c:pt idx="38">
                  <c:v>31</c:v>
                </c:pt>
                <c:pt idx="39">
                  <c:v>26</c:v>
                </c:pt>
                <c:pt idx="40">
                  <c:v>30</c:v>
                </c:pt>
                <c:pt idx="41">
                  <c:v>20</c:v>
                </c:pt>
                <c:pt idx="42">
                  <c:v>22</c:v>
                </c:pt>
                <c:pt idx="43">
                  <c:v>22.5</c:v>
                </c:pt>
                <c:pt idx="44">
                  <c:v>23</c:v>
                </c:pt>
                <c:pt idx="45">
                  <c:v>23</c:v>
                </c:pt>
                <c:pt idx="46">
                  <c:v>23</c:v>
                </c:pt>
                <c:pt idx="47">
                  <c:v>22</c:v>
                </c:pt>
                <c:pt idx="48">
                  <c:v>20</c:v>
                </c:pt>
                <c:pt idx="49">
                  <c:v>20</c:v>
                </c:pt>
                <c:pt idx="50">
                  <c:v>12.7</c:v>
                </c:pt>
                <c:pt idx="51">
                  <c:v>22.7</c:v>
                </c:pt>
                <c:pt idx="52">
                  <c:v>24.3</c:v>
                </c:pt>
                <c:pt idx="53">
                  <c:v>23</c:v>
                </c:pt>
                <c:pt idx="54">
                  <c:v>23</c:v>
                </c:pt>
                <c:pt idx="55">
                  <c:v>18</c:v>
                </c:pt>
                <c:pt idx="56">
                  <c:v>20.5</c:v>
                </c:pt>
                <c:pt idx="57">
                  <c:v>25</c:v>
                </c:pt>
                <c:pt idx="58">
                  <c:v>25</c:v>
                </c:pt>
                <c:pt idx="59">
                  <c:v>25.5</c:v>
                </c:pt>
                <c:pt idx="60">
                  <c:v>23</c:v>
                </c:pt>
                <c:pt idx="61">
                  <c:v>23</c:v>
                </c:pt>
                <c:pt idx="62">
                  <c:v>20.5</c:v>
                </c:pt>
                <c:pt idx="63">
                  <c:v>26</c:v>
                </c:pt>
                <c:pt idx="64">
                  <c:v>26</c:v>
                </c:pt>
                <c:pt idx="65">
                  <c:v>17</c:v>
                </c:pt>
                <c:pt idx="66">
                  <c:v>17</c:v>
                </c:pt>
                <c:pt idx="67">
                  <c:v>27</c:v>
                </c:pt>
                <c:pt idx="68">
                  <c:v>31</c:v>
                </c:pt>
                <c:pt idx="69">
                  <c:v>31</c:v>
                </c:pt>
                <c:pt idx="70">
                  <c:v>22</c:v>
                </c:pt>
                <c:pt idx="71">
                  <c:v>25.5</c:v>
                </c:pt>
                <c:pt idx="72">
                  <c:v>12</c:v>
                </c:pt>
                <c:pt idx="73">
                  <c:v>12</c:v>
                </c:pt>
                <c:pt idx="74">
                  <c:v>27</c:v>
                </c:pt>
                <c:pt idx="75">
                  <c:v>15.75</c:v>
                </c:pt>
                <c:pt idx="76">
                  <c:v>25</c:v>
                </c:pt>
                <c:pt idx="77">
                  <c:v>25</c:v>
                </c:pt>
                <c:pt idx="78">
                  <c:v>17</c:v>
                </c:pt>
                <c:pt idx="79">
                  <c:v>22</c:v>
                </c:pt>
                <c:pt idx="80">
                  <c:v>19</c:v>
                </c:pt>
                <c:pt idx="81">
                  <c:v>27.4</c:v>
                </c:pt>
                <c:pt idx="82">
                  <c:v>13</c:v>
                </c:pt>
                <c:pt idx="83">
                  <c:v>18</c:v>
                </c:pt>
                <c:pt idx="84">
                  <c:v>20.5</c:v>
                </c:pt>
                <c:pt idx="85">
                  <c:v>17</c:v>
                </c:pt>
                <c:pt idx="86">
                  <c:v>17</c:v>
                </c:pt>
                <c:pt idx="87">
                  <c:v>23</c:v>
                </c:pt>
                <c:pt idx="88">
                  <c:v>19.5</c:v>
                </c:pt>
                <c:pt idx="89">
                  <c:v>28</c:v>
                </c:pt>
                <c:pt idx="90">
                  <c:v>27.4</c:v>
                </c:pt>
                <c:pt idx="91">
                  <c:v>27</c:v>
                </c:pt>
                <c:pt idx="92">
                  <c:v>22</c:v>
                </c:pt>
                <c:pt idx="93">
                  <c:v>27</c:v>
                </c:pt>
                <c:pt idx="94">
                  <c:v>19</c:v>
                </c:pt>
                <c:pt idx="95">
                  <c:v>21</c:v>
                </c:pt>
                <c:pt idx="96">
                  <c:v>26</c:v>
                </c:pt>
                <c:pt idx="97">
                  <c:v>24.3</c:v>
                </c:pt>
                <c:pt idx="98">
                  <c:v>22</c:v>
                </c:pt>
                <c:pt idx="99">
                  <c:v>25</c:v>
                </c:pt>
                <c:pt idx="100">
                  <c:v>25</c:v>
                </c:pt>
                <c:pt idx="101">
                  <c:v>25</c:v>
                </c:pt>
                <c:pt idx="102">
                  <c:v>25</c:v>
                </c:pt>
                <c:pt idx="103">
                  <c:v>25</c:v>
                </c:pt>
                <c:pt idx="104">
                  <c:v>25</c:v>
                </c:pt>
                <c:pt idx="105">
                  <c:v>25</c:v>
                </c:pt>
                <c:pt idx="106">
                  <c:v>25</c:v>
                </c:pt>
                <c:pt idx="107">
                  <c:v>30</c:v>
                </c:pt>
                <c:pt idx="108">
                  <c:v>9</c:v>
                </c:pt>
                <c:pt idx="109">
                  <c:v>25</c:v>
                </c:pt>
                <c:pt idx="110">
                  <c:v>23</c:v>
                </c:pt>
                <c:pt idx="111">
                  <c:v>23</c:v>
                </c:pt>
                <c:pt idx="112">
                  <c:v>23</c:v>
                </c:pt>
                <c:pt idx="113">
                  <c:v>24</c:v>
                </c:pt>
                <c:pt idx="114">
                  <c:v>24</c:v>
                </c:pt>
                <c:pt idx="115">
                  <c:v>27.4</c:v>
                </c:pt>
                <c:pt idx="116">
                  <c:v>27</c:v>
                </c:pt>
                <c:pt idx="117">
                  <c:v>22.7</c:v>
                </c:pt>
                <c:pt idx="118">
                  <c:v>27</c:v>
                </c:pt>
              </c:numCache>
            </c:numRef>
          </c:xVal>
          <c:yVal>
            <c:numRef>
              <c:f>'Analysis 3'!$BC$2:$BC$268</c:f>
              <c:numCache>
                <c:formatCode>0</c:formatCode>
                <c:ptCount val="267"/>
                <c:pt idx="0" formatCode="General">
                  <c:v>13.1</c:v>
                </c:pt>
                <c:pt idx="1">
                  <c:v>27.2</c:v>
                </c:pt>
                <c:pt idx="2" formatCode="General">
                  <c:v>22.75</c:v>
                </c:pt>
                <c:pt idx="3" formatCode="General">
                  <c:v>6.4</c:v>
                </c:pt>
                <c:pt idx="4" formatCode="General">
                  <c:v>13.1</c:v>
                </c:pt>
                <c:pt idx="5" formatCode="General">
                  <c:v>24</c:v>
                </c:pt>
                <c:pt idx="6" formatCode="General">
                  <c:v>13.9</c:v>
                </c:pt>
                <c:pt idx="7" formatCode="General">
                  <c:v>24</c:v>
                </c:pt>
                <c:pt idx="8" formatCode="General">
                  <c:v>10.3</c:v>
                </c:pt>
                <c:pt idx="9">
                  <c:v>14.6</c:v>
                </c:pt>
                <c:pt idx="10" formatCode="General">
                  <c:v>34</c:v>
                </c:pt>
                <c:pt idx="11" formatCode="General">
                  <c:v>38</c:v>
                </c:pt>
                <c:pt idx="12" formatCode="General">
                  <c:v>34</c:v>
                </c:pt>
                <c:pt idx="13" formatCode="General">
                  <c:v>38</c:v>
                </c:pt>
                <c:pt idx="14">
                  <c:v>37</c:v>
                </c:pt>
                <c:pt idx="15" formatCode="General">
                  <c:v>66</c:v>
                </c:pt>
                <c:pt idx="16" formatCode="General">
                  <c:v>72</c:v>
                </c:pt>
                <c:pt idx="17" formatCode="General">
                  <c:v>56</c:v>
                </c:pt>
                <c:pt idx="18" formatCode="General">
                  <c:v>49</c:v>
                </c:pt>
                <c:pt idx="19" formatCode="General">
                  <c:v>75</c:v>
                </c:pt>
                <c:pt idx="20" formatCode="General">
                  <c:v>71</c:v>
                </c:pt>
                <c:pt idx="21" formatCode="General">
                  <c:v>56</c:v>
                </c:pt>
                <c:pt idx="22" formatCode="General">
                  <c:v>64</c:v>
                </c:pt>
                <c:pt idx="23" formatCode="General">
                  <c:v>54</c:v>
                </c:pt>
                <c:pt idx="24" formatCode="General">
                  <c:v>74</c:v>
                </c:pt>
                <c:pt idx="25" formatCode="General">
                  <c:v>49</c:v>
                </c:pt>
                <c:pt idx="26" formatCode="General">
                  <c:v>58</c:v>
                </c:pt>
                <c:pt idx="27" formatCode="General">
                  <c:v>74</c:v>
                </c:pt>
                <c:pt idx="28" formatCode="General">
                  <c:v>54</c:v>
                </c:pt>
                <c:pt idx="29" formatCode="General">
                  <c:v>43</c:v>
                </c:pt>
                <c:pt idx="30">
                  <c:v>45</c:v>
                </c:pt>
                <c:pt idx="31">
                  <c:v>58</c:v>
                </c:pt>
                <c:pt idx="32" formatCode="General">
                  <c:v>144</c:v>
                </c:pt>
                <c:pt idx="33" formatCode="General">
                  <c:v>45</c:v>
                </c:pt>
                <c:pt idx="34">
                  <c:v>60</c:v>
                </c:pt>
                <c:pt idx="35" formatCode="General">
                  <c:v>45</c:v>
                </c:pt>
                <c:pt idx="36">
                  <c:v>74</c:v>
                </c:pt>
                <c:pt idx="37" formatCode="General">
                  <c:v>49</c:v>
                </c:pt>
                <c:pt idx="38" formatCode="General">
                  <c:v>96</c:v>
                </c:pt>
                <c:pt idx="39" formatCode="General">
                  <c:v>76</c:v>
                </c:pt>
                <c:pt idx="40" formatCode="General">
                  <c:v>80</c:v>
                </c:pt>
                <c:pt idx="41" formatCode="General">
                  <c:v>43</c:v>
                </c:pt>
                <c:pt idx="42" formatCode="General">
                  <c:v>78</c:v>
                </c:pt>
                <c:pt idx="43" formatCode="General">
                  <c:v>66.56</c:v>
                </c:pt>
                <c:pt idx="44" formatCode="General">
                  <c:v>80</c:v>
                </c:pt>
                <c:pt idx="45" formatCode="General">
                  <c:v>143</c:v>
                </c:pt>
                <c:pt idx="46" formatCode="General">
                  <c:v>81</c:v>
                </c:pt>
                <c:pt idx="47" formatCode="General">
                  <c:v>74</c:v>
                </c:pt>
                <c:pt idx="48" formatCode="General">
                  <c:v>53</c:v>
                </c:pt>
                <c:pt idx="49" formatCode="General">
                  <c:v>56</c:v>
                </c:pt>
                <c:pt idx="50" formatCode="General">
                  <c:v>65</c:v>
                </c:pt>
                <c:pt idx="51" formatCode="General">
                  <c:v>125.82</c:v>
                </c:pt>
                <c:pt idx="52" formatCode="General">
                  <c:v>107.17999999999999</c:v>
                </c:pt>
                <c:pt idx="53" formatCode="General">
                  <c:v>101</c:v>
                </c:pt>
                <c:pt idx="54" formatCode="General">
                  <c:v>145</c:v>
                </c:pt>
                <c:pt idx="55" formatCode="General">
                  <c:v>105</c:v>
                </c:pt>
                <c:pt idx="56" formatCode="General">
                  <c:v>142</c:v>
                </c:pt>
                <c:pt idx="57" formatCode="General">
                  <c:v>143</c:v>
                </c:pt>
                <c:pt idx="58" formatCode="General">
                  <c:v>142</c:v>
                </c:pt>
                <c:pt idx="59" formatCode="General">
                  <c:v>131</c:v>
                </c:pt>
                <c:pt idx="60" formatCode="General">
                  <c:v>204</c:v>
                </c:pt>
                <c:pt idx="61" formatCode="General">
                  <c:v>180</c:v>
                </c:pt>
                <c:pt idx="62" formatCode="General">
                  <c:v>128</c:v>
                </c:pt>
                <c:pt idx="63" formatCode="General">
                  <c:v>150</c:v>
                </c:pt>
                <c:pt idx="64" formatCode="General">
                  <c:v>147</c:v>
                </c:pt>
                <c:pt idx="65" formatCode="General">
                  <c:v>167</c:v>
                </c:pt>
                <c:pt idx="66" formatCode="General">
                  <c:v>162</c:v>
                </c:pt>
                <c:pt idx="67" formatCode="General">
                  <c:v>242</c:v>
                </c:pt>
                <c:pt idx="68" formatCode="General">
                  <c:v>151</c:v>
                </c:pt>
                <c:pt idx="69" formatCode="General">
                  <c:v>146</c:v>
                </c:pt>
                <c:pt idx="70">
                  <c:v>51</c:v>
                </c:pt>
                <c:pt idx="71" formatCode="General">
                  <c:v>95</c:v>
                </c:pt>
                <c:pt idx="72" formatCode="General">
                  <c:v>164</c:v>
                </c:pt>
                <c:pt idx="73" formatCode="General">
                  <c:v>157</c:v>
                </c:pt>
                <c:pt idx="74" formatCode="General">
                  <c:v>141</c:v>
                </c:pt>
                <c:pt idx="75" formatCode="General">
                  <c:v>83</c:v>
                </c:pt>
                <c:pt idx="76" formatCode="General">
                  <c:v>66.8</c:v>
                </c:pt>
                <c:pt idx="77" formatCode="General">
                  <c:v>57.8</c:v>
                </c:pt>
                <c:pt idx="78" formatCode="General">
                  <c:v>113</c:v>
                </c:pt>
                <c:pt idx="79" formatCode="General">
                  <c:v>224</c:v>
                </c:pt>
                <c:pt idx="80" formatCode="General">
                  <c:v>199</c:v>
                </c:pt>
                <c:pt idx="81" formatCode="General">
                  <c:v>29</c:v>
                </c:pt>
                <c:pt idx="82">
                  <c:v>156</c:v>
                </c:pt>
                <c:pt idx="83" formatCode="General">
                  <c:v>158.39999999999998</c:v>
                </c:pt>
                <c:pt idx="84" formatCode="General">
                  <c:v>146</c:v>
                </c:pt>
                <c:pt idx="85" formatCode="General">
                  <c:v>89</c:v>
                </c:pt>
                <c:pt idx="86" formatCode="General">
                  <c:v>73</c:v>
                </c:pt>
                <c:pt idx="87" formatCode="General">
                  <c:v>109.04000000000002</c:v>
                </c:pt>
                <c:pt idx="88" formatCode="General">
                  <c:v>50</c:v>
                </c:pt>
                <c:pt idx="89" formatCode="General">
                  <c:v>58</c:v>
                </c:pt>
                <c:pt idx="90" formatCode="General">
                  <c:v>46</c:v>
                </c:pt>
                <c:pt idx="91" formatCode="General">
                  <c:v>114</c:v>
                </c:pt>
                <c:pt idx="92">
                  <c:v>318</c:v>
                </c:pt>
                <c:pt idx="93" formatCode="General">
                  <c:v>132</c:v>
                </c:pt>
                <c:pt idx="94" formatCode="General">
                  <c:v>105</c:v>
                </c:pt>
                <c:pt idx="95" formatCode="General">
                  <c:v>301</c:v>
                </c:pt>
                <c:pt idx="96" formatCode="General">
                  <c:v>55</c:v>
                </c:pt>
                <c:pt idx="97">
                  <c:v>141</c:v>
                </c:pt>
                <c:pt idx="98" formatCode="General">
                  <c:v>153.52000000000001</c:v>
                </c:pt>
                <c:pt idx="99" formatCode="General">
                  <c:v>134</c:v>
                </c:pt>
                <c:pt idx="100" formatCode="General">
                  <c:v>130</c:v>
                </c:pt>
                <c:pt idx="101" formatCode="General">
                  <c:v>107</c:v>
                </c:pt>
                <c:pt idx="102" formatCode="General">
                  <c:v>255</c:v>
                </c:pt>
                <c:pt idx="103" formatCode="General">
                  <c:v>326</c:v>
                </c:pt>
                <c:pt idx="104" formatCode="General">
                  <c:v>172.40000000000003</c:v>
                </c:pt>
                <c:pt idx="105" formatCode="General">
                  <c:v>142</c:v>
                </c:pt>
                <c:pt idx="106" formatCode="General">
                  <c:v>209</c:v>
                </c:pt>
                <c:pt idx="107" formatCode="General">
                  <c:v>116</c:v>
                </c:pt>
                <c:pt idx="108" formatCode="General">
                  <c:v>201</c:v>
                </c:pt>
                <c:pt idx="109" formatCode="General">
                  <c:v>516</c:v>
                </c:pt>
                <c:pt idx="110" formatCode="General">
                  <c:v>157</c:v>
                </c:pt>
                <c:pt idx="111" formatCode="General">
                  <c:v>148</c:v>
                </c:pt>
                <c:pt idx="112" formatCode="General">
                  <c:v>125</c:v>
                </c:pt>
                <c:pt idx="113">
                  <c:v>116</c:v>
                </c:pt>
                <c:pt idx="114" formatCode="General">
                  <c:v>113</c:v>
                </c:pt>
                <c:pt idx="115" formatCode="General">
                  <c:v>18</c:v>
                </c:pt>
                <c:pt idx="116">
                  <c:v>386</c:v>
                </c:pt>
                <c:pt idx="117" formatCode="General">
                  <c:v>569</c:v>
                </c:pt>
                <c:pt idx="118" formatCode="General">
                  <c:v>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95-4081-A807-F0DD5375D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6565631"/>
        <c:axId val="1986564383"/>
      </c:scatterChart>
      <c:valAx>
        <c:axId val="1986565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564383"/>
        <c:crosses val="autoZero"/>
        <c:crossBetween val="midCat"/>
      </c:valAx>
      <c:valAx>
        <c:axId val="198656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565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'Analysis 3'!$BC$1</c:f>
              <c:strCache>
                <c:ptCount val="1"/>
                <c:pt idx="0">
                  <c:v>Eff TSS (mg/l)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3'!$BB$2:$BB$268</c:f>
              <c:numCache>
                <c:formatCode>General</c:formatCode>
                <c:ptCount val="267"/>
                <c:pt idx="0">
                  <c:v>8</c:v>
                </c:pt>
                <c:pt idx="1">
                  <c:v>8</c:v>
                </c:pt>
                <c:pt idx="3">
                  <c:v>13.7</c:v>
                </c:pt>
                <c:pt idx="4">
                  <c:v>25</c:v>
                </c:pt>
                <c:pt idx="5">
                  <c:v>6.1</c:v>
                </c:pt>
                <c:pt idx="6">
                  <c:v>33.5</c:v>
                </c:pt>
                <c:pt idx="7">
                  <c:v>10</c:v>
                </c:pt>
                <c:pt idx="8">
                  <c:v>16.7</c:v>
                </c:pt>
                <c:pt idx="9">
                  <c:v>37.700000000000003</c:v>
                </c:pt>
                <c:pt idx="10">
                  <c:v>4</c:v>
                </c:pt>
                <c:pt idx="11">
                  <c:v>12.8</c:v>
                </c:pt>
                <c:pt idx="12">
                  <c:v>7.5</c:v>
                </c:pt>
                <c:pt idx="13">
                  <c:v>12.3</c:v>
                </c:pt>
                <c:pt idx="14">
                  <c:v>6.2</c:v>
                </c:pt>
                <c:pt idx="15">
                  <c:v>8</c:v>
                </c:pt>
                <c:pt idx="16">
                  <c:v>9.3000000000000007</c:v>
                </c:pt>
                <c:pt idx="17">
                  <c:v>9.6999999999999993</c:v>
                </c:pt>
                <c:pt idx="18">
                  <c:v>6</c:v>
                </c:pt>
                <c:pt idx="19">
                  <c:v>4</c:v>
                </c:pt>
                <c:pt idx="20">
                  <c:v>6</c:v>
                </c:pt>
                <c:pt idx="21">
                  <c:v>6</c:v>
                </c:pt>
                <c:pt idx="22">
                  <c:v>8.8000000000000007</c:v>
                </c:pt>
                <c:pt idx="23">
                  <c:v>10.6</c:v>
                </c:pt>
                <c:pt idx="24">
                  <c:v>9.9</c:v>
                </c:pt>
                <c:pt idx="25">
                  <c:v>5.0999999999999996</c:v>
                </c:pt>
                <c:pt idx="26">
                  <c:v>8.8000000000000007</c:v>
                </c:pt>
                <c:pt idx="27">
                  <c:v>7.7</c:v>
                </c:pt>
                <c:pt idx="28">
                  <c:v>14.5</c:v>
                </c:pt>
                <c:pt idx="29">
                  <c:v>10.4</c:v>
                </c:pt>
                <c:pt idx="30">
                  <c:v>11</c:v>
                </c:pt>
                <c:pt idx="31">
                  <c:v>4</c:v>
                </c:pt>
                <c:pt idx="32">
                  <c:v>3.2</c:v>
                </c:pt>
                <c:pt idx="33">
                  <c:v>3.6</c:v>
                </c:pt>
                <c:pt idx="34">
                  <c:v>4</c:v>
                </c:pt>
                <c:pt idx="35">
                  <c:v>7</c:v>
                </c:pt>
                <c:pt idx="36" formatCode="0">
                  <c:v>10.327272727272726</c:v>
                </c:pt>
                <c:pt idx="37">
                  <c:v>8.8000000000000007</c:v>
                </c:pt>
                <c:pt idx="38">
                  <c:v>9.4</c:v>
                </c:pt>
                <c:pt idx="39">
                  <c:v>4</c:v>
                </c:pt>
                <c:pt idx="40">
                  <c:v>9.6999999999999993</c:v>
                </c:pt>
                <c:pt idx="41">
                  <c:v>9.1</c:v>
                </c:pt>
                <c:pt idx="42">
                  <c:v>5</c:v>
                </c:pt>
                <c:pt idx="43">
                  <c:v>9.6999999999999993</c:v>
                </c:pt>
                <c:pt idx="44">
                  <c:v>7.7</c:v>
                </c:pt>
                <c:pt idx="45">
                  <c:v>7.9</c:v>
                </c:pt>
                <c:pt idx="46">
                  <c:v>7.8</c:v>
                </c:pt>
                <c:pt idx="47">
                  <c:v>7.2</c:v>
                </c:pt>
                <c:pt idx="48">
                  <c:v>9.5</c:v>
                </c:pt>
                <c:pt idx="49">
                  <c:v>9.6</c:v>
                </c:pt>
                <c:pt idx="50">
                  <c:v>13.6</c:v>
                </c:pt>
                <c:pt idx="51">
                  <c:v>5.7</c:v>
                </c:pt>
                <c:pt idx="52">
                  <c:v>5.9</c:v>
                </c:pt>
                <c:pt idx="53">
                  <c:v>5.7</c:v>
                </c:pt>
                <c:pt idx="54">
                  <c:v>5.7</c:v>
                </c:pt>
                <c:pt idx="55">
                  <c:v>4.4000000000000004</c:v>
                </c:pt>
                <c:pt idx="56">
                  <c:v>14.3</c:v>
                </c:pt>
                <c:pt idx="57">
                  <c:v>4</c:v>
                </c:pt>
                <c:pt idx="58">
                  <c:v>4</c:v>
                </c:pt>
                <c:pt idx="59">
                  <c:v>72</c:v>
                </c:pt>
                <c:pt idx="60">
                  <c:v>4.9000000000000004</c:v>
                </c:pt>
                <c:pt idx="61">
                  <c:v>5.0999999999999996</c:v>
                </c:pt>
                <c:pt idx="62">
                  <c:v>10.199999999999999</c:v>
                </c:pt>
                <c:pt idx="63">
                  <c:v>2.7</c:v>
                </c:pt>
                <c:pt idx="64">
                  <c:v>2.7</c:v>
                </c:pt>
                <c:pt idx="65">
                  <c:v>5.5</c:v>
                </c:pt>
                <c:pt idx="66">
                  <c:v>5.5</c:v>
                </c:pt>
                <c:pt idx="67">
                  <c:v>9.5</c:v>
                </c:pt>
                <c:pt idx="68">
                  <c:v>1.4</c:v>
                </c:pt>
                <c:pt idx="69">
                  <c:v>1.4</c:v>
                </c:pt>
                <c:pt idx="70">
                  <c:v>21.6</c:v>
                </c:pt>
                <c:pt idx="71">
                  <c:v>8</c:v>
                </c:pt>
                <c:pt idx="72">
                  <c:v>7</c:v>
                </c:pt>
                <c:pt idx="73">
                  <c:v>7</c:v>
                </c:pt>
                <c:pt idx="74">
                  <c:v>10.4</c:v>
                </c:pt>
                <c:pt idx="75">
                  <c:v>6</c:v>
                </c:pt>
                <c:pt idx="76">
                  <c:v>16</c:v>
                </c:pt>
                <c:pt idx="77">
                  <c:v>16</c:v>
                </c:pt>
                <c:pt idx="78">
                  <c:v>18</c:v>
                </c:pt>
                <c:pt idx="79">
                  <c:v>5</c:v>
                </c:pt>
                <c:pt idx="80">
                  <c:v>6</c:v>
                </c:pt>
                <c:pt idx="81">
                  <c:v>7.5</c:v>
                </c:pt>
                <c:pt idx="82">
                  <c:v>8</c:v>
                </c:pt>
                <c:pt idx="83">
                  <c:v>25</c:v>
                </c:pt>
                <c:pt idx="84">
                  <c:v>10.9</c:v>
                </c:pt>
                <c:pt idx="85">
                  <c:v>48</c:v>
                </c:pt>
                <c:pt idx="86">
                  <c:v>96</c:v>
                </c:pt>
                <c:pt idx="87">
                  <c:v>4</c:v>
                </c:pt>
                <c:pt idx="88">
                  <c:v>7</c:v>
                </c:pt>
                <c:pt idx="89">
                  <c:v>6</c:v>
                </c:pt>
                <c:pt idx="90">
                  <c:v>7.5</c:v>
                </c:pt>
                <c:pt idx="91">
                  <c:v>8.5</c:v>
                </c:pt>
                <c:pt idx="92">
                  <c:v>4</c:v>
                </c:pt>
                <c:pt idx="93">
                  <c:v>10.199999999999999</c:v>
                </c:pt>
                <c:pt idx="94">
                  <c:v>12</c:v>
                </c:pt>
                <c:pt idx="95">
                  <c:v>6</c:v>
                </c:pt>
                <c:pt idx="96">
                  <c:v>24</c:v>
                </c:pt>
                <c:pt idx="97">
                  <c:v>13.6</c:v>
                </c:pt>
                <c:pt idx="98">
                  <c:v>25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11.2</c:v>
                </c:pt>
                <c:pt idx="103">
                  <c:v>8.8000000000000007</c:v>
                </c:pt>
                <c:pt idx="104">
                  <c:v>25</c:v>
                </c:pt>
                <c:pt idx="105">
                  <c:v>13</c:v>
                </c:pt>
                <c:pt idx="106">
                  <c:v>10.5</c:v>
                </c:pt>
                <c:pt idx="107">
                  <c:v>32</c:v>
                </c:pt>
                <c:pt idx="108">
                  <c:v>12</c:v>
                </c:pt>
                <c:pt idx="109">
                  <c:v>9.5</c:v>
                </c:pt>
                <c:pt idx="110">
                  <c:v>24</c:v>
                </c:pt>
                <c:pt idx="111">
                  <c:v>36</c:v>
                </c:pt>
                <c:pt idx="112">
                  <c:v>48</c:v>
                </c:pt>
                <c:pt idx="113">
                  <c:v>48</c:v>
                </c:pt>
                <c:pt idx="114">
                  <c:v>96</c:v>
                </c:pt>
                <c:pt idx="115">
                  <c:v>7.5</c:v>
                </c:pt>
                <c:pt idx="116">
                  <c:v>9.8000000000000007</c:v>
                </c:pt>
                <c:pt idx="117">
                  <c:v>9.1</c:v>
                </c:pt>
                <c:pt idx="118">
                  <c:v>11.8</c:v>
                </c:pt>
              </c:numCache>
            </c:numRef>
          </c:xVal>
          <c:yVal>
            <c:numRef>
              <c:f>'Analysis 3'!$BC$2:$BC$268</c:f>
              <c:numCache>
                <c:formatCode>0</c:formatCode>
                <c:ptCount val="267"/>
                <c:pt idx="0" formatCode="General">
                  <c:v>13.1</c:v>
                </c:pt>
                <c:pt idx="1">
                  <c:v>27.2</c:v>
                </c:pt>
                <c:pt idx="2" formatCode="General">
                  <c:v>22.75</c:v>
                </c:pt>
                <c:pt idx="3" formatCode="General">
                  <c:v>6.4</c:v>
                </c:pt>
                <c:pt idx="4" formatCode="General">
                  <c:v>13.1</c:v>
                </c:pt>
                <c:pt idx="5" formatCode="General">
                  <c:v>24</c:v>
                </c:pt>
                <c:pt idx="6" formatCode="General">
                  <c:v>13.9</c:v>
                </c:pt>
                <c:pt idx="7" formatCode="General">
                  <c:v>24</c:v>
                </c:pt>
                <c:pt idx="8" formatCode="General">
                  <c:v>10.3</c:v>
                </c:pt>
                <c:pt idx="9">
                  <c:v>14.6</c:v>
                </c:pt>
                <c:pt idx="10" formatCode="General">
                  <c:v>34</c:v>
                </c:pt>
                <c:pt idx="11" formatCode="General">
                  <c:v>38</c:v>
                </c:pt>
                <c:pt idx="12" formatCode="General">
                  <c:v>34</c:v>
                </c:pt>
                <c:pt idx="13" formatCode="General">
                  <c:v>38</c:v>
                </c:pt>
                <c:pt idx="14">
                  <c:v>37</c:v>
                </c:pt>
                <c:pt idx="15" formatCode="General">
                  <c:v>66</c:v>
                </c:pt>
                <c:pt idx="16" formatCode="General">
                  <c:v>72</c:v>
                </c:pt>
                <c:pt idx="17" formatCode="General">
                  <c:v>56</c:v>
                </c:pt>
                <c:pt idx="18" formatCode="General">
                  <c:v>49</c:v>
                </c:pt>
                <c:pt idx="19" formatCode="General">
                  <c:v>75</c:v>
                </c:pt>
                <c:pt idx="20" formatCode="General">
                  <c:v>71</c:v>
                </c:pt>
                <c:pt idx="21" formatCode="General">
                  <c:v>56</c:v>
                </c:pt>
                <c:pt idx="22" formatCode="General">
                  <c:v>64</c:v>
                </c:pt>
                <c:pt idx="23" formatCode="General">
                  <c:v>54</c:v>
                </c:pt>
                <c:pt idx="24" formatCode="General">
                  <c:v>74</c:v>
                </c:pt>
                <c:pt idx="25" formatCode="General">
                  <c:v>49</c:v>
                </c:pt>
                <c:pt idx="26" formatCode="General">
                  <c:v>58</c:v>
                </c:pt>
                <c:pt idx="27" formatCode="General">
                  <c:v>74</c:v>
                </c:pt>
                <c:pt idx="28" formatCode="General">
                  <c:v>54</c:v>
                </c:pt>
                <c:pt idx="29" formatCode="General">
                  <c:v>43</c:v>
                </c:pt>
                <c:pt idx="30">
                  <c:v>45</c:v>
                </c:pt>
                <c:pt idx="31">
                  <c:v>58</c:v>
                </c:pt>
                <c:pt idx="32" formatCode="General">
                  <c:v>144</c:v>
                </c:pt>
                <c:pt idx="33" formatCode="General">
                  <c:v>45</c:v>
                </c:pt>
                <c:pt idx="34">
                  <c:v>60</c:v>
                </c:pt>
                <c:pt idx="35" formatCode="General">
                  <c:v>45</c:v>
                </c:pt>
                <c:pt idx="36">
                  <c:v>74</c:v>
                </c:pt>
                <c:pt idx="37" formatCode="General">
                  <c:v>49</c:v>
                </c:pt>
                <c:pt idx="38" formatCode="General">
                  <c:v>96</c:v>
                </c:pt>
                <c:pt idx="39" formatCode="General">
                  <c:v>76</c:v>
                </c:pt>
                <c:pt idx="40" formatCode="General">
                  <c:v>80</c:v>
                </c:pt>
                <c:pt idx="41" formatCode="General">
                  <c:v>43</c:v>
                </c:pt>
                <c:pt idx="42" formatCode="General">
                  <c:v>78</c:v>
                </c:pt>
                <c:pt idx="43" formatCode="General">
                  <c:v>66.56</c:v>
                </c:pt>
                <c:pt idx="44" formatCode="General">
                  <c:v>80</c:v>
                </c:pt>
                <c:pt idx="45" formatCode="General">
                  <c:v>143</c:v>
                </c:pt>
                <c:pt idx="46" formatCode="General">
                  <c:v>81</c:v>
                </c:pt>
                <c:pt idx="47" formatCode="General">
                  <c:v>74</c:v>
                </c:pt>
                <c:pt idx="48" formatCode="General">
                  <c:v>53</c:v>
                </c:pt>
                <c:pt idx="49" formatCode="General">
                  <c:v>56</c:v>
                </c:pt>
                <c:pt idx="50" formatCode="General">
                  <c:v>65</c:v>
                </c:pt>
                <c:pt idx="51" formatCode="General">
                  <c:v>125.82</c:v>
                </c:pt>
                <c:pt idx="52" formatCode="General">
                  <c:v>107.17999999999999</c:v>
                </c:pt>
                <c:pt idx="53" formatCode="General">
                  <c:v>101</c:v>
                </c:pt>
                <c:pt idx="54" formatCode="General">
                  <c:v>145</c:v>
                </c:pt>
                <c:pt idx="55" formatCode="General">
                  <c:v>105</c:v>
                </c:pt>
                <c:pt idx="56" formatCode="General">
                  <c:v>142</c:v>
                </c:pt>
                <c:pt idx="57" formatCode="General">
                  <c:v>143</c:v>
                </c:pt>
                <c:pt idx="58" formatCode="General">
                  <c:v>142</c:v>
                </c:pt>
                <c:pt idx="59" formatCode="General">
                  <c:v>131</c:v>
                </c:pt>
                <c:pt idx="60" formatCode="General">
                  <c:v>204</c:v>
                </c:pt>
                <c:pt idx="61" formatCode="General">
                  <c:v>180</c:v>
                </c:pt>
                <c:pt idx="62" formatCode="General">
                  <c:v>128</c:v>
                </c:pt>
                <c:pt idx="63" formatCode="General">
                  <c:v>150</c:v>
                </c:pt>
                <c:pt idx="64" formatCode="General">
                  <c:v>147</c:v>
                </c:pt>
                <c:pt idx="65" formatCode="General">
                  <c:v>167</c:v>
                </c:pt>
                <c:pt idx="66" formatCode="General">
                  <c:v>162</c:v>
                </c:pt>
                <c:pt idx="67" formatCode="General">
                  <c:v>242</c:v>
                </c:pt>
                <c:pt idx="68" formatCode="General">
                  <c:v>151</c:v>
                </c:pt>
                <c:pt idx="69" formatCode="General">
                  <c:v>146</c:v>
                </c:pt>
                <c:pt idx="70">
                  <c:v>51</c:v>
                </c:pt>
                <c:pt idx="71" formatCode="General">
                  <c:v>95</c:v>
                </c:pt>
                <c:pt idx="72" formatCode="General">
                  <c:v>164</c:v>
                </c:pt>
                <c:pt idx="73" formatCode="General">
                  <c:v>157</c:v>
                </c:pt>
                <c:pt idx="74" formatCode="General">
                  <c:v>141</c:v>
                </c:pt>
                <c:pt idx="75" formatCode="General">
                  <c:v>83</c:v>
                </c:pt>
                <c:pt idx="76" formatCode="General">
                  <c:v>66.8</c:v>
                </c:pt>
                <c:pt idx="77" formatCode="General">
                  <c:v>57.8</c:v>
                </c:pt>
                <c:pt idx="78" formatCode="General">
                  <c:v>113</c:v>
                </c:pt>
                <c:pt idx="79" formatCode="General">
                  <c:v>224</c:v>
                </c:pt>
                <c:pt idx="80" formatCode="General">
                  <c:v>199</c:v>
                </c:pt>
                <c:pt idx="81" formatCode="General">
                  <c:v>29</c:v>
                </c:pt>
                <c:pt idx="82">
                  <c:v>156</c:v>
                </c:pt>
                <c:pt idx="83" formatCode="General">
                  <c:v>158.39999999999998</c:v>
                </c:pt>
                <c:pt idx="84" formatCode="General">
                  <c:v>146</c:v>
                </c:pt>
                <c:pt idx="85" formatCode="General">
                  <c:v>89</c:v>
                </c:pt>
                <c:pt idx="86" formatCode="General">
                  <c:v>73</c:v>
                </c:pt>
                <c:pt idx="87" formatCode="General">
                  <c:v>109.04000000000002</c:v>
                </c:pt>
                <c:pt idx="88" formatCode="General">
                  <c:v>50</c:v>
                </c:pt>
                <c:pt idx="89" formatCode="General">
                  <c:v>58</c:v>
                </c:pt>
                <c:pt idx="90" formatCode="General">
                  <c:v>46</c:v>
                </c:pt>
                <c:pt idx="91" formatCode="General">
                  <c:v>114</c:v>
                </c:pt>
                <c:pt idx="92">
                  <c:v>318</c:v>
                </c:pt>
                <c:pt idx="93" formatCode="General">
                  <c:v>132</c:v>
                </c:pt>
                <c:pt idx="94" formatCode="General">
                  <c:v>105</c:v>
                </c:pt>
                <c:pt idx="95" formatCode="General">
                  <c:v>301</c:v>
                </c:pt>
                <c:pt idx="96" formatCode="General">
                  <c:v>55</c:v>
                </c:pt>
                <c:pt idx="97">
                  <c:v>141</c:v>
                </c:pt>
                <c:pt idx="98" formatCode="General">
                  <c:v>153.52000000000001</c:v>
                </c:pt>
                <c:pt idx="99" formatCode="General">
                  <c:v>134</c:v>
                </c:pt>
                <c:pt idx="100" formatCode="General">
                  <c:v>130</c:v>
                </c:pt>
                <c:pt idx="101" formatCode="General">
                  <c:v>107</c:v>
                </c:pt>
                <c:pt idx="102" formatCode="General">
                  <c:v>255</c:v>
                </c:pt>
                <c:pt idx="103" formatCode="General">
                  <c:v>326</c:v>
                </c:pt>
                <c:pt idx="104" formatCode="General">
                  <c:v>172.40000000000003</c:v>
                </c:pt>
                <c:pt idx="105" formatCode="General">
                  <c:v>142</c:v>
                </c:pt>
                <c:pt idx="106" formatCode="General">
                  <c:v>209</c:v>
                </c:pt>
                <c:pt idx="107" formatCode="General">
                  <c:v>116</c:v>
                </c:pt>
                <c:pt idx="108" formatCode="General">
                  <c:v>201</c:v>
                </c:pt>
                <c:pt idx="109" formatCode="General">
                  <c:v>516</c:v>
                </c:pt>
                <c:pt idx="110" formatCode="General">
                  <c:v>157</c:v>
                </c:pt>
                <c:pt idx="111" formatCode="General">
                  <c:v>148</c:v>
                </c:pt>
                <c:pt idx="112" formatCode="General">
                  <c:v>125</c:v>
                </c:pt>
                <c:pt idx="113">
                  <c:v>116</c:v>
                </c:pt>
                <c:pt idx="114" formatCode="General">
                  <c:v>113</c:v>
                </c:pt>
                <c:pt idx="115" formatCode="General">
                  <c:v>18</c:v>
                </c:pt>
                <c:pt idx="116">
                  <c:v>386</c:v>
                </c:pt>
                <c:pt idx="117" formatCode="General">
                  <c:v>569</c:v>
                </c:pt>
                <c:pt idx="118" formatCode="General">
                  <c:v>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0A-4F1B-9978-AD1808150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5231711"/>
        <c:axId val="1945237951"/>
      </c:scatterChart>
      <c:valAx>
        <c:axId val="19452317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5237951"/>
        <c:crosses val="autoZero"/>
        <c:crossBetween val="midCat"/>
      </c:valAx>
      <c:valAx>
        <c:axId val="1945237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5231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Analysis!$AY$2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Analysis!$AV$3:$AV$235</c:f>
              <c:numCache>
                <c:formatCode>General</c:formatCode>
                <c:ptCount val="233"/>
                <c:pt idx="0">
                  <c:v>7.1</c:v>
                </c:pt>
                <c:pt idx="1">
                  <c:v>9</c:v>
                </c:pt>
                <c:pt idx="2">
                  <c:v>9</c:v>
                </c:pt>
                <c:pt idx="3">
                  <c:v>10.3</c:v>
                </c:pt>
                <c:pt idx="4">
                  <c:v>12</c:v>
                </c:pt>
                <c:pt idx="5">
                  <c:v>12</c:v>
                </c:pt>
                <c:pt idx="6">
                  <c:v>12.7</c:v>
                </c:pt>
                <c:pt idx="7">
                  <c:v>12.9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13.6</c:v>
                </c:pt>
                <c:pt idx="16">
                  <c:v>13.7</c:v>
                </c:pt>
                <c:pt idx="17">
                  <c:v>13.8</c:v>
                </c:pt>
                <c:pt idx="18">
                  <c:v>14.4</c:v>
                </c:pt>
                <c:pt idx="19">
                  <c:v>14.7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15.75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16.399999999999999</c:v>
                </c:pt>
                <c:pt idx="41">
                  <c:v>16.399999999999999</c:v>
                </c:pt>
                <c:pt idx="42">
                  <c:v>16.5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18.5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19.149999999999999</c:v>
                </c:pt>
                <c:pt idx="68">
                  <c:v>19.5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20.5</c:v>
                </c:pt>
                <c:pt idx="94">
                  <c:v>20.5</c:v>
                </c:pt>
                <c:pt idx="95">
                  <c:v>20.5</c:v>
                </c:pt>
                <c:pt idx="96">
                  <c:v>20.5</c:v>
                </c:pt>
                <c:pt idx="97">
                  <c:v>21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22</c:v>
                </c:pt>
                <c:pt idx="102">
                  <c:v>22</c:v>
                </c:pt>
                <c:pt idx="103">
                  <c:v>22</c:v>
                </c:pt>
                <c:pt idx="104">
                  <c:v>22</c:v>
                </c:pt>
                <c:pt idx="105">
                  <c:v>22</c:v>
                </c:pt>
                <c:pt idx="106">
                  <c:v>22</c:v>
                </c:pt>
                <c:pt idx="107">
                  <c:v>22</c:v>
                </c:pt>
                <c:pt idx="108">
                  <c:v>22</c:v>
                </c:pt>
                <c:pt idx="109">
                  <c:v>22</c:v>
                </c:pt>
                <c:pt idx="110">
                  <c:v>22.5</c:v>
                </c:pt>
                <c:pt idx="111">
                  <c:v>22.5</c:v>
                </c:pt>
                <c:pt idx="112">
                  <c:v>22.5</c:v>
                </c:pt>
                <c:pt idx="113">
                  <c:v>22.5</c:v>
                </c:pt>
                <c:pt idx="114">
                  <c:v>22.7</c:v>
                </c:pt>
                <c:pt idx="115">
                  <c:v>22.7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23</c:v>
                </c:pt>
                <c:pt idx="123">
                  <c:v>23</c:v>
                </c:pt>
                <c:pt idx="124">
                  <c:v>23</c:v>
                </c:pt>
                <c:pt idx="125">
                  <c:v>23</c:v>
                </c:pt>
                <c:pt idx="126">
                  <c:v>23</c:v>
                </c:pt>
                <c:pt idx="127">
                  <c:v>23</c:v>
                </c:pt>
                <c:pt idx="128">
                  <c:v>23</c:v>
                </c:pt>
                <c:pt idx="129">
                  <c:v>23</c:v>
                </c:pt>
                <c:pt idx="130">
                  <c:v>23</c:v>
                </c:pt>
                <c:pt idx="131">
                  <c:v>23</c:v>
                </c:pt>
                <c:pt idx="132">
                  <c:v>24</c:v>
                </c:pt>
                <c:pt idx="133">
                  <c:v>24</c:v>
                </c:pt>
                <c:pt idx="134">
                  <c:v>24.3</c:v>
                </c:pt>
                <c:pt idx="135">
                  <c:v>24.3</c:v>
                </c:pt>
                <c:pt idx="136">
                  <c:v>25</c:v>
                </c:pt>
                <c:pt idx="137">
                  <c:v>25</c:v>
                </c:pt>
                <c:pt idx="138">
                  <c:v>25</c:v>
                </c:pt>
                <c:pt idx="139">
                  <c:v>25</c:v>
                </c:pt>
                <c:pt idx="140">
                  <c:v>25</c:v>
                </c:pt>
                <c:pt idx="141">
                  <c:v>25</c:v>
                </c:pt>
                <c:pt idx="142">
                  <c:v>25</c:v>
                </c:pt>
                <c:pt idx="143">
                  <c:v>25</c:v>
                </c:pt>
                <c:pt idx="144">
                  <c:v>25</c:v>
                </c:pt>
                <c:pt idx="145">
                  <c:v>25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25</c:v>
                </c:pt>
                <c:pt idx="151">
                  <c:v>25</c:v>
                </c:pt>
                <c:pt idx="152">
                  <c:v>25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25</c:v>
                </c:pt>
                <c:pt idx="158">
                  <c:v>25</c:v>
                </c:pt>
                <c:pt idx="159">
                  <c:v>25</c:v>
                </c:pt>
                <c:pt idx="160">
                  <c:v>25</c:v>
                </c:pt>
                <c:pt idx="161">
                  <c:v>25</c:v>
                </c:pt>
                <c:pt idx="162">
                  <c:v>25</c:v>
                </c:pt>
                <c:pt idx="163">
                  <c:v>25.5</c:v>
                </c:pt>
                <c:pt idx="164">
                  <c:v>25.5</c:v>
                </c:pt>
                <c:pt idx="165">
                  <c:v>25.5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26</c:v>
                </c:pt>
                <c:pt idx="176">
                  <c:v>26</c:v>
                </c:pt>
                <c:pt idx="177">
                  <c:v>26</c:v>
                </c:pt>
                <c:pt idx="178">
                  <c:v>26</c:v>
                </c:pt>
                <c:pt idx="179">
                  <c:v>26</c:v>
                </c:pt>
                <c:pt idx="180">
                  <c:v>26.5</c:v>
                </c:pt>
                <c:pt idx="181">
                  <c:v>26.5</c:v>
                </c:pt>
                <c:pt idx="182">
                  <c:v>27</c:v>
                </c:pt>
                <c:pt idx="183">
                  <c:v>27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27</c:v>
                </c:pt>
                <c:pt idx="189">
                  <c:v>27</c:v>
                </c:pt>
                <c:pt idx="190">
                  <c:v>27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27</c:v>
                </c:pt>
                <c:pt idx="198">
                  <c:v>27</c:v>
                </c:pt>
                <c:pt idx="199">
                  <c:v>27.3</c:v>
                </c:pt>
                <c:pt idx="200">
                  <c:v>27.4</c:v>
                </c:pt>
                <c:pt idx="201">
                  <c:v>27.4</c:v>
                </c:pt>
                <c:pt idx="202">
                  <c:v>27.4</c:v>
                </c:pt>
                <c:pt idx="203">
                  <c:v>27.9</c:v>
                </c:pt>
                <c:pt idx="204">
                  <c:v>28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28.1</c:v>
                </c:pt>
                <c:pt idx="209">
                  <c:v>28.5</c:v>
                </c:pt>
                <c:pt idx="210">
                  <c:v>28.5</c:v>
                </c:pt>
                <c:pt idx="211">
                  <c:v>28.5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31</c:v>
                </c:pt>
                <c:pt idx="217">
                  <c:v>31</c:v>
                </c:pt>
                <c:pt idx="218">
                  <c:v>31</c:v>
                </c:pt>
                <c:pt idx="219">
                  <c:v>31</c:v>
                </c:pt>
                <c:pt idx="220">
                  <c:v>31.5</c:v>
                </c:pt>
                <c:pt idx="221">
                  <c:v>32</c:v>
                </c:pt>
                <c:pt idx="222">
                  <c:v>32</c:v>
                </c:pt>
                <c:pt idx="223">
                  <c:v>33</c:v>
                </c:pt>
                <c:pt idx="224">
                  <c:v>33</c:v>
                </c:pt>
                <c:pt idx="225">
                  <c:v>34</c:v>
                </c:pt>
                <c:pt idx="226">
                  <c:v>35</c:v>
                </c:pt>
                <c:pt idx="227">
                  <c:v>35</c:v>
                </c:pt>
                <c:pt idx="228">
                  <c:v>35</c:v>
                </c:pt>
                <c:pt idx="229">
                  <c:v>35</c:v>
                </c:pt>
                <c:pt idx="230">
                  <c:v>35</c:v>
                </c:pt>
                <c:pt idx="231">
                  <c:v>35</c:v>
                </c:pt>
                <c:pt idx="232">
                  <c:v>35</c:v>
                </c:pt>
              </c:numCache>
            </c:numRef>
          </c:xVal>
          <c:yVal>
            <c:numRef>
              <c:f>Analysis!$AY$3:$AY$235</c:f>
              <c:numCache>
                <c:formatCode>General</c:formatCode>
                <c:ptCount val="233"/>
                <c:pt idx="0">
                  <c:v>33.14037626628074</c:v>
                </c:pt>
                <c:pt idx="1">
                  <c:v>43.916570104287374</c:v>
                </c:pt>
                <c:pt idx="2">
                  <c:v>65</c:v>
                </c:pt>
                <c:pt idx="3">
                  <c:v>35.311143270622274</c:v>
                </c:pt>
                <c:pt idx="4">
                  <c:v>70.428571428571431</c:v>
                </c:pt>
                <c:pt idx="5">
                  <c:v>71.142857142857139</c:v>
                </c:pt>
                <c:pt idx="6">
                  <c:v>40.25</c:v>
                </c:pt>
                <c:pt idx="7">
                  <c:v>3.8367844092570031</c:v>
                </c:pt>
                <c:pt idx="8">
                  <c:v>64</c:v>
                </c:pt>
                <c:pt idx="9">
                  <c:v>48.113207547169814</c:v>
                </c:pt>
                <c:pt idx="10">
                  <c:v>59</c:v>
                </c:pt>
                <c:pt idx="11">
                  <c:v>57</c:v>
                </c:pt>
                <c:pt idx="12">
                  <c:v>59</c:v>
                </c:pt>
                <c:pt idx="13">
                  <c:v>60</c:v>
                </c:pt>
                <c:pt idx="14">
                  <c:v>79.7</c:v>
                </c:pt>
                <c:pt idx="15">
                  <c:v>26.642335766423358</c:v>
                </c:pt>
                <c:pt idx="16">
                  <c:v>44.508670520231213</c:v>
                </c:pt>
                <c:pt idx="17">
                  <c:v>31.290983606557376</c:v>
                </c:pt>
                <c:pt idx="18">
                  <c:v>39.814814814814817</c:v>
                </c:pt>
                <c:pt idx="19">
                  <c:v>39.726027397260275</c:v>
                </c:pt>
                <c:pt idx="20">
                  <c:v>45.908460471567267</c:v>
                </c:pt>
                <c:pt idx="21">
                  <c:v>68.099999999999994</c:v>
                </c:pt>
                <c:pt idx="22">
                  <c:v>68.5</c:v>
                </c:pt>
                <c:pt idx="23">
                  <c:v>79.3</c:v>
                </c:pt>
                <c:pt idx="24">
                  <c:v>61</c:v>
                </c:pt>
                <c:pt idx="25">
                  <c:v>70</c:v>
                </c:pt>
                <c:pt idx="26">
                  <c:v>70.3</c:v>
                </c:pt>
                <c:pt idx="27">
                  <c:v>53.2</c:v>
                </c:pt>
                <c:pt idx="28">
                  <c:v>63.7</c:v>
                </c:pt>
                <c:pt idx="29">
                  <c:v>68.8</c:v>
                </c:pt>
                <c:pt idx="30">
                  <c:v>26</c:v>
                </c:pt>
                <c:pt idx="31">
                  <c:v>82.5</c:v>
                </c:pt>
                <c:pt idx="32">
                  <c:v>50.1</c:v>
                </c:pt>
                <c:pt idx="33">
                  <c:v>82.5</c:v>
                </c:pt>
                <c:pt idx="34">
                  <c:v>45.9</c:v>
                </c:pt>
                <c:pt idx="35">
                  <c:v>70.493685419058551</c:v>
                </c:pt>
                <c:pt idx="36">
                  <c:v>71</c:v>
                </c:pt>
                <c:pt idx="37">
                  <c:v>70</c:v>
                </c:pt>
                <c:pt idx="38">
                  <c:v>50</c:v>
                </c:pt>
                <c:pt idx="39">
                  <c:v>33</c:v>
                </c:pt>
                <c:pt idx="40">
                  <c:v>38</c:v>
                </c:pt>
                <c:pt idx="41">
                  <c:v>41</c:v>
                </c:pt>
                <c:pt idx="42">
                  <c:v>70</c:v>
                </c:pt>
                <c:pt idx="43">
                  <c:v>69.135802469135797</c:v>
                </c:pt>
                <c:pt idx="44">
                  <c:v>72.663139329805986</c:v>
                </c:pt>
                <c:pt idx="45">
                  <c:v>60</c:v>
                </c:pt>
                <c:pt idx="46">
                  <c:v>72</c:v>
                </c:pt>
                <c:pt idx="47">
                  <c:v>56.8</c:v>
                </c:pt>
                <c:pt idx="48">
                  <c:v>74</c:v>
                </c:pt>
                <c:pt idx="49">
                  <c:v>51</c:v>
                </c:pt>
                <c:pt idx="50">
                  <c:v>54</c:v>
                </c:pt>
                <c:pt idx="51">
                  <c:v>33.684210526315788</c:v>
                </c:pt>
                <c:pt idx="52">
                  <c:v>63.027295285359799</c:v>
                </c:pt>
                <c:pt idx="53">
                  <c:v>51</c:v>
                </c:pt>
                <c:pt idx="54">
                  <c:v>93.9</c:v>
                </c:pt>
                <c:pt idx="55">
                  <c:v>65.26315789473685</c:v>
                </c:pt>
                <c:pt idx="56">
                  <c:v>72</c:v>
                </c:pt>
                <c:pt idx="57">
                  <c:v>38.356164383561641</c:v>
                </c:pt>
                <c:pt idx="58">
                  <c:v>61</c:v>
                </c:pt>
                <c:pt idx="59">
                  <c:v>65</c:v>
                </c:pt>
                <c:pt idx="60">
                  <c:v>64</c:v>
                </c:pt>
                <c:pt idx="61">
                  <c:v>67</c:v>
                </c:pt>
                <c:pt idx="62">
                  <c:v>73</c:v>
                </c:pt>
                <c:pt idx="63">
                  <c:v>64.5</c:v>
                </c:pt>
                <c:pt idx="64">
                  <c:v>73</c:v>
                </c:pt>
                <c:pt idx="65">
                  <c:v>64</c:v>
                </c:pt>
                <c:pt idx="66">
                  <c:v>68</c:v>
                </c:pt>
                <c:pt idx="67">
                  <c:v>66</c:v>
                </c:pt>
                <c:pt idx="68">
                  <c:v>72</c:v>
                </c:pt>
                <c:pt idx="69">
                  <c:v>19.941348973607038</c:v>
                </c:pt>
                <c:pt idx="70">
                  <c:v>60.141509433962256</c:v>
                </c:pt>
                <c:pt idx="71">
                  <c:v>70</c:v>
                </c:pt>
                <c:pt idx="72">
                  <c:v>70</c:v>
                </c:pt>
                <c:pt idx="73">
                  <c:v>70</c:v>
                </c:pt>
                <c:pt idx="74">
                  <c:v>75</c:v>
                </c:pt>
                <c:pt idx="75">
                  <c:v>75</c:v>
                </c:pt>
                <c:pt idx="76">
                  <c:v>95</c:v>
                </c:pt>
                <c:pt idx="77">
                  <c:v>90</c:v>
                </c:pt>
                <c:pt idx="78">
                  <c:v>70</c:v>
                </c:pt>
                <c:pt idx="79">
                  <c:v>70</c:v>
                </c:pt>
                <c:pt idx="80">
                  <c:v>70</c:v>
                </c:pt>
                <c:pt idx="81">
                  <c:v>70</c:v>
                </c:pt>
                <c:pt idx="82">
                  <c:v>54.700854700854705</c:v>
                </c:pt>
                <c:pt idx="83">
                  <c:v>58.677685950413228</c:v>
                </c:pt>
                <c:pt idx="84">
                  <c:v>48.648648648648653</c:v>
                </c:pt>
                <c:pt idx="85">
                  <c:v>84.352941176470594</c:v>
                </c:pt>
                <c:pt idx="86">
                  <c:v>61.989795918367349</c:v>
                </c:pt>
                <c:pt idx="87">
                  <c:v>45.662100456621005</c:v>
                </c:pt>
                <c:pt idx="88">
                  <c:v>82.608695652173907</c:v>
                </c:pt>
                <c:pt idx="89">
                  <c:v>80.810810810810821</c:v>
                </c:pt>
                <c:pt idx="90">
                  <c:v>75.161290322580655</c:v>
                </c:pt>
                <c:pt idx="91">
                  <c:v>70</c:v>
                </c:pt>
                <c:pt idx="92">
                  <c:v>75.238095238095241</c:v>
                </c:pt>
                <c:pt idx="93">
                  <c:v>62.2</c:v>
                </c:pt>
                <c:pt idx="94">
                  <c:v>51.060070671378085</c:v>
                </c:pt>
                <c:pt idx="95">
                  <c:v>40.476190476190474</c:v>
                </c:pt>
                <c:pt idx="96">
                  <c:v>41.509433962264154</c:v>
                </c:pt>
                <c:pt idx="97">
                  <c:v>61.88925081433225</c:v>
                </c:pt>
                <c:pt idx="98">
                  <c:v>31</c:v>
                </c:pt>
                <c:pt idx="99">
                  <c:v>71</c:v>
                </c:pt>
                <c:pt idx="100">
                  <c:v>65.110565110565105</c:v>
                </c:pt>
                <c:pt idx="101">
                  <c:v>15</c:v>
                </c:pt>
                <c:pt idx="102">
                  <c:v>70</c:v>
                </c:pt>
                <c:pt idx="103">
                  <c:v>28.753180661577609</c:v>
                </c:pt>
                <c:pt idx="104">
                  <c:v>39</c:v>
                </c:pt>
                <c:pt idx="105">
                  <c:v>59.358288770053477</c:v>
                </c:pt>
                <c:pt idx="106">
                  <c:v>55.119825708061001</c:v>
                </c:pt>
                <c:pt idx="107">
                  <c:v>57</c:v>
                </c:pt>
                <c:pt idx="108">
                  <c:v>57</c:v>
                </c:pt>
                <c:pt idx="109">
                  <c:v>58</c:v>
                </c:pt>
                <c:pt idx="110">
                  <c:v>50</c:v>
                </c:pt>
                <c:pt idx="111">
                  <c:v>47</c:v>
                </c:pt>
                <c:pt idx="112">
                  <c:v>56</c:v>
                </c:pt>
                <c:pt idx="113">
                  <c:v>64</c:v>
                </c:pt>
                <c:pt idx="114">
                  <c:v>48</c:v>
                </c:pt>
                <c:pt idx="115">
                  <c:v>42.153846153846153</c:v>
                </c:pt>
                <c:pt idx="116">
                  <c:v>65.024630541871915</c:v>
                </c:pt>
                <c:pt idx="117">
                  <c:v>74</c:v>
                </c:pt>
                <c:pt idx="118">
                  <c:v>51</c:v>
                </c:pt>
                <c:pt idx="119">
                  <c:v>49</c:v>
                </c:pt>
                <c:pt idx="120">
                  <c:v>49</c:v>
                </c:pt>
                <c:pt idx="121">
                  <c:v>53</c:v>
                </c:pt>
                <c:pt idx="122">
                  <c:v>63</c:v>
                </c:pt>
                <c:pt idx="123">
                  <c:v>58.943089430894311</c:v>
                </c:pt>
                <c:pt idx="124">
                  <c:v>58</c:v>
                </c:pt>
                <c:pt idx="125">
                  <c:v>53</c:v>
                </c:pt>
                <c:pt idx="126">
                  <c:v>65</c:v>
                </c:pt>
                <c:pt idx="127">
                  <c:v>52</c:v>
                </c:pt>
                <c:pt idx="128">
                  <c:v>50</c:v>
                </c:pt>
                <c:pt idx="129">
                  <c:v>70</c:v>
                </c:pt>
                <c:pt idx="130">
                  <c:v>63</c:v>
                </c:pt>
                <c:pt idx="131">
                  <c:v>63</c:v>
                </c:pt>
                <c:pt idx="132">
                  <c:v>56</c:v>
                </c:pt>
                <c:pt idx="133">
                  <c:v>58</c:v>
                </c:pt>
                <c:pt idx="134">
                  <c:v>49</c:v>
                </c:pt>
                <c:pt idx="135">
                  <c:v>71.085714285714289</c:v>
                </c:pt>
                <c:pt idx="136">
                  <c:v>48.711340206185568</c:v>
                </c:pt>
                <c:pt idx="137">
                  <c:v>42.4</c:v>
                </c:pt>
                <c:pt idx="138">
                  <c:v>53.619302949061662</c:v>
                </c:pt>
                <c:pt idx="139">
                  <c:v>64.583333333333343</c:v>
                </c:pt>
                <c:pt idx="140">
                  <c:v>66.723549488054616</c:v>
                </c:pt>
                <c:pt idx="141">
                  <c:v>68.600682593856661</c:v>
                </c:pt>
                <c:pt idx="142">
                  <c:v>70</c:v>
                </c:pt>
                <c:pt idx="143">
                  <c:v>55.227882037533519</c:v>
                </c:pt>
                <c:pt idx="144">
                  <c:v>58</c:v>
                </c:pt>
                <c:pt idx="145">
                  <c:v>68.383658969804614</c:v>
                </c:pt>
                <c:pt idx="146">
                  <c:v>69.982238010657198</c:v>
                </c:pt>
                <c:pt idx="147">
                  <c:v>71.633237822349571</c:v>
                </c:pt>
                <c:pt idx="148">
                  <c:v>73.53463587921847</c:v>
                </c:pt>
                <c:pt idx="149">
                  <c:v>60.077519379844958</c:v>
                </c:pt>
                <c:pt idx="150">
                  <c:v>54.123711340206185</c:v>
                </c:pt>
                <c:pt idx="151">
                  <c:v>72</c:v>
                </c:pt>
                <c:pt idx="152">
                  <c:v>70</c:v>
                </c:pt>
                <c:pt idx="153">
                  <c:v>22</c:v>
                </c:pt>
                <c:pt idx="154">
                  <c:v>63</c:v>
                </c:pt>
                <c:pt idx="155">
                  <c:v>23</c:v>
                </c:pt>
                <c:pt idx="156">
                  <c:v>31</c:v>
                </c:pt>
                <c:pt idx="157">
                  <c:v>41</c:v>
                </c:pt>
                <c:pt idx="158">
                  <c:v>66</c:v>
                </c:pt>
                <c:pt idx="159">
                  <c:v>67.8</c:v>
                </c:pt>
                <c:pt idx="160">
                  <c:v>68.5</c:v>
                </c:pt>
                <c:pt idx="161">
                  <c:v>30</c:v>
                </c:pt>
                <c:pt idx="162">
                  <c:v>62</c:v>
                </c:pt>
                <c:pt idx="163">
                  <c:v>65.938864628820966</c:v>
                </c:pt>
                <c:pt idx="164">
                  <c:v>54.635761589403977</c:v>
                </c:pt>
                <c:pt idx="165">
                  <c:v>60.36866359447005</c:v>
                </c:pt>
                <c:pt idx="166">
                  <c:v>63.111888111888113</c:v>
                </c:pt>
                <c:pt idx="167">
                  <c:v>66.783216783216787</c:v>
                </c:pt>
                <c:pt idx="168">
                  <c:v>52.336448598130836</c:v>
                </c:pt>
                <c:pt idx="169">
                  <c:v>53</c:v>
                </c:pt>
                <c:pt idx="170">
                  <c:v>61</c:v>
                </c:pt>
                <c:pt idx="171">
                  <c:v>73</c:v>
                </c:pt>
                <c:pt idx="172">
                  <c:v>47</c:v>
                </c:pt>
                <c:pt idx="173">
                  <c:v>47</c:v>
                </c:pt>
                <c:pt idx="174">
                  <c:v>62</c:v>
                </c:pt>
                <c:pt idx="175">
                  <c:v>61</c:v>
                </c:pt>
                <c:pt idx="176">
                  <c:v>65</c:v>
                </c:pt>
                <c:pt idx="177">
                  <c:v>81</c:v>
                </c:pt>
                <c:pt idx="178">
                  <c:v>50</c:v>
                </c:pt>
                <c:pt idx="179">
                  <c:v>77</c:v>
                </c:pt>
                <c:pt idx="180">
                  <c:v>70</c:v>
                </c:pt>
                <c:pt idx="181">
                  <c:v>82</c:v>
                </c:pt>
                <c:pt idx="182">
                  <c:v>34.497206703910614</c:v>
                </c:pt>
                <c:pt idx="183">
                  <c:v>44.599745870393903</c:v>
                </c:pt>
                <c:pt idx="184">
                  <c:v>45.97402597402597</c:v>
                </c:pt>
                <c:pt idx="185">
                  <c:v>53.260869565217398</c:v>
                </c:pt>
                <c:pt idx="186">
                  <c:v>54.358974358974358</c:v>
                </c:pt>
                <c:pt idx="187">
                  <c:v>57.965686274509807</c:v>
                </c:pt>
                <c:pt idx="188">
                  <c:v>61.621621621621628</c:v>
                </c:pt>
                <c:pt idx="189">
                  <c:v>65.100671140939596</c:v>
                </c:pt>
                <c:pt idx="190">
                  <c:v>75.441696113074215</c:v>
                </c:pt>
                <c:pt idx="191">
                  <c:v>62.5</c:v>
                </c:pt>
                <c:pt idx="192">
                  <c:v>43.253968253968253</c:v>
                </c:pt>
                <c:pt idx="193">
                  <c:v>46.354166666666671</c:v>
                </c:pt>
                <c:pt idx="194">
                  <c:v>16.206030150753769</c:v>
                </c:pt>
                <c:pt idx="195">
                  <c:v>49.165120593692023</c:v>
                </c:pt>
                <c:pt idx="196">
                  <c:v>58.311345646437992</c:v>
                </c:pt>
                <c:pt idx="197">
                  <c:v>55.210237659963433</c:v>
                </c:pt>
                <c:pt idx="198">
                  <c:v>66</c:v>
                </c:pt>
                <c:pt idx="199">
                  <c:v>68.341708542713562</c:v>
                </c:pt>
                <c:pt idx="200">
                  <c:v>79.968944099378874</c:v>
                </c:pt>
                <c:pt idx="201">
                  <c:v>83.60128617363344</c:v>
                </c:pt>
                <c:pt idx="202">
                  <c:v>88.627935723114959</c:v>
                </c:pt>
                <c:pt idx="203">
                  <c:v>54.320987654320987</c:v>
                </c:pt>
                <c:pt idx="204">
                  <c:v>79.839786381842458</c:v>
                </c:pt>
                <c:pt idx="205">
                  <c:v>55.851063829787229</c:v>
                </c:pt>
                <c:pt idx="206">
                  <c:v>72</c:v>
                </c:pt>
                <c:pt idx="207">
                  <c:v>84</c:v>
                </c:pt>
                <c:pt idx="208">
                  <c:v>59.574468085106382</c:v>
                </c:pt>
                <c:pt idx="209">
                  <c:v>58</c:v>
                </c:pt>
                <c:pt idx="210">
                  <c:v>64</c:v>
                </c:pt>
                <c:pt idx="211">
                  <c:v>69</c:v>
                </c:pt>
                <c:pt idx="212">
                  <c:v>67</c:v>
                </c:pt>
                <c:pt idx="213">
                  <c:v>83.5</c:v>
                </c:pt>
                <c:pt idx="214">
                  <c:v>64.120781527531079</c:v>
                </c:pt>
                <c:pt idx="215">
                  <c:v>61.629881154499152</c:v>
                </c:pt>
                <c:pt idx="216">
                  <c:v>58.333333333333336</c:v>
                </c:pt>
                <c:pt idx="217">
                  <c:v>58.496732026143796</c:v>
                </c:pt>
                <c:pt idx="218">
                  <c:v>56.896551724137936</c:v>
                </c:pt>
                <c:pt idx="219">
                  <c:v>75.045537340619305</c:v>
                </c:pt>
                <c:pt idx="220">
                  <c:v>54.748603351955303</c:v>
                </c:pt>
                <c:pt idx="221">
                  <c:v>57</c:v>
                </c:pt>
                <c:pt idx="222">
                  <c:v>57.9</c:v>
                </c:pt>
                <c:pt idx="223">
                  <c:v>77</c:v>
                </c:pt>
                <c:pt idx="224">
                  <c:v>73</c:v>
                </c:pt>
                <c:pt idx="225">
                  <c:v>54.395604395604394</c:v>
                </c:pt>
                <c:pt idx="226">
                  <c:v>65.102639296187675</c:v>
                </c:pt>
                <c:pt idx="227">
                  <c:v>73.238095238095241</c:v>
                </c:pt>
                <c:pt idx="228">
                  <c:v>82.4</c:v>
                </c:pt>
                <c:pt idx="229">
                  <c:v>84.6</c:v>
                </c:pt>
                <c:pt idx="230">
                  <c:v>85</c:v>
                </c:pt>
                <c:pt idx="231">
                  <c:v>80.576208178438662</c:v>
                </c:pt>
                <c:pt idx="232">
                  <c:v>72.727272727272734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26-40FB-8894-004B7E633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550208"/>
        <c:axId val="110543136"/>
      </c:scatterChart>
      <c:valAx>
        <c:axId val="11055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43136"/>
        <c:crosses val="autoZero"/>
        <c:crossBetween val="midCat"/>
      </c:valAx>
      <c:valAx>
        <c:axId val="110543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50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Analysis!$BB$3:$BB$108</c:f>
              <c:numCache>
                <c:formatCode>General</c:formatCode>
                <c:ptCount val="106"/>
                <c:pt idx="0">
                  <c:v>7.1999999999999998E-3</c:v>
                </c:pt>
                <c:pt idx="1">
                  <c:v>2.6066787716953668E-2</c:v>
                </c:pt>
                <c:pt idx="2">
                  <c:v>2.6066787716953668E-2</c:v>
                </c:pt>
                <c:pt idx="3">
                  <c:v>2.9473137609610248E-2</c:v>
                </c:pt>
                <c:pt idx="4">
                  <c:v>4.1666666666666664E-2</c:v>
                </c:pt>
                <c:pt idx="5">
                  <c:v>4.2440318302387273E-2</c:v>
                </c:pt>
                <c:pt idx="6">
                  <c:v>4.4209706414415371E-2</c:v>
                </c:pt>
                <c:pt idx="7">
                  <c:v>4.7761194029850747E-2</c:v>
                </c:pt>
                <c:pt idx="8">
                  <c:v>5.2133575433907335E-2</c:v>
                </c:pt>
                <c:pt idx="9">
                  <c:v>5.2133575433907335E-2</c:v>
                </c:pt>
                <c:pt idx="10">
                  <c:v>5.6588424210451668E-2</c:v>
                </c:pt>
                <c:pt idx="11">
                  <c:v>5.8946275219220495E-2</c:v>
                </c:pt>
                <c:pt idx="12">
                  <c:v>6.4000000000000001E-2</c:v>
                </c:pt>
                <c:pt idx="13">
                  <c:v>7.4999999999999997E-2</c:v>
                </c:pt>
                <c:pt idx="14">
                  <c:v>8.3333333333333329E-2</c:v>
                </c:pt>
                <c:pt idx="15">
                  <c:v>8.9285714285714288E-2</c:v>
                </c:pt>
                <c:pt idx="16">
                  <c:v>8.9285714285714288E-2</c:v>
                </c:pt>
                <c:pt idx="17">
                  <c:v>9.5808383233532954E-2</c:v>
                </c:pt>
                <c:pt idx="18">
                  <c:v>0.11678832116788324</c:v>
                </c:pt>
                <c:pt idx="19">
                  <c:v>0.11904761904761905</c:v>
                </c:pt>
                <c:pt idx="20">
                  <c:v>0.11904761904761905</c:v>
                </c:pt>
                <c:pt idx="21">
                  <c:v>0.16</c:v>
                </c:pt>
                <c:pt idx="22">
                  <c:v>0.16</c:v>
                </c:pt>
                <c:pt idx="23">
                  <c:v>0.16666666666666666</c:v>
                </c:pt>
                <c:pt idx="24">
                  <c:v>0.17857142857142858</c:v>
                </c:pt>
                <c:pt idx="25">
                  <c:v>0.17857142857142858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0.21</c:v>
                </c:pt>
                <c:pt idx="31">
                  <c:v>0.21</c:v>
                </c:pt>
                <c:pt idx="32">
                  <c:v>0.23578510087688198</c:v>
                </c:pt>
                <c:pt idx="33">
                  <c:v>0.27</c:v>
                </c:pt>
                <c:pt idx="34">
                  <c:v>0.28999999999999998</c:v>
                </c:pt>
                <c:pt idx="35">
                  <c:v>0.302734375</c:v>
                </c:pt>
                <c:pt idx="36">
                  <c:v>0.302734375</c:v>
                </c:pt>
                <c:pt idx="37">
                  <c:v>0.302734375</c:v>
                </c:pt>
                <c:pt idx="38">
                  <c:v>0.32</c:v>
                </c:pt>
                <c:pt idx="39">
                  <c:v>0.33</c:v>
                </c:pt>
                <c:pt idx="40">
                  <c:v>0.35</c:v>
                </c:pt>
                <c:pt idx="41">
                  <c:v>0.35367765131532297</c:v>
                </c:pt>
                <c:pt idx="42">
                  <c:v>0.37</c:v>
                </c:pt>
                <c:pt idx="43">
                  <c:v>0.4</c:v>
                </c:pt>
                <c:pt idx="44">
                  <c:v>0.4</c:v>
                </c:pt>
                <c:pt idx="45">
                  <c:v>0.40364583333333331</c:v>
                </c:pt>
                <c:pt idx="46">
                  <c:v>0.40364583333333331</c:v>
                </c:pt>
                <c:pt idx="47">
                  <c:v>0.40364583333333331</c:v>
                </c:pt>
                <c:pt idx="48">
                  <c:v>0.42</c:v>
                </c:pt>
                <c:pt idx="49">
                  <c:v>0.43333333333333335</c:v>
                </c:pt>
                <c:pt idx="50">
                  <c:v>0.45</c:v>
                </c:pt>
                <c:pt idx="51">
                  <c:v>0.47157020175376396</c:v>
                </c:pt>
                <c:pt idx="52">
                  <c:v>0.5</c:v>
                </c:pt>
                <c:pt idx="53">
                  <c:v>0.52</c:v>
                </c:pt>
                <c:pt idx="54">
                  <c:v>0.52</c:v>
                </c:pt>
                <c:pt idx="55">
                  <c:v>0.52083333333333337</c:v>
                </c:pt>
                <c:pt idx="56">
                  <c:v>0.52083333333333337</c:v>
                </c:pt>
                <c:pt idx="57">
                  <c:v>0.53</c:v>
                </c:pt>
                <c:pt idx="58">
                  <c:v>0.53333333333333333</c:v>
                </c:pt>
                <c:pt idx="59">
                  <c:v>0.54166666666666663</c:v>
                </c:pt>
                <c:pt idx="60">
                  <c:v>0.55833333333333335</c:v>
                </c:pt>
                <c:pt idx="61">
                  <c:v>0.5625</c:v>
                </c:pt>
                <c:pt idx="62">
                  <c:v>0.56666666666666665</c:v>
                </c:pt>
                <c:pt idx="63">
                  <c:v>0.56999999999999995</c:v>
                </c:pt>
                <c:pt idx="64">
                  <c:v>0.58750000000000002</c:v>
                </c:pt>
                <c:pt idx="65">
                  <c:v>0.58946275219220501</c:v>
                </c:pt>
                <c:pt idx="66">
                  <c:v>0.59</c:v>
                </c:pt>
                <c:pt idx="67">
                  <c:v>0.60546875</c:v>
                </c:pt>
                <c:pt idx="68">
                  <c:v>0.60546875</c:v>
                </c:pt>
                <c:pt idx="69">
                  <c:v>0.60546875</c:v>
                </c:pt>
                <c:pt idx="70">
                  <c:v>0.61115498147287806</c:v>
                </c:pt>
                <c:pt idx="71">
                  <c:v>0.6166666666666667</c:v>
                </c:pt>
                <c:pt idx="72">
                  <c:v>0.6166666666666667</c:v>
                </c:pt>
                <c:pt idx="73">
                  <c:v>0.63661977236758127</c:v>
                </c:pt>
                <c:pt idx="74">
                  <c:v>0.63661977236758127</c:v>
                </c:pt>
                <c:pt idx="75">
                  <c:v>0.63661977236758127</c:v>
                </c:pt>
                <c:pt idx="76">
                  <c:v>0.63661977236758127</c:v>
                </c:pt>
                <c:pt idx="77">
                  <c:v>0.63661977236758127</c:v>
                </c:pt>
                <c:pt idx="78">
                  <c:v>0.7</c:v>
                </c:pt>
                <c:pt idx="79">
                  <c:v>0.7</c:v>
                </c:pt>
                <c:pt idx="80">
                  <c:v>0.7</c:v>
                </c:pt>
                <c:pt idx="81">
                  <c:v>0.8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0.8</c:v>
                </c:pt>
                <c:pt idx="86">
                  <c:v>0.8</c:v>
                </c:pt>
                <c:pt idx="87">
                  <c:v>0.8</c:v>
                </c:pt>
                <c:pt idx="88">
                  <c:v>0.8</c:v>
                </c:pt>
                <c:pt idx="89">
                  <c:v>0.8</c:v>
                </c:pt>
                <c:pt idx="90">
                  <c:v>0.8</c:v>
                </c:pt>
                <c:pt idx="91">
                  <c:v>0.8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  <c:pt idx="96">
                  <c:v>0.8</c:v>
                </c:pt>
                <c:pt idx="97">
                  <c:v>0.8</c:v>
                </c:pt>
                <c:pt idx="98">
                  <c:v>0.8</c:v>
                </c:pt>
                <c:pt idx="99">
                  <c:v>0.8</c:v>
                </c:pt>
                <c:pt idx="100">
                  <c:v>0.8</c:v>
                </c:pt>
                <c:pt idx="101">
                  <c:v>0.8</c:v>
                </c:pt>
                <c:pt idx="102">
                  <c:v>0.95492965855137191</c:v>
                </c:pt>
                <c:pt idx="103">
                  <c:v>1.25</c:v>
                </c:pt>
                <c:pt idx="104">
                  <c:v>1.9098593171027438</c:v>
                </c:pt>
                <c:pt idx="105">
                  <c:v>3.8197186342054876</c:v>
                </c:pt>
              </c:numCache>
            </c:numRef>
          </c:xVal>
          <c:yVal>
            <c:numRef>
              <c:f>Analysis!$BE$3:$BE$108</c:f>
              <c:numCache>
                <c:formatCode>General</c:formatCode>
                <c:ptCount val="106"/>
                <c:pt idx="0">
                  <c:v>3.1666666666666665</c:v>
                </c:pt>
                <c:pt idx="1">
                  <c:v>0.23</c:v>
                </c:pt>
                <c:pt idx="2">
                  <c:v>0.31674999999999998</c:v>
                </c:pt>
                <c:pt idx="3">
                  <c:v>0.26950000000000002</c:v>
                </c:pt>
                <c:pt idx="4">
                  <c:v>0.24299999999999999</c:v>
                </c:pt>
                <c:pt idx="5">
                  <c:v>0.11</c:v>
                </c:pt>
                <c:pt idx="6">
                  <c:v>0.35933333333333328</c:v>
                </c:pt>
                <c:pt idx="7">
                  <c:v>0.13</c:v>
                </c:pt>
                <c:pt idx="8">
                  <c:v>0.45</c:v>
                </c:pt>
                <c:pt idx="9">
                  <c:v>0.63349999999999995</c:v>
                </c:pt>
                <c:pt idx="10">
                  <c:v>0.14466666666666669</c:v>
                </c:pt>
                <c:pt idx="11">
                  <c:v>0.53900000000000003</c:v>
                </c:pt>
                <c:pt idx="12">
                  <c:v>0.18</c:v>
                </c:pt>
                <c:pt idx="13">
                  <c:v>1.032</c:v>
                </c:pt>
                <c:pt idx="14">
                  <c:v>0.48599999999999999</c:v>
                </c:pt>
                <c:pt idx="15">
                  <c:v>0.65</c:v>
                </c:pt>
                <c:pt idx="16">
                  <c:v>0.65</c:v>
                </c:pt>
                <c:pt idx="17">
                  <c:v>0.23</c:v>
                </c:pt>
                <c:pt idx="18">
                  <c:v>0.26</c:v>
                </c:pt>
                <c:pt idx="19">
                  <c:v>0.87</c:v>
                </c:pt>
                <c:pt idx="20">
                  <c:v>0.87</c:v>
                </c:pt>
                <c:pt idx="21">
                  <c:v>3.4285714285714293</c:v>
                </c:pt>
                <c:pt idx="22">
                  <c:v>0.47</c:v>
                </c:pt>
                <c:pt idx="23">
                  <c:v>0.97199999999999998</c:v>
                </c:pt>
                <c:pt idx="24">
                  <c:v>1.1000000000000001</c:v>
                </c:pt>
                <c:pt idx="25">
                  <c:v>1.1000000000000001</c:v>
                </c:pt>
                <c:pt idx="26">
                  <c:v>1.3884000000000001</c:v>
                </c:pt>
                <c:pt idx="27">
                  <c:v>1.3884000000000001</c:v>
                </c:pt>
                <c:pt idx="28">
                  <c:v>1.5</c:v>
                </c:pt>
                <c:pt idx="29">
                  <c:v>1.5</c:v>
                </c:pt>
                <c:pt idx="30">
                  <c:v>1.4</c:v>
                </c:pt>
                <c:pt idx="31">
                  <c:v>1.5</c:v>
                </c:pt>
                <c:pt idx="32">
                  <c:v>2.7919999999999998</c:v>
                </c:pt>
                <c:pt idx="33">
                  <c:v>1.4121428571428571</c:v>
                </c:pt>
                <c:pt idx="34">
                  <c:v>1.7028571428571431</c:v>
                </c:pt>
                <c:pt idx="35">
                  <c:v>0.63</c:v>
                </c:pt>
                <c:pt idx="36">
                  <c:v>0.63</c:v>
                </c:pt>
                <c:pt idx="37">
                  <c:v>0.63</c:v>
                </c:pt>
                <c:pt idx="38">
                  <c:v>2.0715789473684212</c:v>
                </c:pt>
                <c:pt idx="39">
                  <c:v>1.3956923076923078</c:v>
                </c:pt>
                <c:pt idx="40">
                  <c:v>1.780909090909091</c:v>
                </c:pt>
                <c:pt idx="41">
                  <c:v>4.032</c:v>
                </c:pt>
                <c:pt idx="42">
                  <c:v>1.54</c:v>
                </c:pt>
                <c:pt idx="43">
                  <c:v>0.41459999999999997</c:v>
                </c:pt>
                <c:pt idx="44">
                  <c:v>0.41459999999999997</c:v>
                </c:pt>
                <c:pt idx="45">
                  <c:v>0.53</c:v>
                </c:pt>
                <c:pt idx="46">
                  <c:v>0.53</c:v>
                </c:pt>
                <c:pt idx="47">
                  <c:v>0.53</c:v>
                </c:pt>
                <c:pt idx="48">
                  <c:v>1.9259999999999997</c:v>
                </c:pt>
                <c:pt idx="49">
                  <c:v>1.1125423728813557</c:v>
                </c:pt>
                <c:pt idx="50">
                  <c:v>1.6</c:v>
                </c:pt>
                <c:pt idx="51">
                  <c:v>5.9999999999999991</c:v>
                </c:pt>
                <c:pt idx="52">
                  <c:v>1.4760000000000002</c:v>
                </c:pt>
                <c:pt idx="53">
                  <c:v>1.3929896907216497</c:v>
                </c:pt>
                <c:pt idx="54">
                  <c:v>1.52</c:v>
                </c:pt>
                <c:pt idx="55">
                  <c:v>1.9493877551020407</c:v>
                </c:pt>
                <c:pt idx="56">
                  <c:v>1.1563636363636363</c:v>
                </c:pt>
                <c:pt idx="57">
                  <c:v>1.4017021276595745</c:v>
                </c:pt>
                <c:pt idx="58">
                  <c:v>0.9701052631578948</c:v>
                </c:pt>
                <c:pt idx="59">
                  <c:v>0.80727272727272714</c:v>
                </c:pt>
                <c:pt idx="60">
                  <c:v>1.664587155963303</c:v>
                </c:pt>
                <c:pt idx="61">
                  <c:v>0.65032258064516124</c:v>
                </c:pt>
                <c:pt idx="62">
                  <c:v>1.5981176470588239</c:v>
                </c:pt>
                <c:pt idx="63">
                  <c:v>0.79090909090909089</c:v>
                </c:pt>
                <c:pt idx="64">
                  <c:v>0.87461538461538446</c:v>
                </c:pt>
                <c:pt idx="65">
                  <c:v>7.76</c:v>
                </c:pt>
                <c:pt idx="66">
                  <c:v>1.5335064935064935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2</c:v>
                </c:pt>
                <c:pt idx="71">
                  <c:v>1.2682352941176471</c:v>
                </c:pt>
                <c:pt idx="72">
                  <c:v>1.331764705882353</c:v>
                </c:pt>
                <c:pt idx="73">
                  <c:v>0.36800000000000005</c:v>
                </c:pt>
                <c:pt idx="74">
                  <c:v>0.77999999999999992</c:v>
                </c:pt>
                <c:pt idx="75">
                  <c:v>1.1919999999999999</c:v>
                </c:pt>
                <c:pt idx="76">
                  <c:v>2.2199999999999998</c:v>
                </c:pt>
                <c:pt idx="77">
                  <c:v>3.2640000000000002</c:v>
                </c:pt>
                <c:pt idx="78">
                  <c:v>2.0460000000000003</c:v>
                </c:pt>
                <c:pt idx="79">
                  <c:v>2.4359999999999999</c:v>
                </c:pt>
                <c:pt idx="80">
                  <c:v>2.544</c:v>
                </c:pt>
                <c:pt idx="81">
                  <c:v>2.548</c:v>
                </c:pt>
                <c:pt idx="82">
                  <c:v>1.2</c:v>
                </c:pt>
                <c:pt idx="83">
                  <c:v>1.51</c:v>
                </c:pt>
                <c:pt idx="84">
                  <c:v>1.6</c:v>
                </c:pt>
                <c:pt idx="85">
                  <c:v>1.911</c:v>
                </c:pt>
                <c:pt idx="86">
                  <c:v>1.5288000000000002</c:v>
                </c:pt>
                <c:pt idx="87">
                  <c:v>1.5288000000000002</c:v>
                </c:pt>
                <c:pt idx="88">
                  <c:v>0.79</c:v>
                </c:pt>
                <c:pt idx="89">
                  <c:v>0.82</c:v>
                </c:pt>
                <c:pt idx="90">
                  <c:v>0.45</c:v>
                </c:pt>
                <c:pt idx="91">
                  <c:v>1.0919999999999999</c:v>
                </c:pt>
                <c:pt idx="92">
                  <c:v>1.0919999999999999</c:v>
                </c:pt>
                <c:pt idx="93">
                  <c:v>0.84933333333333338</c:v>
                </c:pt>
                <c:pt idx="94">
                  <c:v>0.84933333333333338</c:v>
                </c:pt>
                <c:pt idx="95">
                  <c:v>0.38</c:v>
                </c:pt>
                <c:pt idx="96">
                  <c:v>0.41</c:v>
                </c:pt>
                <c:pt idx="97">
                  <c:v>0.63700000000000001</c:v>
                </c:pt>
                <c:pt idx="98">
                  <c:v>0.42466666666666669</c:v>
                </c:pt>
                <c:pt idx="99">
                  <c:v>0.15</c:v>
                </c:pt>
                <c:pt idx="100">
                  <c:v>0.36</c:v>
                </c:pt>
                <c:pt idx="101">
                  <c:v>7.0000000000000007E-2</c:v>
                </c:pt>
                <c:pt idx="102">
                  <c:v>4.62</c:v>
                </c:pt>
                <c:pt idx="103">
                  <c:v>1.3782857142857143</c:v>
                </c:pt>
                <c:pt idx="104">
                  <c:v>9.4440000000000008</c:v>
                </c:pt>
                <c:pt idx="105">
                  <c:v>17.184000000000001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FC-43A7-B2F5-701A25617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421392"/>
        <c:axId val="239426384"/>
      </c:scatterChart>
      <c:valAx>
        <c:axId val="23942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426384"/>
        <c:crosses val="autoZero"/>
        <c:crossBetween val="midCat"/>
      </c:valAx>
      <c:valAx>
        <c:axId val="239426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421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Analysis!$BJ$2</c:f>
              <c:strCache>
                <c:ptCount val="1"/>
                <c:pt idx="0">
                  <c:v>HRT (h)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Analysis!$BI$3:$BI$240</c:f>
              <c:numCache>
                <c:formatCode>General</c:formatCode>
                <c:ptCount val="238"/>
                <c:pt idx="0">
                  <c:v>0.4</c:v>
                </c:pt>
                <c:pt idx="1">
                  <c:v>0.4</c:v>
                </c:pt>
                <c:pt idx="2">
                  <c:v>7.4999999999999997E-2</c:v>
                </c:pt>
                <c:pt idx="3">
                  <c:v>0.5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2.6066787716953668E-2</c:v>
                </c:pt>
                <c:pt idx="16">
                  <c:v>5.2133575433907335E-2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0.2</c:v>
                </c:pt>
                <c:pt idx="21">
                  <c:v>7.1999999999999998E-3</c:v>
                </c:pt>
                <c:pt idx="22">
                  <c:v>8.3333333333333329E-2</c:v>
                </c:pt>
                <c:pt idx="23">
                  <c:v>0.8</c:v>
                </c:pt>
                <c:pt idx="24">
                  <c:v>0.8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0.8</c:v>
                </c:pt>
                <c:pt idx="29">
                  <c:v>0.8</c:v>
                </c:pt>
                <c:pt idx="30">
                  <c:v>1.25</c:v>
                </c:pt>
                <c:pt idx="31">
                  <c:v>0.7</c:v>
                </c:pt>
                <c:pt idx="32">
                  <c:v>0.52083333333333337</c:v>
                </c:pt>
                <c:pt idx="33">
                  <c:v>0.55833333333333335</c:v>
                </c:pt>
                <c:pt idx="34">
                  <c:v>0.6166666666666667</c:v>
                </c:pt>
                <c:pt idx="35">
                  <c:v>0.16666666666666666</c:v>
                </c:pt>
                <c:pt idx="36">
                  <c:v>0.2</c:v>
                </c:pt>
                <c:pt idx="37">
                  <c:v>0.16</c:v>
                </c:pt>
                <c:pt idx="38">
                  <c:v>2.9473137609610248E-2</c:v>
                </c:pt>
                <c:pt idx="39">
                  <c:v>4.4209706414415371E-2</c:v>
                </c:pt>
                <c:pt idx="40">
                  <c:v>5.8946275219220495E-2</c:v>
                </c:pt>
                <c:pt idx="41">
                  <c:v>0.21</c:v>
                </c:pt>
                <c:pt idx="42">
                  <c:v>0.59</c:v>
                </c:pt>
                <c:pt idx="43">
                  <c:v>0.7</c:v>
                </c:pt>
                <c:pt idx="44">
                  <c:v>2.6066787716953668E-2</c:v>
                </c:pt>
                <c:pt idx="45">
                  <c:v>5.2133575433907335E-2</c:v>
                </c:pt>
                <c:pt idx="46">
                  <c:v>0.37</c:v>
                </c:pt>
                <c:pt idx="47">
                  <c:v>0.2</c:v>
                </c:pt>
                <c:pt idx="48">
                  <c:v>0.2</c:v>
                </c:pt>
                <c:pt idx="49">
                  <c:v>0.21</c:v>
                </c:pt>
                <c:pt idx="50">
                  <c:v>0.23578510087688198</c:v>
                </c:pt>
                <c:pt idx="51">
                  <c:v>0.27</c:v>
                </c:pt>
                <c:pt idx="52">
                  <c:v>0.28999999999999998</c:v>
                </c:pt>
                <c:pt idx="53">
                  <c:v>0.32</c:v>
                </c:pt>
                <c:pt idx="54">
                  <c:v>0.33</c:v>
                </c:pt>
                <c:pt idx="55">
                  <c:v>0.35</c:v>
                </c:pt>
                <c:pt idx="56">
                  <c:v>0.35367765131532297</c:v>
                </c:pt>
                <c:pt idx="57">
                  <c:v>0.47157020175376396</c:v>
                </c:pt>
                <c:pt idx="58">
                  <c:v>0.58946275219220501</c:v>
                </c:pt>
                <c:pt idx="59">
                  <c:v>5.6588424210451668E-2</c:v>
                </c:pt>
                <c:pt idx="60">
                  <c:v>0.11678832116788324</c:v>
                </c:pt>
                <c:pt idx="61">
                  <c:v>0.61115498147287806</c:v>
                </c:pt>
                <c:pt idx="62">
                  <c:v>4.1666666666666664E-2</c:v>
                </c:pt>
                <c:pt idx="63">
                  <c:v>0.302734375</c:v>
                </c:pt>
                <c:pt idx="64">
                  <c:v>0.302734375</c:v>
                </c:pt>
                <c:pt idx="65">
                  <c:v>0.302734375</c:v>
                </c:pt>
                <c:pt idx="66">
                  <c:v>0.40364583333333331</c:v>
                </c:pt>
                <c:pt idx="67">
                  <c:v>0.40364583333333331</c:v>
                </c:pt>
                <c:pt idx="68">
                  <c:v>0.40364583333333331</c:v>
                </c:pt>
                <c:pt idx="69">
                  <c:v>0.42</c:v>
                </c:pt>
                <c:pt idx="70">
                  <c:v>0.45</c:v>
                </c:pt>
                <c:pt idx="71">
                  <c:v>0.60546875</c:v>
                </c:pt>
                <c:pt idx="72">
                  <c:v>0.60546875</c:v>
                </c:pt>
                <c:pt idx="73">
                  <c:v>0.60546875</c:v>
                </c:pt>
                <c:pt idx="74">
                  <c:v>0.11904761904761905</c:v>
                </c:pt>
                <c:pt idx="75">
                  <c:v>0.11904761904761905</c:v>
                </c:pt>
                <c:pt idx="76">
                  <c:v>0.43333333333333335</c:v>
                </c:pt>
                <c:pt idx="77">
                  <c:v>0.52083333333333337</c:v>
                </c:pt>
                <c:pt idx="78">
                  <c:v>0.53333333333333333</c:v>
                </c:pt>
                <c:pt idx="79">
                  <c:v>0.54166666666666663</c:v>
                </c:pt>
                <c:pt idx="80">
                  <c:v>0.5625</c:v>
                </c:pt>
                <c:pt idx="81">
                  <c:v>0.56666666666666665</c:v>
                </c:pt>
                <c:pt idx="82">
                  <c:v>0.58750000000000002</c:v>
                </c:pt>
                <c:pt idx="83">
                  <c:v>0.6166666666666667</c:v>
                </c:pt>
                <c:pt idx="84">
                  <c:v>0.63661977236758127</c:v>
                </c:pt>
                <c:pt idx="85">
                  <c:v>0.63661977236758127</c:v>
                </c:pt>
                <c:pt idx="86">
                  <c:v>0.63661977236758127</c:v>
                </c:pt>
                <c:pt idx="87">
                  <c:v>0.63661977236758127</c:v>
                </c:pt>
                <c:pt idx="88">
                  <c:v>0.63661977236758127</c:v>
                </c:pt>
                <c:pt idx="89">
                  <c:v>0.95492965855137191</c:v>
                </c:pt>
                <c:pt idx="90">
                  <c:v>1.9098593171027438</c:v>
                </c:pt>
                <c:pt idx="91">
                  <c:v>3.8197186342054876</c:v>
                </c:pt>
                <c:pt idx="92">
                  <c:v>0.16</c:v>
                </c:pt>
                <c:pt idx="93">
                  <c:v>9.5808383233532954E-2</c:v>
                </c:pt>
                <c:pt idx="94">
                  <c:v>8.9285714285714288E-2</c:v>
                </c:pt>
                <c:pt idx="95">
                  <c:v>8.9285714285714288E-2</c:v>
                </c:pt>
                <c:pt idx="96">
                  <c:v>6.4000000000000001E-2</c:v>
                </c:pt>
                <c:pt idx="97">
                  <c:v>0.17857142857142858</c:v>
                </c:pt>
                <c:pt idx="98">
                  <c:v>0.17857142857142858</c:v>
                </c:pt>
                <c:pt idx="99">
                  <c:v>0.52</c:v>
                </c:pt>
                <c:pt idx="100">
                  <c:v>0.52</c:v>
                </c:pt>
                <c:pt idx="101">
                  <c:v>0.53</c:v>
                </c:pt>
                <c:pt idx="102">
                  <c:v>0.56999999999999995</c:v>
                </c:pt>
                <c:pt idx="103">
                  <c:v>4.7761194029850747E-2</c:v>
                </c:pt>
                <c:pt idx="104">
                  <c:v>4.2440318302387273E-2</c:v>
                </c:pt>
                <c:pt idx="105">
                  <c:v>0.7</c:v>
                </c:pt>
              </c:numCache>
            </c:numRef>
          </c:xVal>
          <c:yVal>
            <c:numRef>
              <c:f>Analysis!$BJ$3:$BJ$240</c:f>
              <c:numCache>
                <c:formatCode>General</c:formatCode>
                <c:ptCount val="238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7.68</c:v>
                </c:pt>
                <c:pt idx="5">
                  <c:v>7.68</c:v>
                </c:pt>
                <c:pt idx="6">
                  <c:v>7.68</c:v>
                </c:pt>
                <c:pt idx="7">
                  <c:v>10.32</c:v>
                </c:pt>
                <c:pt idx="8">
                  <c:v>12</c:v>
                </c:pt>
                <c:pt idx="9">
                  <c:v>13.919999999999998</c:v>
                </c:pt>
                <c:pt idx="10">
                  <c:v>19.919999999999998</c:v>
                </c:pt>
                <c:pt idx="11">
                  <c:v>24</c:v>
                </c:pt>
                <c:pt idx="12">
                  <c:v>42</c:v>
                </c:pt>
                <c:pt idx="13">
                  <c:v>42</c:v>
                </c:pt>
                <c:pt idx="14">
                  <c:v>84</c:v>
                </c:pt>
                <c:pt idx="15">
                  <c:v>96</c:v>
                </c:pt>
                <c:pt idx="16">
                  <c:v>48</c:v>
                </c:pt>
                <c:pt idx="17">
                  <c:v>10</c:v>
                </c:pt>
                <c:pt idx="18">
                  <c:v>14</c:v>
                </c:pt>
                <c:pt idx="19">
                  <c:v>18</c:v>
                </c:pt>
                <c:pt idx="20">
                  <c:v>25</c:v>
                </c:pt>
                <c:pt idx="21">
                  <c:v>3.6</c:v>
                </c:pt>
                <c:pt idx="22">
                  <c:v>12</c:v>
                </c:pt>
                <c:pt idx="23">
                  <c:v>6</c:v>
                </c:pt>
                <c:pt idx="24">
                  <c:v>8</c:v>
                </c:pt>
                <c:pt idx="25">
                  <c:v>10</c:v>
                </c:pt>
                <c:pt idx="26">
                  <c:v>14</c:v>
                </c:pt>
                <c:pt idx="27">
                  <c:v>18</c:v>
                </c:pt>
                <c:pt idx="28">
                  <c:v>24</c:v>
                </c:pt>
                <c:pt idx="29">
                  <c:v>36</c:v>
                </c:pt>
                <c:pt idx="30">
                  <c:v>7</c:v>
                </c:pt>
                <c:pt idx="31">
                  <c:v>4</c:v>
                </c:pt>
                <c:pt idx="32">
                  <c:v>14.3</c:v>
                </c:pt>
                <c:pt idx="33">
                  <c:v>10.9</c:v>
                </c:pt>
                <c:pt idx="34">
                  <c:v>10.199999999999999</c:v>
                </c:pt>
                <c:pt idx="35">
                  <c:v>6</c:v>
                </c:pt>
                <c:pt idx="36">
                  <c:v>25</c:v>
                </c:pt>
                <c:pt idx="37">
                  <c:v>9.1</c:v>
                </c:pt>
                <c:pt idx="38">
                  <c:v>48</c:v>
                </c:pt>
                <c:pt idx="39">
                  <c:v>36</c:v>
                </c:pt>
                <c:pt idx="40">
                  <c:v>24</c:v>
                </c:pt>
                <c:pt idx="41">
                  <c:v>23</c:v>
                </c:pt>
                <c:pt idx="42">
                  <c:v>7.7</c:v>
                </c:pt>
                <c:pt idx="43">
                  <c:v>4</c:v>
                </c:pt>
                <c:pt idx="44">
                  <c:v>96</c:v>
                </c:pt>
                <c:pt idx="45">
                  <c:v>48</c:v>
                </c:pt>
                <c:pt idx="46">
                  <c:v>13.6</c:v>
                </c:pt>
                <c:pt idx="47">
                  <c:v>16</c:v>
                </c:pt>
                <c:pt idx="48">
                  <c:v>16</c:v>
                </c:pt>
                <c:pt idx="49">
                  <c:v>25</c:v>
                </c:pt>
                <c:pt idx="50">
                  <c:v>6</c:v>
                </c:pt>
                <c:pt idx="51">
                  <c:v>11.2</c:v>
                </c:pt>
                <c:pt idx="52">
                  <c:v>10.5</c:v>
                </c:pt>
                <c:pt idx="53">
                  <c:v>9.5</c:v>
                </c:pt>
                <c:pt idx="54">
                  <c:v>13</c:v>
                </c:pt>
                <c:pt idx="55">
                  <c:v>8.8000000000000007</c:v>
                </c:pt>
                <c:pt idx="56">
                  <c:v>4</c:v>
                </c:pt>
                <c:pt idx="57">
                  <c:v>3</c:v>
                </c:pt>
                <c:pt idx="58">
                  <c:v>2.4</c:v>
                </c:pt>
                <c:pt idx="59">
                  <c:v>72</c:v>
                </c:pt>
                <c:pt idx="60">
                  <c:v>13.7</c:v>
                </c:pt>
                <c:pt idx="61">
                  <c:v>8</c:v>
                </c:pt>
                <c:pt idx="62">
                  <c:v>24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4</c:v>
                </c:pt>
                <c:pt idx="70">
                  <c:v>12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6</c:v>
                </c:pt>
                <c:pt idx="75">
                  <c:v>6</c:v>
                </c:pt>
                <c:pt idx="76">
                  <c:v>11.8</c:v>
                </c:pt>
                <c:pt idx="77">
                  <c:v>9.8000000000000007</c:v>
                </c:pt>
                <c:pt idx="78">
                  <c:v>9.5</c:v>
                </c:pt>
                <c:pt idx="79">
                  <c:v>8.8000000000000007</c:v>
                </c:pt>
                <c:pt idx="80">
                  <c:v>9.3000000000000007</c:v>
                </c:pt>
                <c:pt idx="81">
                  <c:v>8.5</c:v>
                </c:pt>
                <c:pt idx="82">
                  <c:v>10.4</c:v>
                </c:pt>
                <c:pt idx="83">
                  <c:v>10.199999999999999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4</c:v>
                </c:pt>
                <c:pt idx="90">
                  <c:v>2</c:v>
                </c:pt>
                <c:pt idx="91">
                  <c:v>1</c:v>
                </c:pt>
                <c:pt idx="92">
                  <c:v>10</c:v>
                </c:pt>
                <c:pt idx="93">
                  <c:v>16.7</c:v>
                </c:pt>
                <c:pt idx="94">
                  <c:v>8</c:v>
                </c:pt>
                <c:pt idx="95">
                  <c:v>8</c:v>
                </c:pt>
                <c:pt idx="96">
                  <c:v>25</c:v>
                </c:pt>
                <c:pt idx="97">
                  <c:v>4</c:v>
                </c:pt>
                <c:pt idx="98">
                  <c:v>4</c:v>
                </c:pt>
                <c:pt idx="99">
                  <c:v>9.6999999999999993</c:v>
                </c:pt>
                <c:pt idx="100">
                  <c:v>32</c:v>
                </c:pt>
                <c:pt idx="101">
                  <c:v>9.4</c:v>
                </c:pt>
                <c:pt idx="102">
                  <c:v>8.8000000000000007</c:v>
                </c:pt>
                <c:pt idx="103">
                  <c:v>33.5</c:v>
                </c:pt>
                <c:pt idx="104">
                  <c:v>37.700000000000003</c:v>
                </c:pt>
                <c:pt idx="105">
                  <c:v>4</c:v>
                </c:pt>
                <c:pt idx="107">
                  <c:v>-0.16099460988655823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2E-4FB0-9DA7-97927ED49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03440"/>
        <c:axId val="187216336"/>
      </c:scatterChart>
      <c:scatterChart>
        <c:scatterStyle val="lineMarker"/>
        <c:varyColors val="0"/>
        <c:ser>
          <c:idx val="1"/>
          <c:order val="1"/>
          <c:tx>
            <c:strRef>
              <c:f>Analysis!$BK$2</c:f>
              <c:strCache>
                <c:ptCount val="1"/>
                <c:pt idx="0">
                  <c:v>OLR (kg COD  m-3 d-1)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Analysis!$BI$3:$BI$240</c:f>
              <c:numCache>
                <c:formatCode>General</c:formatCode>
                <c:ptCount val="238"/>
                <c:pt idx="0">
                  <c:v>0.4</c:v>
                </c:pt>
                <c:pt idx="1">
                  <c:v>0.4</c:v>
                </c:pt>
                <c:pt idx="2">
                  <c:v>7.4999999999999997E-2</c:v>
                </c:pt>
                <c:pt idx="3">
                  <c:v>0.5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2.6066787716953668E-2</c:v>
                </c:pt>
                <c:pt idx="16">
                  <c:v>5.2133575433907335E-2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0.2</c:v>
                </c:pt>
                <c:pt idx="21">
                  <c:v>7.1999999999999998E-3</c:v>
                </c:pt>
                <c:pt idx="22">
                  <c:v>8.3333333333333329E-2</c:v>
                </c:pt>
                <c:pt idx="23">
                  <c:v>0.8</c:v>
                </c:pt>
                <c:pt idx="24">
                  <c:v>0.8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0.8</c:v>
                </c:pt>
                <c:pt idx="29">
                  <c:v>0.8</c:v>
                </c:pt>
                <c:pt idx="30">
                  <c:v>1.25</c:v>
                </c:pt>
                <c:pt idx="31">
                  <c:v>0.7</c:v>
                </c:pt>
                <c:pt idx="32">
                  <c:v>0.52083333333333337</c:v>
                </c:pt>
                <c:pt idx="33">
                  <c:v>0.55833333333333335</c:v>
                </c:pt>
                <c:pt idx="34">
                  <c:v>0.6166666666666667</c:v>
                </c:pt>
                <c:pt idx="35">
                  <c:v>0.16666666666666666</c:v>
                </c:pt>
                <c:pt idx="36">
                  <c:v>0.2</c:v>
                </c:pt>
                <c:pt idx="37">
                  <c:v>0.16</c:v>
                </c:pt>
                <c:pt idx="38">
                  <c:v>2.9473137609610248E-2</c:v>
                </c:pt>
                <c:pt idx="39">
                  <c:v>4.4209706414415371E-2</c:v>
                </c:pt>
                <c:pt idx="40">
                  <c:v>5.8946275219220495E-2</c:v>
                </c:pt>
                <c:pt idx="41">
                  <c:v>0.21</c:v>
                </c:pt>
                <c:pt idx="42">
                  <c:v>0.59</c:v>
                </c:pt>
                <c:pt idx="43">
                  <c:v>0.7</c:v>
                </c:pt>
                <c:pt idx="44">
                  <c:v>2.6066787716953668E-2</c:v>
                </c:pt>
                <c:pt idx="45">
                  <c:v>5.2133575433907335E-2</c:v>
                </c:pt>
                <c:pt idx="46">
                  <c:v>0.37</c:v>
                </c:pt>
                <c:pt idx="47">
                  <c:v>0.2</c:v>
                </c:pt>
                <c:pt idx="48">
                  <c:v>0.2</c:v>
                </c:pt>
                <c:pt idx="49">
                  <c:v>0.21</c:v>
                </c:pt>
                <c:pt idx="50">
                  <c:v>0.23578510087688198</c:v>
                </c:pt>
                <c:pt idx="51">
                  <c:v>0.27</c:v>
                </c:pt>
                <c:pt idx="52">
                  <c:v>0.28999999999999998</c:v>
                </c:pt>
                <c:pt idx="53">
                  <c:v>0.32</c:v>
                </c:pt>
                <c:pt idx="54">
                  <c:v>0.33</c:v>
                </c:pt>
                <c:pt idx="55">
                  <c:v>0.35</c:v>
                </c:pt>
                <c:pt idx="56">
                  <c:v>0.35367765131532297</c:v>
                </c:pt>
                <c:pt idx="57">
                  <c:v>0.47157020175376396</c:v>
                </c:pt>
                <c:pt idx="58">
                  <c:v>0.58946275219220501</c:v>
                </c:pt>
                <c:pt idx="59">
                  <c:v>5.6588424210451668E-2</c:v>
                </c:pt>
                <c:pt idx="60">
                  <c:v>0.11678832116788324</c:v>
                </c:pt>
                <c:pt idx="61">
                  <c:v>0.61115498147287806</c:v>
                </c:pt>
                <c:pt idx="62">
                  <c:v>4.1666666666666664E-2</c:v>
                </c:pt>
                <c:pt idx="63">
                  <c:v>0.302734375</c:v>
                </c:pt>
                <c:pt idx="64">
                  <c:v>0.302734375</c:v>
                </c:pt>
                <c:pt idx="65">
                  <c:v>0.302734375</c:v>
                </c:pt>
                <c:pt idx="66">
                  <c:v>0.40364583333333331</c:v>
                </c:pt>
                <c:pt idx="67">
                  <c:v>0.40364583333333331</c:v>
                </c:pt>
                <c:pt idx="68">
                  <c:v>0.40364583333333331</c:v>
                </c:pt>
                <c:pt idx="69">
                  <c:v>0.42</c:v>
                </c:pt>
                <c:pt idx="70">
                  <c:v>0.45</c:v>
                </c:pt>
                <c:pt idx="71">
                  <c:v>0.60546875</c:v>
                </c:pt>
                <c:pt idx="72">
                  <c:v>0.60546875</c:v>
                </c:pt>
                <c:pt idx="73">
                  <c:v>0.60546875</c:v>
                </c:pt>
                <c:pt idx="74">
                  <c:v>0.11904761904761905</c:v>
                </c:pt>
                <c:pt idx="75">
                  <c:v>0.11904761904761905</c:v>
                </c:pt>
                <c:pt idx="76">
                  <c:v>0.43333333333333335</c:v>
                </c:pt>
                <c:pt idx="77">
                  <c:v>0.52083333333333337</c:v>
                </c:pt>
                <c:pt idx="78">
                  <c:v>0.53333333333333333</c:v>
                </c:pt>
                <c:pt idx="79">
                  <c:v>0.54166666666666663</c:v>
                </c:pt>
                <c:pt idx="80">
                  <c:v>0.5625</c:v>
                </c:pt>
                <c:pt idx="81">
                  <c:v>0.56666666666666665</c:v>
                </c:pt>
                <c:pt idx="82">
                  <c:v>0.58750000000000002</c:v>
                </c:pt>
                <c:pt idx="83">
                  <c:v>0.6166666666666667</c:v>
                </c:pt>
                <c:pt idx="84">
                  <c:v>0.63661977236758127</c:v>
                </c:pt>
                <c:pt idx="85">
                  <c:v>0.63661977236758127</c:v>
                </c:pt>
                <c:pt idx="86">
                  <c:v>0.63661977236758127</c:v>
                </c:pt>
                <c:pt idx="87">
                  <c:v>0.63661977236758127</c:v>
                </c:pt>
                <c:pt idx="88">
                  <c:v>0.63661977236758127</c:v>
                </c:pt>
                <c:pt idx="89">
                  <c:v>0.95492965855137191</c:v>
                </c:pt>
                <c:pt idx="90">
                  <c:v>1.9098593171027438</c:v>
                </c:pt>
                <c:pt idx="91">
                  <c:v>3.8197186342054876</c:v>
                </c:pt>
                <c:pt idx="92">
                  <c:v>0.16</c:v>
                </c:pt>
                <c:pt idx="93">
                  <c:v>9.5808383233532954E-2</c:v>
                </c:pt>
                <c:pt idx="94">
                  <c:v>8.9285714285714288E-2</c:v>
                </c:pt>
                <c:pt idx="95">
                  <c:v>8.9285714285714288E-2</c:v>
                </c:pt>
                <c:pt idx="96">
                  <c:v>6.4000000000000001E-2</c:v>
                </c:pt>
                <c:pt idx="97">
                  <c:v>0.17857142857142858</c:v>
                </c:pt>
                <c:pt idx="98">
                  <c:v>0.17857142857142858</c:v>
                </c:pt>
                <c:pt idx="99">
                  <c:v>0.52</c:v>
                </c:pt>
                <c:pt idx="100">
                  <c:v>0.52</c:v>
                </c:pt>
                <c:pt idx="101">
                  <c:v>0.53</c:v>
                </c:pt>
                <c:pt idx="102">
                  <c:v>0.56999999999999995</c:v>
                </c:pt>
                <c:pt idx="103">
                  <c:v>4.7761194029850747E-2</c:v>
                </c:pt>
                <c:pt idx="104">
                  <c:v>4.2440318302387273E-2</c:v>
                </c:pt>
                <c:pt idx="105">
                  <c:v>0.7</c:v>
                </c:pt>
              </c:numCache>
            </c:numRef>
          </c:xVal>
          <c:yVal>
            <c:numRef>
              <c:f>Analysis!$BK$3:$BK$240</c:f>
              <c:numCache>
                <c:formatCode>General</c:formatCode>
                <c:ptCount val="238"/>
                <c:pt idx="0">
                  <c:v>0.41459999999999997</c:v>
                </c:pt>
                <c:pt idx="1">
                  <c:v>0.41459999999999997</c:v>
                </c:pt>
                <c:pt idx="2">
                  <c:v>1.032</c:v>
                </c:pt>
                <c:pt idx="3">
                  <c:v>1.4760000000000002</c:v>
                </c:pt>
                <c:pt idx="4">
                  <c:v>1.2</c:v>
                </c:pt>
                <c:pt idx="5">
                  <c:v>1.51</c:v>
                </c:pt>
                <c:pt idx="6">
                  <c:v>1.6</c:v>
                </c:pt>
                <c:pt idx="7">
                  <c:v>0.79</c:v>
                </c:pt>
                <c:pt idx="8">
                  <c:v>0.82</c:v>
                </c:pt>
                <c:pt idx="9">
                  <c:v>0.45</c:v>
                </c:pt>
                <c:pt idx="10">
                  <c:v>0.38</c:v>
                </c:pt>
                <c:pt idx="11">
                  <c:v>0.41</c:v>
                </c:pt>
                <c:pt idx="12">
                  <c:v>0.15</c:v>
                </c:pt>
                <c:pt idx="13">
                  <c:v>0.36</c:v>
                </c:pt>
                <c:pt idx="14">
                  <c:v>7.0000000000000007E-2</c:v>
                </c:pt>
                <c:pt idx="15">
                  <c:v>0.23</c:v>
                </c:pt>
                <c:pt idx="16">
                  <c:v>0.45</c:v>
                </c:pt>
                <c:pt idx="17">
                  <c:v>1.5288000000000002</c:v>
                </c:pt>
                <c:pt idx="18">
                  <c:v>1.0919999999999999</c:v>
                </c:pt>
                <c:pt idx="19">
                  <c:v>0.84933333333333338</c:v>
                </c:pt>
                <c:pt idx="20">
                  <c:v>1.5</c:v>
                </c:pt>
                <c:pt idx="21">
                  <c:v>3.1666666666666665</c:v>
                </c:pt>
                <c:pt idx="22">
                  <c:v>0.48599999999999999</c:v>
                </c:pt>
                <c:pt idx="23">
                  <c:v>2.548</c:v>
                </c:pt>
                <c:pt idx="24">
                  <c:v>1.911</c:v>
                </c:pt>
                <c:pt idx="25">
                  <c:v>1.5288000000000002</c:v>
                </c:pt>
                <c:pt idx="26">
                  <c:v>1.0919999999999999</c:v>
                </c:pt>
                <c:pt idx="27">
                  <c:v>0.84933333333333338</c:v>
                </c:pt>
                <c:pt idx="28">
                  <c:v>0.63700000000000001</c:v>
                </c:pt>
                <c:pt idx="29">
                  <c:v>0.42466666666666669</c:v>
                </c:pt>
                <c:pt idx="30">
                  <c:v>1.3782857142857143</c:v>
                </c:pt>
                <c:pt idx="31">
                  <c:v>2.544</c:v>
                </c:pt>
                <c:pt idx="32">
                  <c:v>1.1563636363636363</c:v>
                </c:pt>
                <c:pt idx="33">
                  <c:v>1.664587155963303</c:v>
                </c:pt>
                <c:pt idx="34">
                  <c:v>1.331764705882353</c:v>
                </c:pt>
                <c:pt idx="35">
                  <c:v>0.97199999999999998</c:v>
                </c:pt>
                <c:pt idx="36">
                  <c:v>1.5</c:v>
                </c:pt>
                <c:pt idx="37">
                  <c:v>3.4285714285714293</c:v>
                </c:pt>
                <c:pt idx="38">
                  <c:v>0.26950000000000002</c:v>
                </c:pt>
                <c:pt idx="39">
                  <c:v>0.35933333333333328</c:v>
                </c:pt>
                <c:pt idx="40">
                  <c:v>0.53900000000000003</c:v>
                </c:pt>
                <c:pt idx="41">
                  <c:v>1.4</c:v>
                </c:pt>
                <c:pt idx="42">
                  <c:v>1.5335064935064935</c:v>
                </c:pt>
                <c:pt idx="43">
                  <c:v>2.4359999999999999</c:v>
                </c:pt>
                <c:pt idx="44">
                  <c:v>0.31674999999999998</c:v>
                </c:pt>
                <c:pt idx="45">
                  <c:v>0.63349999999999995</c:v>
                </c:pt>
                <c:pt idx="46">
                  <c:v>1.54</c:v>
                </c:pt>
                <c:pt idx="47">
                  <c:v>1.3884000000000001</c:v>
                </c:pt>
                <c:pt idx="48">
                  <c:v>1.3884000000000001</c:v>
                </c:pt>
                <c:pt idx="49">
                  <c:v>1.5</c:v>
                </c:pt>
                <c:pt idx="50">
                  <c:v>2.7919999999999998</c:v>
                </c:pt>
                <c:pt idx="51">
                  <c:v>1.4121428571428571</c:v>
                </c:pt>
                <c:pt idx="52">
                  <c:v>1.7028571428571431</c:v>
                </c:pt>
                <c:pt idx="53">
                  <c:v>2.0715789473684212</c:v>
                </c:pt>
                <c:pt idx="54">
                  <c:v>1.3956923076923078</c:v>
                </c:pt>
                <c:pt idx="55">
                  <c:v>1.780909090909091</c:v>
                </c:pt>
                <c:pt idx="56">
                  <c:v>4.032</c:v>
                </c:pt>
                <c:pt idx="57">
                  <c:v>5.9999999999999991</c:v>
                </c:pt>
                <c:pt idx="58">
                  <c:v>7.76</c:v>
                </c:pt>
                <c:pt idx="59">
                  <c:v>0.14466666666666669</c:v>
                </c:pt>
                <c:pt idx="60">
                  <c:v>0.26</c:v>
                </c:pt>
                <c:pt idx="61">
                  <c:v>2</c:v>
                </c:pt>
                <c:pt idx="62">
                  <c:v>0.24299999999999999</c:v>
                </c:pt>
                <c:pt idx="63">
                  <c:v>0.63</c:v>
                </c:pt>
                <c:pt idx="64">
                  <c:v>0.63</c:v>
                </c:pt>
                <c:pt idx="65">
                  <c:v>0.63</c:v>
                </c:pt>
                <c:pt idx="66">
                  <c:v>0.53</c:v>
                </c:pt>
                <c:pt idx="67">
                  <c:v>0.53</c:v>
                </c:pt>
                <c:pt idx="68">
                  <c:v>0.53</c:v>
                </c:pt>
                <c:pt idx="69">
                  <c:v>1.9259999999999997</c:v>
                </c:pt>
                <c:pt idx="70">
                  <c:v>1.6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0.87</c:v>
                </c:pt>
                <c:pt idx="75">
                  <c:v>0.87</c:v>
                </c:pt>
                <c:pt idx="76">
                  <c:v>1.1125423728813557</c:v>
                </c:pt>
                <c:pt idx="77">
                  <c:v>1.9493877551020407</c:v>
                </c:pt>
                <c:pt idx="78">
                  <c:v>0.9701052631578948</c:v>
                </c:pt>
                <c:pt idx="79">
                  <c:v>0.80727272727272714</c:v>
                </c:pt>
                <c:pt idx="80">
                  <c:v>0.65032258064516124</c:v>
                </c:pt>
                <c:pt idx="81">
                  <c:v>1.5981176470588239</c:v>
                </c:pt>
                <c:pt idx="82">
                  <c:v>0.87461538461538446</c:v>
                </c:pt>
                <c:pt idx="83">
                  <c:v>1.2682352941176471</c:v>
                </c:pt>
                <c:pt idx="84">
                  <c:v>0.36800000000000005</c:v>
                </c:pt>
                <c:pt idx="85">
                  <c:v>0.77999999999999992</c:v>
                </c:pt>
                <c:pt idx="86">
                  <c:v>1.1919999999999999</c:v>
                </c:pt>
                <c:pt idx="87">
                  <c:v>2.2199999999999998</c:v>
                </c:pt>
                <c:pt idx="88">
                  <c:v>3.2640000000000002</c:v>
                </c:pt>
                <c:pt idx="89">
                  <c:v>4.62</c:v>
                </c:pt>
                <c:pt idx="90">
                  <c:v>9.4440000000000008</c:v>
                </c:pt>
                <c:pt idx="91">
                  <c:v>17.184000000000001</c:v>
                </c:pt>
                <c:pt idx="92">
                  <c:v>0.47</c:v>
                </c:pt>
                <c:pt idx="93">
                  <c:v>0.23</c:v>
                </c:pt>
                <c:pt idx="94">
                  <c:v>0.65</c:v>
                </c:pt>
                <c:pt idx="95">
                  <c:v>0.65</c:v>
                </c:pt>
                <c:pt idx="96">
                  <c:v>0.18</c:v>
                </c:pt>
                <c:pt idx="97">
                  <c:v>1.1000000000000001</c:v>
                </c:pt>
                <c:pt idx="98">
                  <c:v>1.1000000000000001</c:v>
                </c:pt>
                <c:pt idx="99">
                  <c:v>1.3929896907216497</c:v>
                </c:pt>
                <c:pt idx="100">
                  <c:v>1.52</c:v>
                </c:pt>
                <c:pt idx="101">
                  <c:v>1.4017021276595745</c:v>
                </c:pt>
                <c:pt idx="102">
                  <c:v>0.79090909090909089</c:v>
                </c:pt>
                <c:pt idx="103">
                  <c:v>0.13</c:v>
                </c:pt>
                <c:pt idx="104">
                  <c:v>0.11</c:v>
                </c:pt>
                <c:pt idx="105">
                  <c:v>2.0460000000000003</c:v>
                </c:pt>
                <c:pt idx="107">
                  <c:v>0.10471730278715724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2E-4FB0-9DA7-97927ED49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823008"/>
        <c:axId val="186809280"/>
      </c:scatterChart>
      <c:valAx>
        <c:axId val="18720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16336"/>
        <c:crosses val="autoZero"/>
        <c:crossBetween val="midCat"/>
      </c:valAx>
      <c:valAx>
        <c:axId val="187216336"/>
        <c:scaling>
          <c:orientation val="minMax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03440"/>
        <c:crosses val="autoZero"/>
        <c:crossBetween val="midCat"/>
      </c:valAx>
      <c:valAx>
        <c:axId val="18680928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23008"/>
        <c:crosses val="max"/>
        <c:crossBetween val="midCat"/>
      </c:valAx>
      <c:valAx>
        <c:axId val="186823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809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1"/>
          <c:tx>
            <c:strRef>
              <c:f>Analysis!$BL$2</c:f>
              <c:strCache>
                <c:ptCount val="1"/>
                <c:pt idx="0">
                  <c:v>TCOD R (%)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1965813648293968"/>
                  <c:y val="-7.88859725867599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Analysis!$BH$3:$BH$240</c:f>
              <c:numCache>
                <c:formatCode>General</c:formatCode>
                <c:ptCount val="238"/>
                <c:pt idx="0">
                  <c:v>7.1</c:v>
                </c:pt>
                <c:pt idx="1">
                  <c:v>10.3</c:v>
                </c:pt>
                <c:pt idx="2">
                  <c:v>13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18</c:v>
                </c:pt>
                <c:pt idx="21">
                  <c:v>18.5</c:v>
                </c:pt>
                <c:pt idx="22">
                  <c:v>19</c:v>
                </c:pt>
                <c:pt idx="23">
                  <c:v>19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19</c:v>
                </c:pt>
                <c:pt idx="29">
                  <c:v>19</c:v>
                </c:pt>
                <c:pt idx="30">
                  <c:v>19.5</c:v>
                </c:pt>
                <c:pt idx="31">
                  <c:v>20</c:v>
                </c:pt>
                <c:pt idx="32">
                  <c:v>20.5</c:v>
                </c:pt>
                <c:pt idx="33">
                  <c:v>20.5</c:v>
                </c:pt>
                <c:pt idx="34">
                  <c:v>20.5</c:v>
                </c:pt>
                <c:pt idx="35">
                  <c:v>21</c:v>
                </c:pt>
                <c:pt idx="36">
                  <c:v>22</c:v>
                </c:pt>
                <c:pt idx="37">
                  <c:v>22.7</c:v>
                </c:pt>
                <c:pt idx="38">
                  <c:v>23</c:v>
                </c:pt>
                <c:pt idx="39">
                  <c:v>23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24</c:v>
                </c:pt>
                <c:pt idx="45">
                  <c:v>24</c:v>
                </c:pt>
                <c:pt idx="46">
                  <c:v>24.3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25.5</c:v>
                </c:pt>
                <c:pt idx="60">
                  <c:v>25.5</c:v>
                </c:pt>
                <c:pt idx="61">
                  <c:v>25.5</c:v>
                </c:pt>
                <c:pt idx="62">
                  <c:v>26</c:v>
                </c:pt>
                <c:pt idx="63">
                  <c:v>26</c:v>
                </c:pt>
                <c:pt idx="64">
                  <c:v>26</c:v>
                </c:pt>
                <c:pt idx="65">
                  <c:v>26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26</c:v>
                </c:pt>
                <c:pt idx="73">
                  <c:v>26</c:v>
                </c:pt>
                <c:pt idx="74">
                  <c:v>26.5</c:v>
                </c:pt>
                <c:pt idx="75">
                  <c:v>26.5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5">
                  <c:v>27</c:v>
                </c:pt>
                <c:pt idx="86">
                  <c:v>27</c:v>
                </c:pt>
                <c:pt idx="87">
                  <c:v>27</c:v>
                </c:pt>
                <c:pt idx="88">
                  <c:v>27</c:v>
                </c:pt>
                <c:pt idx="89">
                  <c:v>27</c:v>
                </c:pt>
                <c:pt idx="90">
                  <c:v>27</c:v>
                </c:pt>
                <c:pt idx="91">
                  <c:v>27</c:v>
                </c:pt>
                <c:pt idx="92">
                  <c:v>27.3</c:v>
                </c:pt>
                <c:pt idx="93">
                  <c:v>27.9</c:v>
                </c:pt>
                <c:pt idx="94">
                  <c:v>28</c:v>
                </c:pt>
                <c:pt idx="95">
                  <c:v>28</c:v>
                </c:pt>
                <c:pt idx="96">
                  <c:v>28.1</c:v>
                </c:pt>
                <c:pt idx="97">
                  <c:v>30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31</c:v>
                </c:pt>
                <c:pt idx="102">
                  <c:v>31</c:v>
                </c:pt>
                <c:pt idx="103">
                  <c:v>31.5</c:v>
                </c:pt>
                <c:pt idx="104">
                  <c:v>34</c:v>
                </c:pt>
                <c:pt idx="105">
                  <c:v>35</c:v>
                </c:pt>
                <c:pt idx="107">
                  <c:v>0.78032828311341573</c:v>
                </c:pt>
              </c:numCache>
            </c:numRef>
          </c:xVal>
          <c:yVal>
            <c:numRef>
              <c:f>Analysis!$BL$3:$BL$240</c:f>
              <c:numCache>
                <c:formatCode>General</c:formatCode>
                <c:ptCount val="238"/>
                <c:pt idx="0">
                  <c:v>33.14037626628074</c:v>
                </c:pt>
                <c:pt idx="1">
                  <c:v>35.311143270622274</c:v>
                </c:pt>
                <c:pt idx="2">
                  <c:v>59</c:v>
                </c:pt>
                <c:pt idx="3">
                  <c:v>61</c:v>
                </c:pt>
                <c:pt idx="4">
                  <c:v>79.3</c:v>
                </c:pt>
                <c:pt idx="5">
                  <c:v>68.099999999999994</c:v>
                </c:pt>
                <c:pt idx="6">
                  <c:v>68.5</c:v>
                </c:pt>
                <c:pt idx="7">
                  <c:v>70.3</c:v>
                </c:pt>
                <c:pt idx="8">
                  <c:v>53.2</c:v>
                </c:pt>
                <c:pt idx="9">
                  <c:v>63.7</c:v>
                </c:pt>
                <c:pt idx="10">
                  <c:v>68.8</c:v>
                </c:pt>
                <c:pt idx="11">
                  <c:v>82.5</c:v>
                </c:pt>
                <c:pt idx="12">
                  <c:v>50.1</c:v>
                </c:pt>
                <c:pt idx="13">
                  <c:v>82.5</c:v>
                </c:pt>
                <c:pt idx="14">
                  <c:v>45.9</c:v>
                </c:pt>
                <c:pt idx="15">
                  <c:v>54</c:v>
                </c:pt>
                <c:pt idx="16">
                  <c:v>51</c:v>
                </c:pt>
                <c:pt idx="17">
                  <c:v>60</c:v>
                </c:pt>
                <c:pt idx="18">
                  <c:v>72</c:v>
                </c:pt>
                <c:pt idx="19">
                  <c:v>74</c:v>
                </c:pt>
                <c:pt idx="20">
                  <c:v>51</c:v>
                </c:pt>
                <c:pt idx="21">
                  <c:v>65.26315789473685</c:v>
                </c:pt>
                <c:pt idx="22">
                  <c:v>67</c:v>
                </c:pt>
                <c:pt idx="23">
                  <c:v>61</c:v>
                </c:pt>
                <c:pt idx="24">
                  <c:v>65</c:v>
                </c:pt>
                <c:pt idx="25">
                  <c:v>64</c:v>
                </c:pt>
                <c:pt idx="26">
                  <c:v>73</c:v>
                </c:pt>
                <c:pt idx="27">
                  <c:v>73</c:v>
                </c:pt>
                <c:pt idx="28">
                  <c:v>64</c:v>
                </c:pt>
                <c:pt idx="29">
                  <c:v>68</c:v>
                </c:pt>
                <c:pt idx="30">
                  <c:v>72</c:v>
                </c:pt>
                <c:pt idx="31">
                  <c:v>60.141509433962256</c:v>
                </c:pt>
                <c:pt idx="32">
                  <c:v>41.509433962264154</c:v>
                </c:pt>
                <c:pt idx="33">
                  <c:v>40.476190476190474</c:v>
                </c:pt>
                <c:pt idx="34">
                  <c:v>51.060070671378085</c:v>
                </c:pt>
                <c:pt idx="35">
                  <c:v>31</c:v>
                </c:pt>
                <c:pt idx="36">
                  <c:v>58</c:v>
                </c:pt>
                <c:pt idx="37">
                  <c:v>42.153846153846153</c:v>
                </c:pt>
                <c:pt idx="38">
                  <c:v>63</c:v>
                </c:pt>
                <c:pt idx="39">
                  <c:v>63</c:v>
                </c:pt>
                <c:pt idx="40">
                  <c:v>70</c:v>
                </c:pt>
                <c:pt idx="41">
                  <c:v>50</c:v>
                </c:pt>
                <c:pt idx="42">
                  <c:v>58.943089430894311</c:v>
                </c:pt>
                <c:pt idx="43">
                  <c:v>65.024630541871915</c:v>
                </c:pt>
                <c:pt idx="44">
                  <c:v>58</c:v>
                </c:pt>
                <c:pt idx="45">
                  <c:v>56</c:v>
                </c:pt>
                <c:pt idx="46">
                  <c:v>71.085714285714289</c:v>
                </c:pt>
                <c:pt idx="47">
                  <c:v>67.8</c:v>
                </c:pt>
                <c:pt idx="48">
                  <c:v>68.5</c:v>
                </c:pt>
                <c:pt idx="49">
                  <c:v>62</c:v>
                </c:pt>
                <c:pt idx="50">
                  <c:v>71.633237822349571</c:v>
                </c:pt>
                <c:pt idx="51">
                  <c:v>41</c:v>
                </c:pt>
                <c:pt idx="52">
                  <c:v>31</c:v>
                </c:pt>
                <c:pt idx="53">
                  <c:v>23</c:v>
                </c:pt>
                <c:pt idx="54">
                  <c:v>66</c:v>
                </c:pt>
                <c:pt idx="55">
                  <c:v>22</c:v>
                </c:pt>
                <c:pt idx="56">
                  <c:v>64.583333333333343</c:v>
                </c:pt>
                <c:pt idx="57">
                  <c:v>42.4</c:v>
                </c:pt>
                <c:pt idx="58">
                  <c:v>48.711340206185568</c:v>
                </c:pt>
                <c:pt idx="59">
                  <c:v>60.36866359447005</c:v>
                </c:pt>
                <c:pt idx="60">
                  <c:v>54.635761589403977</c:v>
                </c:pt>
                <c:pt idx="61">
                  <c:v>65.938864628820966</c:v>
                </c:pt>
                <c:pt idx="62">
                  <c:v>77</c:v>
                </c:pt>
                <c:pt idx="63">
                  <c:v>61</c:v>
                </c:pt>
                <c:pt idx="64">
                  <c:v>65</c:v>
                </c:pt>
                <c:pt idx="65">
                  <c:v>81</c:v>
                </c:pt>
                <c:pt idx="66">
                  <c:v>47</c:v>
                </c:pt>
                <c:pt idx="67">
                  <c:v>47</c:v>
                </c:pt>
                <c:pt idx="68">
                  <c:v>62</c:v>
                </c:pt>
                <c:pt idx="69">
                  <c:v>52.336448598130836</c:v>
                </c:pt>
                <c:pt idx="70">
                  <c:v>50</c:v>
                </c:pt>
                <c:pt idx="71">
                  <c:v>53</c:v>
                </c:pt>
                <c:pt idx="72">
                  <c:v>61</c:v>
                </c:pt>
                <c:pt idx="73">
                  <c:v>73</c:v>
                </c:pt>
                <c:pt idx="74">
                  <c:v>70</c:v>
                </c:pt>
                <c:pt idx="75">
                  <c:v>82</c:v>
                </c:pt>
                <c:pt idx="76">
                  <c:v>55.210237659963433</c:v>
                </c:pt>
                <c:pt idx="77">
                  <c:v>16.206030150753769</c:v>
                </c:pt>
                <c:pt idx="78">
                  <c:v>46.354166666666671</c:v>
                </c:pt>
                <c:pt idx="79">
                  <c:v>62.5</c:v>
                </c:pt>
                <c:pt idx="80">
                  <c:v>43.253968253968253</c:v>
                </c:pt>
                <c:pt idx="81">
                  <c:v>75.441696113074215</c:v>
                </c:pt>
                <c:pt idx="82">
                  <c:v>58.311345646437992</c:v>
                </c:pt>
                <c:pt idx="83">
                  <c:v>49.165120593692023</c:v>
                </c:pt>
                <c:pt idx="84">
                  <c:v>53.260869565217398</c:v>
                </c:pt>
                <c:pt idx="85">
                  <c:v>54.358974358974358</c:v>
                </c:pt>
                <c:pt idx="86">
                  <c:v>65.100671140939596</c:v>
                </c:pt>
                <c:pt idx="87">
                  <c:v>61.621621621621628</c:v>
                </c:pt>
                <c:pt idx="88">
                  <c:v>57.965686274509807</c:v>
                </c:pt>
                <c:pt idx="89">
                  <c:v>45.97402597402597</c:v>
                </c:pt>
                <c:pt idx="90">
                  <c:v>44.599745870393903</c:v>
                </c:pt>
                <c:pt idx="91">
                  <c:v>34.497206703910614</c:v>
                </c:pt>
                <c:pt idx="92">
                  <c:v>68.341708542713562</c:v>
                </c:pt>
                <c:pt idx="93">
                  <c:v>54.320987654320987</c:v>
                </c:pt>
                <c:pt idx="94">
                  <c:v>72</c:v>
                </c:pt>
                <c:pt idx="95">
                  <c:v>84</c:v>
                </c:pt>
                <c:pt idx="96">
                  <c:v>59.574468085106382</c:v>
                </c:pt>
                <c:pt idx="97">
                  <c:v>67</c:v>
                </c:pt>
                <c:pt idx="98">
                  <c:v>83.5</c:v>
                </c:pt>
                <c:pt idx="99">
                  <c:v>64.120781527531079</c:v>
                </c:pt>
                <c:pt idx="100">
                  <c:v>61.629881154499152</c:v>
                </c:pt>
                <c:pt idx="101">
                  <c:v>75.045537340619305</c:v>
                </c:pt>
                <c:pt idx="102">
                  <c:v>56.896551724137936</c:v>
                </c:pt>
                <c:pt idx="103">
                  <c:v>54.748603351955303</c:v>
                </c:pt>
                <c:pt idx="104">
                  <c:v>54.395604395604394</c:v>
                </c:pt>
                <c:pt idx="105">
                  <c:v>65.102639296187675</c:v>
                </c:pt>
                <c:pt idx="107">
                  <c:v>-1.6637017008646816E-2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64-4EBE-80AB-F267402E0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2764432"/>
        <c:axId val="1962762768"/>
      </c:scatterChart>
      <c:scatterChart>
        <c:scatterStyle val="lineMarker"/>
        <c:varyColors val="0"/>
        <c:ser>
          <c:idx val="0"/>
          <c:order val="0"/>
          <c:tx>
            <c:strRef>
              <c:f>Analysis!$BI$2</c:f>
              <c:strCache>
                <c:ptCount val="1"/>
                <c:pt idx="0">
                  <c:v>Vup (m/h)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3910258092738406"/>
                  <c:y val="-8.80041557305336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Analysis!$BH$3:$BH$240</c:f>
              <c:numCache>
                <c:formatCode>General</c:formatCode>
                <c:ptCount val="238"/>
                <c:pt idx="0">
                  <c:v>7.1</c:v>
                </c:pt>
                <c:pt idx="1">
                  <c:v>10.3</c:v>
                </c:pt>
                <c:pt idx="2">
                  <c:v>13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18</c:v>
                </c:pt>
                <c:pt idx="21">
                  <c:v>18.5</c:v>
                </c:pt>
                <c:pt idx="22">
                  <c:v>19</c:v>
                </c:pt>
                <c:pt idx="23">
                  <c:v>19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19</c:v>
                </c:pt>
                <c:pt idx="29">
                  <c:v>19</c:v>
                </c:pt>
                <c:pt idx="30">
                  <c:v>19.5</c:v>
                </c:pt>
                <c:pt idx="31">
                  <c:v>20</c:v>
                </c:pt>
                <c:pt idx="32">
                  <c:v>20.5</c:v>
                </c:pt>
                <c:pt idx="33">
                  <c:v>20.5</c:v>
                </c:pt>
                <c:pt idx="34">
                  <c:v>20.5</c:v>
                </c:pt>
                <c:pt idx="35">
                  <c:v>21</c:v>
                </c:pt>
                <c:pt idx="36">
                  <c:v>22</c:v>
                </c:pt>
                <c:pt idx="37">
                  <c:v>22.7</c:v>
                </c:pt>
                <c:pt idx="38">
                  <c:v>23</c:v>
                </c:pt>
                <c:pt idx="39">
                  <c:v>23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24</c:v>
                </c:pt>
                <c:pt idx="45">
                  <c:v>24</c:v>
                </c:pt>
                <c:pt idx="46">
                  <c:v>24.3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25.5</c:v>
                </c:pt>
                <c:pt idx="60">
                  <c:v>25.5</c:v>
                </c:pt>
                <c:pt idx="61">
                  <c:v>25.5</c:v>
                </c:pt>
                <c:pt idx="62">
                  <c:v>26</c:v>
                </c:pt>
                <c:pt idx="63">
                  <c:v>26</c:v>
                </c:pt>
                <c:pt idx="64">
                  <c:v>26</c:v>
                </c:pt>
                <c:pt idx="65">
                  <c:v>26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26</c:v>
                </c:pt>
                <c:pt idx="73">
                  <c:v>26</c:v>
                </c:pt>
                <c:pt idx="74">
                  <c:v>26.5</c:v>
                </c:pt>
                <c:pt idx="75">
                  <c:v>26.5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5">
                  <c:v>27</c:v>
                </c:pt>
                <c:pt idx="86">
                  <c:v>27</c:v>
                </c:pt>
                <c:pt idx="87">
                  <c:v>27</c:v>
                </c:pt>
                <c:pt idx="88">
                  <c:v>27</c:v>
                </c:pt>
                <c:pt idx="89">
                  <c:v>27</c:v>
                </c:pt>
                <c:pt idx="90">
                  <c:v>27</c:v>
                </c:pt>
                <c:pt idx="91">
                  <c:v>27</c:v>
                </c:pt>
                <c:pt idx="92">
                  <c:v>27.3</c:v>
                </c:pt>
                <c:pt idx="93">
                  <c:v>27.9</c:v>
                </c:pt>
                <c:pt idx="94">
                  <c:v>28</c:v>
                </c:pt>
                <c:pt idx="95">
                  <c:v>28</c:v>
                </c:pt>
                <c:pt idx="96">
                  <c:v>28.1</c:v>
                </c:pt>
                <c:pt idx="97">
                  <c:v>30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31</c:v>
                </c:pt>
                <c:pt idx="102">
                  <c:v>31</c:v>
                </c:pt>
                <c:pt idx="103">
                  <c:v>31.5</c:v>
                </c:pt>
                <c:pt idx="104">
                  <c:v>34</c:v>
                </c:pt>
                <c:pt idx="105">
                  <c:v>35</c:v>
                </c:pt>
                <c:pt idx="107">
                  <c:v>0.78032828311341573</c:v>
                </c:pt>
              </c:numCache>
            </c:numRef>
          </c:xVal>
          <c:yVal>
            <c:numRef>
              <c:f>Analysis!$BI$3:$BI$240</c:f>
              <c:numCache>
                <c:formatCode>General</c:formatCode>
                <c:ptCount val="238"/>
                <c:pt idx="0">
                  <c:v>0.4</c:v>
                </c:pt>
                <c:pt idx="1">
                  <c:v>0.4</c:v>
                </c:pt>
                <c:pt idx="2">
                  <c:v>7.4999999999999997E-2</c:v>
                </c:pt>
                <c:pt idx="3">
                  <c:v>0.5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2.6066787716953668E-2</c:v>
                </c:pt>
                <c:pt idx="16">
                  <c:v>5.2133575433907335E-2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0.2</c:v>
                </c:pt>
                <c:pt idx="21">
                  <c:v>7.1999999999999998E-3</c:v>
                </c:pt>
                <c:pt idx="22">
                  <c:v>8.3333333333333329E-2</c:v>
                </c:pt>
                <c:pt idx="23">
                  <c:v>0.8</c:v>
                </c:pt>
                <c:pt idx="24">
                  <c:v>0.8</c:v>
                </c:pt>
                <c:pt idx="25">
                  <c:v>0.8</c:v>
                </c:pt>
                <c:pt idx="26">
                  <c:v>0.8</c:v>
                </c:pt>
                <c:pt idx="27">
                  <c:v>0.8</c:v>
                </c:pt>
                <c:pt idx="28">
                  <c:v>0.8</c:v>
                </c:pt>
                <c:pt idx="29">
                  <c:v>0.8</c:v>
                </c:pt>
                <c:pt idx="30">
                  <c:v>1.25</c:v>
                </c:pt>
                <c:pt idx="31">
                  <c:v>0.7</c:v>
                </c:pt>
                <c:pt idx="32">
                  <c:v>0.52083333333333337</c:v>
                </c:pt>
                <c:pt idx="33">
                  <c:v>0.55833333333333335</c:v>
                </c:pt>
                <c:pt idx="34">
                  <c:v>0.6166666666666667</c:v>
                </c:pt>
                <c:pt idx="35">
                  <c:v>0.16666666666666666</c:v>
                </c:pt>
                <c:pt idx="36">
                  <c:v>0.2</c:v>
                </c:pt>
                <c:pt idx="37">
                  <c:v>0.16</c:v>
                </c:pt>
                <c:pt idx="38">
                  <c:v>2.9473137609610248E-2</c:v>
                </c:pt>
                <c:pt idx="39">
                  <c:v>4.4209706414415371E-2</c:v>
                </c:pt>
                <c:pt idx="40">
                  <c:v>5.8946275219220495E-2</c:v>
                </c:pt>
                <c:pt idx="41">
                  <c:v>0.21</c:v>
                </c:pt>
                <c:pt idx="42">
                  <c:v>0.59</c:v>
                </c:pt>
                <c:pt idx="43">
                  <c:v>0.7</c:v>
                </c:pt>
                <c:pt idx="44">
                  <c:v>2.6066787716953668E-2</c:v>
                </c:pt>
                <c:pt idx="45">
                  <c:v>5.2133575433907335E-2</c:v>
                </c:pt>
                <c:pt idx="46">
                  <c:v>0.37</c:v>
                </c:pt>
                <c:pt idx="47">
                  <c:v>0.2</c:v>
                </c:pt>
                <c:pt idx="48">
                  <c:v>0.2</c:v>
                </c:pt>
                <c:pt idx="49">
                  <c:v>0.21</c:v>
                </c:pt>
                <c:pt idx="50">
                  <c:v>0.23578510087688198</c:v>
                </c:pt>
                <c:pt idx="51">
                  <c:v>0.27</c:v>
                </c:pt>
                <c:pt idx="52">
                  <c:v>0.28999999999999998</c:v>
                </c:pt>
                <c:pt idx="53">
                  <c:v>0.32</c:v>
                </c:pt>
                <c:pt idx="54">
                  <c:v>0.33</c:v>
                </c:pt>
                <c:pt idx="55">
                  <c:v>0.35</c:v>
                </c:pt>
                <c:pt idx="56">
                  <c:v>0.35367765131532297</c:v>
                </c:pt>
                <c:pt idx="57">
                  <c:v>0.47157020175376396</c:v>
                </c:pt>
                <c:pt idx="58">
                  <c:v>0.58946275219220501</c:v>
                </c:pt>
                <c:pt idx="59">
                  <c:v>5.6588424210451668E-2</c:v>
                </c:pt>
                <c:pt idx="60">
                  <c:v>0.11678832116788324</c:v>
                </c:pt>
                <c:pt idx="61">
                  <c:v>0.61115498147287806</c:v>
                </c:pt>
                <c:pt idx="62">
                  <c:v>4.1666666666666664E-2</c:v>
                </c:pt>
                <c:pt idx="63">
                  <c:v>0.302734375</c:v>
                </c:pt>
                <c:pt idx="64">
                  <c:v>0.302734375</c:v>
                </c:pt>
                <c:pt idx="65">
                  <c:v>0.302734375</c:v>
                </c:pt>
                <c:pt idx="66">
                  <c:v>0.40364583333333331</c:v>
                </c:pt>
                <c:pt idx="67">
                  <c:v>0.40364583333333331</c:v>
                </c:pt>
                <c:pt idx="68">
                  <c:v>0.40364583333333331</c:v>
                </c:pt>
                <c:pt idx="69">
                  <c:v>0.42</c:v>
                </c:pt>
                <c:pt idx="70">
                  <c:v>0.45</c:v>
                </c:pt>
                <c:pt idx="71">
                  <c:v>0.60546875</c:v>
                </c:pt>
                <c:pt idx="72">
                  <c:v>0.60546875</c:v>
                </c:pt>
                <c:pt idx="73">
                  <c:v>0.60546875</c:v>
                </c:pt>
                <c:pt idx="74">
                  <c:v>0.11904761904761905</c:v>
                </c:pt>
                <c:pt idx="75">
                  <c:v>0.11904761904761905</c:v>
                </c:pt>
                <c:pt idx="76">
                  <c:v>0.43333333333333335</c:v>
                </c:pt>
                <c:pt idx="77">
                  <c:v>0.52083333333333337</c:v>
                </c:pt>
                <c:pt idx="78">
                  <c:v>0.53333333333333333</c:v>
                </c:pt>
                <c:pt idx="79">
                  <c:v>0.54166666666666663</c:v>
                </c:pt>
                <c:pt idx="80">
                  <c:v>0.5625</c:v>
                </c:pt>
                <c:pt idx="81">
                  <c:v>0.56666666666666665</c:v>
                </c:pt>
                <c:pt idx="82">
                  <c:v>0.58750000000000002</c:v>
                </c:pt>
                <c:pt idx="83">
                  <c:v>0.6166666666666667</c:v>
                </c:pt>
                <c:pt idx="84">
                  <c:v>0.63661977236758127</c:v>
                </c:pt>
                <c:pt idx="85">
                  <c:v>0.63661977236758127</c:v>
                </c:pt>
                <c:pt idx="86">
                  <c:v>0.63661977236758127</c:v>
                </c:pt>
                <c:pt idx="87">
                  <c:v>0.63661977236758127</c:v>
                </c:pt>
                <c:pt idx="88">
                  <c:v>0.63661977236758127</c:v>
                </c:pt>
                <c:pt idx="89">
                  <c:v>0.95492965855137191</c:v>
                </c:pt>
                <c:pt idx="90">
                  <c:v>1.9098593171027438</c:v>
                </c:pt>
                <c:pt idx="91">
                  <c:v>3.8197186342054876</c:v>
                </c:pt>
                <c:pt idx="92">
                  <c:v>0.16</c:v>
                </c:pt>
                <c:pt idx="93">
                  <c:v>9.5808383233532954E-2</c:v>
                </c:pt>
                <c:pt idx="94">
                  <c:v>8.9285714285714288E-2</c:v>
                </c:pt>
                <c:pt idx="95">
                  <c:v>8.9285714285714288E-2</c:v>
                </c:pt>
                <c:pt idx="96">
                  <c:v>6.4000000000000001E-2</c:v>
                </c:pt>
                <c:pt idx="97">
                  <c:v>0.17857142857142858</c:v>
                </c:pt>
                <c:pt idx="98">
                  <c:v>0.17857142857142858</c:v>
                </c:pt>
                <c:pt idx="99">
                  <c:v>0.52</c:v>
                </c:pt>
                <c:pt idx="100">
                  <c:v>0.52</c:v>
                </c:pt>
                <c:pt idx="101">
                  <c:v>0.53</c:v>
                </c:pt>
                <c:pt idx="102">
                  <c:v>0.56999999999999995</c:v>
                </c:pt>
                <c:pt idx="103">
                  <c:v>4.7761194029850747E-2</c:v>
                </c:pt>
                <c:pt idx="104">
                  <c:v>4.2440318302387273E-2</c:v>
                </c:pt>
                <c:pt idx="105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64-4EBE-80AB-F267402E0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806368"/>
        <c:axId val="186813024"/>
      </c:scatterChart>
      <c:valAx>
        <c:axId val="196276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762768"/>
        <c:crosses val="autoZero"/>
        <c:crossBetween val="midCat"/>
      </c:valAx>
      <c:valAx>
        <c:axId val="1962762768"/>
        <c:scaling>
          <c:orientation val="minMax"/>
          <c:max val="100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2764432"/>
        <c:crosses val="autoZero"/>
        <c:crossBetween val="midCat"/>
      </c:valAx>
      <c:valAx>
        <c:axId val="1868130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06368"/>
        <c:crosses val="max"/>
        <c:crossBetween val="midCat"/>
      </c:valAx>
      <c:valAx>
        <c:axId val="186806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813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Analysis!$AW$2</c:f>
              <c:strCache>
                <c:ptCount val="1"/>
                <c:pt idx="0">
                  <c:v>HRT (h)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Analysis!$AV$3:$AV$235</c:f>
              <c:numCache>
                <c:formatCode>General</c:formatCode>
                <c:ptCount val="233"/>
                <c:pt idx="0">
                  <c:v>7.1</c:v>
                </c:pt>
                <c:pt idx="1">
                  <c:v>9</c:v>
                </c:pt>
                <c:pt idx="2">
                  <c:v>9</c:v>
                </c:pt>
                <c:pt idx="3">
                  <c:v>10.3</c:v>
                </c:pt>
                <c:pt idx="4">
                  <c:v>12</c:v>
                </c:pt>
                <c:pt idx="5">
                  <c:v>12</c:v>
                </c:pt>
                <c:pt idx="6">
                  <c:v>12.7</c:v>
                </c:pt>
                <c:pt idx="7">
                  <c:v>12.9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13.6</c:v>
                </c:pt>
                <c:pt idx="16">
                  <c:v>13.7</c:v>
                </c:pt>
                <c:pt idx="17">
                  <c:v>13.8</c:v>
                </c:pt>
                <c:pt idx="18">
                  <c:v>14.4</c:v>
                </c:pt>
                <c:pt idx="19">
                  <c:v>14.7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15.75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16.399999999999999</c:v>
                </c:pt>
                <c:pt idx="41">
                  <c:v>16.399999999999999</c:v>
                </c:pt>
                <c:pt idx="42">
                  <c:v>16.5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18.5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19.149999999999999</c:v>
                </c:pt>
                <c:pt idx="68">
                  <c:v>19.5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20.5</c:v>
                </c:pt>
                <c:pt idx="94">
                  <c:v>20.5</c:v>
                </c:pt>
                <c:pt idx="95">
                  <c:v>20.5</c:v>
                </c:pt>
                <c:pt idx="96">
                  <c:v>20.5</c:v>
                </c:pt>
                <c:pt idx="97">
                  <c:v>21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22</c:v>
                </c:pt>
                <c:pt idx="102">
                  <c:v>22</c:v>
                </c:pt>
                <c:pt idx="103">
                  <c:v>22</c:v>
                </c:pt>
                <c:pt idx="104">
                  <c:v>22</c:v>
                </c:pt>
                <c:pt idx="105">
                  <c:v>22</c:v>
                </c:pt>
                <c:pt idx="106">
                  <c:v>22</c:v>
                </c:pt>
                <c:pt idx="107">
                  <c:v>22</c:v>
                </c:pt>
                <c:pt idx="108">
                  <c:v>22</c:v>
                </c:pt>
                <c:pt idx="109">
                  <c:v>22</c:v>
                </c:pt>
                <c:pt idx="110">
                  <c:v>22.5</c:v>
                </c:pt>
                <c:pt idx="111">
                  <c:v>22.5</c:v>
                </c:pt>
                <c:pt idx="112">
                  <c:v>22.5</c:v>
                </c:pt>
                <c:pt idx="113">
                  <c:v>22.5</c:v>
                </c:pt>
                <c:pt idx="114">
                  <c:v>22.7</c:v>
                </c:pt>
                <c:pt idx="115">
                  <c:v>22.7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23</c:v>
                </c:pt>
                <c:pt idx="123">
                  <c:v>23</c:v>
                </c:pt>
                <c:pt idx="124">
                  <c:v>23</c:v>
                </c:pt>
                <c:pt idx="125">
                  <c:v>23</c:v>
                </c:pt>
                <c:pt idx="126">
                  <c:v>23</c:v>
                </c:pt>
                <c:pt idx="127">
                  <c:v>23</c:v>
                </c:pt>
                <c:pt idx="128">
                  <c:v>23</c:v>
                </c:pt>
                <c:pt idx="129">
                  <c:v>23</c:v>
                </c:pt>
                <c:pt idx="130">
                  <c:v>23</c:v>
                </c:pt>
                <c:pt idx="131">
                  <c:v>23</c:v>
                </c:pt>
                <c:pt idx="132">
                  <c:v>24</c:v>
                </c:pt>
                <c:pt idx="133">
                  <c:v>24</c:v>
                </c:pt>
                <c:pt idx="134">
                  <c:v>24.3</c:v>
                </c:pt>
                <c:pt idx="135">
                  <c:v>24.3</c:v>
                </c:pt>
                <c:pt idx="136">
                  <c:v>25</c:v>
                </c:pt>
                <c:pt idx="137">
                  <c:v>25</c:v>
                </c:pt>
                <c:pt idx="138">
                  <c:v>25</c:v>
                </c:pt>
                <c:pt idx="139">
                  <c:v>25</c:v>
                </c:pt>
                <c:pt idx="140">
                  <c:v>25</c:v>
                </c:pt>
                <c:pt idx="141">
                  <c:v>25</c:v>
                </c:pt>
                <c:pt idx="142">
                  <c:v>25</c:v>
                </c:pt>
                <c:pt idx="143">
                  <c:v>25</c:v>
                </c:pt>
                <c:pt idx="144">
                  <c:v>25</c:v>
                </c:pt>
                <c:pt idx="145">
                  <c:v>25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25</c:v>
                </c:pt>
                <c:pt idx="151">
                  <c:v>25</c:v>
                </c:pt>
                <c:pt idx="152">
                  <c:v>25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25</c:v>
                </c:pt>
                <c:pt idx="158">
                  <c:v>25</c:v>
                </c:pt>
                <c:pt idx="159">
                  <c:v>25</c:v>
                </c:pt>
                <c:pt idx="160">
                  <c:v>25</c:v>
                </c:pt>
                <c:pt idx="161">
                  <c:v>25</c:v>
                </c:pt>
                <c:pt idx="162">
                  <c:v>25</c:v>
                </c:pt>
                <c:pt idx="163">
                  <c:v>25.5</c:v>
                </c:pt>
                <c:pt idx="164">
                  <c:v>25.5</c:v>
                </c:pt>
                <c:pt idx="165">
                  <c:v>25.5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26</c:v>
                </c:pt>
                <c:pt idx="176">
                  <c:v>26</c:v>
                </c:pt>
                <c:pt idx="177">
                  <c:v>26</c:v>
                </c:pt>
                <c:pt idx="178">
                  <c:v>26</c:v>
                </c:pt>
                <c:pt idx="179">
                  <c:v>26</c:v>
                </c:pt>
                <c:pt idx="180">
                  <c:v>26.5</c:v>
                </c:pt>
                <c:pt idx="181">
                  <c:v>26.5</c:v>
                </c:pt>
                <c:pt idx="182">
                  <c:v>27</c:v>
                </c:pt>
                <c:pt idx="183">
                  <c:v>27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27</c:v>
                </c:pt>
                <c:pt idx="189">
                  <c:v>27</c:v>
                </c:pt>
                <c:pt idx="190">
                  <c:v>27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27</c:v>
                </c:pt>
                <c:pt idx="198">
                  <c:v>27</c:v>
                </c:pt>
                <c:pt idx="199">
                  <c:v>27.3</c:v>
                </c:pt>
                <c:pt idx="200">
                  <c:v>27.4</c:v>
                </c:pt>
                <c:pt idx="201">
                  <c:v>27.4</c:v>
                </c:pt>
                <c:pt idx="202">
                  <c:v>27.4</c:v>
                </c:pt>
                <c:pt idx="203">
                  <c:v>27.9</c:v>
                </c:pt>
                <c:pt idx="204">
                  <c:v>28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28.1</c:v>
                </c:pt>
                <c:pt idx="209">
                  <c:v>28.5</c:v>
                </c:pt>
                <c:pt idx="210">
                  <c:v>28.5</c:v>
                </c:pt>
                <c:pt idx="211">
                  <c:v>28.5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31</c:v>
                </c:pt>
                <c:pt idx="217">
                  <c:v>31</c:v>
                </c:pt>
                <c:pt idx="218">
                  <c:v>31</c:v>
                </c:pt>
                <c:pt idx="219">
                  <c:v>31</c:v>
                </c:pt>
                <c:pt idx="220">
                  <c:v>31.5</c:v>
                </c:pt>
                <c:pt idx="221">
                  <c:v>32</c:v>
                </c:pt>
                <c:pt idx="222">
                  <c:v>32</c:v>
                </c:pt>
                <c:pt idx="223">
                  <c:v>33</c:v>
                </c:pt>
                <c:pt idx="224">
                  <c:v>33</c:v>
                </c:pt>
                <c:pt idx="225">
                  <c:v>34</c:v>
                </c:pt>
                <c:pt idx="226">
                  <c:v>35</c:v>
                </c:pt>
                <c:pt idx="227">
                  <c:v>35</c:v>
                </c:pt>
                <c:pt idx="228">
                  <c:v>35</c:v>
                </c:pt>
                <c:pt idx="229">
                  <c:v>35</c:v>
                </c:pt>
                <c:pt idx="230">
                  <c:v>35</c:v>
                </c:pt>
                <c:pt idx="231">
                  <c:v>35</c:v>
                </c:pt>
                <c:pt idx="232">
                  <c:v>35</c:v>
                </c:pt>
              </c:numCache>
            </c:numRef>
          </c:xVal>
          <c:yVal>
            <c:numRef>
              <c:f>Analysis!$AW$3:$AW$235</c:f>
              <c:numCache>
                <c:formatCode>General</c:formatCode>
                <c:ptCount val="233"/>
                <c:pt idx="0">
                  <c:v>8</c:v>
                </c:pt>
                <c:pt idx="1">
                  <c:v>12</c:v>
                </c:pt>
                <c:pt idx="2">
                  <c:v>103.19999999999999</c:v>
                </c:pt>
                <c:pt idx="3">
                  <c:v>8</c:v>
                </c:pt>
                <c:pt idx="4">
                  <c:v>7</c:v>
                </c:pt>
                <c:pt idx="5">
                  <c:v>7</c:v>
                </c:pt>
                <c:pt idx="6">
                  <c:v>13.6</c:v>
                </c:pt>
                <c:pt idx="7">
                  <c:v>57.2</c:v>
                </c:pt>
                <c:pt idx="8">
                  <c:v>4.7</c:v>
                </c:pt>
                <c:pt idx="9">
                  <c:v>8</c:v>
                </c:pt>
                <c:pt idx="10">
                  <c:v>8</c:v>
                </c:pt>
                <c:pt idx="11">
                  <c:v>12.5</c:v>
                </c:pt>
                <c:pt idx="12">
                  <c:v>15.6</c:v>
                </c:pt>
                <c:pt idx="13">
                  <c:v>21.4</c:v>
                </c:pt>
                <c:pt idx="14">
                  <c:v>60</c:v>
                </c:pt>
                <c:pt idx="15">
                  <c:v>7.7</c:v>
                </c:pt>
                <c:pt idx="16">
                  <c:v>14.5</c:v>
                </c:pt>
                <c:pt idx="17">
                  <c:v>44.3</c:v>
                </c:pt>
                <c:pt idx="18">
                  <c:v>9.6999999999999993</c:v>
                </c:pt>
                <c:pt idx="19">
                  <c:v>12.8</c:v>
                </c:pt>
                <c:pt idx="20">
                  <c:v>6</c:v>
                </c:pt>
                <c:pt idx="21">
                  <c:v>7.68</c:v>
                </c:pt>
                <c:pt idx="22">
                  <c:v>7.68</c:v>
                </c:pt>
                <c:pt idx="23">
                  <c:v>7.68</c:v>
                </c:pt>
                <c:pt idx="24">
                  <c:v>8</c:v>
                </c:pt>
                <c:pt idx="25">
                  <c:v>8</c:v>
                </c:pt>
                <c:pt idx="26">
                  <c:v>10.32</c:v>
                </c:pt>
                <c:pt idx="27">
                  <c:v>12</c:v>
                </c:pt>
                <c:pt idx="28">
                  <c:v>13.919999999999998</c:v>
                </c:pt>
                <c:pt idx="29">
                  <c:v>19.919999999999998</c:v>
                </c:pt>
                <c:pt idx="30">
                  <c:v>24</c:v>
                </c:pt>
                <c:pt idx="31">
                  <c:v>24</c:v>
                </c:pt>
                <c:pt idx="32">
                  <c:v>42</c:v>
                </c:pt>
                <c:pt idx="33">
                  <c:v>42</c:v>
                </c:pt>
                <c:pt idx="34">
                  <c:v>84</c:v>
                </c:pt>
                <c:pt idx="35">
                  <c:v>6</c:v>
                </c:pt>
                <c:pt idx="36">
                  <c:v>4.7</c:v>
                </c:pt>
                <c:pt idx="37">
                  <c:v>10</c:v>
                </c:pt>
                <c:pt idx="38">
                  <c:v>48</c:v>
                </c:pt>
                <c:pt idx="39">
                  <c:v>103.19999999999999</c:v>
                </c:pt>
                <c:pt idx="40">
                  <c:v>23</c:v>
                </c:pt>
                <c:pt idx="41">
                  <c:v>24</c:v>
                </c:pt>
                <c:pt idx="42">
                  <c:v>103.19999999999999</c:v>
                </c:pt>
                <c:pt idx="43">
                  <c:v>5.5</c:v>
                </c:pt>
                <c:pt idx="44">
                  <c:v>5.5</c:v>
                </c:pt>
                <c:pt idx="45">
                  <c:v>10</c:v>
                </c:pt>
                <c:pt idx="46">
                  <c:v>14</c:v>
                </c:pt>
                <c:pt idx="47">
                  <c:v>18</c:v>
                </c:pt>
                <c:pt idx="48">
                  <c:v>18</c:v>
                </c:pt>
                <c:pt idx="49">
                  <c:v>48</c:v>
                </c:pt>
                <c:pt idx="50">
                  <c:v>96</c:v>
                </c:pt>
                <c:pt idx="51">
                  <c:v>4.4000000000000004</c:v>
                </c:pt>
                <c:pt idx="52">
                  <c:v>11</c:v>
                </c:pt>
                <c:pt idx="53">
                  <c:v>25</c:v>
                </c:pt>
                <c:pt idx="54">
                  <c:v>60</c:v>
                </c:pt>
                <c:pt idx="55">
                  <c:v>3.6</c:v>
                </c:pt>
                <c:pt idx="56">
                  <c:v>4.7</c:v>
                </c:pt>
                <c:pt idx="57">
                  <c:v>6</c:v>
                </c:pt>
                <c:pt idx="58">
                  <c:v>6</c:v>
                </c:pt>
                <c:pt idx="59">
                  <c:v>8</c:v>
                </c:pt>
                <c:pt idx="60">
                  <c:v>10</c:v>
                </c:pt>
                <c:pt idx="61">
                  <c:v>12</c:v>
                </c:pt>
                <c:pt idx="62">
                  <c:v>14</c:v>
                </c:pt>
                <c:pt idx="63">
                  <c:v>14.5</c:v>
                </c:pt>
                <c:pt idx="64">
                  <c:v>18</c:v>
                </c:pt>
                <c:pt idx="65">
                  <c:v>24</c:v>
                </c:pt>
                <c:pt idx="66">
                  <c:v>36</c:v>
                </c:pt>
                <c:pt idx="67">
                  <c:v>8</c:v>
                </c:pt>
                <c:pt idx="68">
                  <c:v>7</c:v>
                </c:pt>
                <c:pt idx="69">
                  <c:v>3.2</c:v>
                </c:pt>
                <c:pt idx="70">
                  <c:v>4</c:v>
                </c:pt>
                <c:pt idx="71">
                  <c:v>6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6.6</c:v>
                </c:pt>
                <c:pt idx="77">
                  <c:v>7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9.1</c:v>
                </c:pt>
                <c:pt idx="83">
                  <c:v>9.5</c:v>
                </c:pt>
                <c:pt idx="84">
                  <c:v>9.6</c:v>
                </c:pt>
                <c:pt idx="85">
                  <c:v>10</c:v>
                </c:pt>
                <c:pt idx="86">
                  <c:v>10.4</c:v>
                </c:pt>
                <c:pt idx="87">
                  <c:v>12.3</c:v>
                </c:pt>
                <c:pt idx="88">
                  <c:v>16</c:v>
                </c:pt>
                <c:pt idx="89">
                  <c:v>20</c:v>
                </c:pt>
                <c:pt idx="90">
                  <c:v>25</c:v>
                </c:pt>
                <c:pt idx="91">
                  <c:v>30</c:v>
                </c:pt>
                <c:pt idx="92">
                  <c:v>40</c:v>
                </c:pt>
                <c:pt idx="93">
                  <c:v>6</c:v>
                </c:pt>
                <c:pt idx="94">
                  <c:v>10.199999999999999</c:v>
                </c:pt>
                <c:pt idx="95">
                  <c:v>10.9</c:v>
                </c:pt>
                <c:pt idx="96">
                  <c:v>14.3</c:v>
                </c:pt>
                <c:pt idx="97">
                  <c:v>5.0999999999999996</c:v>
                </c:pt>
                <c:pt idx="98">
                  <c:v>6</c:v>
                </c:pt>
                <c:pt idx="99">
                  <c:v>6</c:v>
                </c:pt>
                <c:pt idx="100">
                  <c:v>8.8000000000000007</c:v>
                </c:pt>
                <c:pt idx="101">
                  <c:v>4</c:v>
                </c:pt>
                <c:pt idx="102">
                  <c:v>4.7</c:v>
                </c:pt>
                <c:pt idx="103">
                  <c:v>5</c:v>
                </c:pt>
                <c:pt idx="104">
                  <c:v>5</c:v>
                </c:pt>
                <c:pt idx="105">
                  <c:v>7</c:v>
                </c:pt>
                <c:pt idx="106">
                  <c:v>7.2</c:v>
                </c:pt>
                <c:pt idx="107">
                  <c:v>10.327272727272726</c:v>
                </c:pt>
                <c:pt idx="108">
                  <c:v>21.6</c:v>
                </c:pt>
                <c:pt idx="109">
                  <c:v>25</c:v>
                </c:pt>
                <c:pt idx="110">
                  <c:v>2.8</c:v>
                </c:pt>
                <c:pt idx="111">
                  <c:v>4.4000000000000004</c:v>
                </c:pt>
                <c:pt idx="112">
                  <c:v>5.7</c:v>
                </c:pt>
                <c:pt idx="113">
                  <c:v>9.6999999999999993</c:v>
                </c:pt>
                <c:pt idx="114">
                  <c:v>5.7</c:v>
                </c:pt>
                <c:pt idx="115">
                  <c:v>9.1</c:v>
                </c:pt>
                <c:pt idx="116">
                  <c:v>4</c:v>
                </c:pt>
                <c:pt idx="117">
                  <c:v>4</c:v>
                </c:pt>
                <c:pt idx="118">
                  <c:v>4.9000000000000004</c:v>
                </c:pt>
                <c:pt idx="119">
                  <c:v>5.0999999999999996</c:v>
                </c:pt>
                <c:pt idx="120">
                  <c:v>5.7</c:v>
                </c:pt>
                <c:pt idx="121">
                  <c:v>5.7</c:v>
                </c:pt>
                <c:pt idx="122">
                  <c:v>6</c:v>
                </c:pt>
                <c:pt idx="123">
                  <c:v>7.7</c:v>
                </c:pt>
                <c:pt idx="124">
                  <c:v>7.8</c:v>
                </c:pt>
                <c:pt idx="125">
                  <c:v>7.9</c:v>
                </c:pt>
                <c:pt idx="126">
                  <c:v>9.9</c:v>
                </c:pt>
                <c:pt idx="127">
                  <c:v>10.6</c:v>
                </c:pt>
                <c:pt idx="128">
                  <c:v>23</c:v>
                </c:pt>
                <c:pt idx="129">
                  <c:v>24</c:v>
                </c:pt>
                <c:pt idx="130">
                  <c:v>36</c:v>
                </c:pt>
                <c:pt idx="131">
                  <c:v>48</c:v>
                </c:pt>
                <c:pt idx="132">
                  <c:v>48</c:v>
                </c:pt>
                <c:pt idx="133">
                  <c:v>96</c:v>
                </c:pt>
                <c:pt idx="134">
                  <c:v>5.9</c:v>
                </c:pt>
                <c:pt idx="135">
                  <c:v>13.6</c:v>
                </c:pt>
                <c:pt idx="136">
                  <c:v>2.4</c:v>
                </c:pt>
                <c:pt idx="137">
                  <c:v>3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4.7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6</c:v>
                </c:pt>
                <c:pt idx="149">
                  <c:v>6.2</c:v>
                </c:pt>
                <c:pt idx="150">
                  <c:v>7.5</c:v>
                </c:pt>
                <c:pt idx="151">
                  <c:v>8</c:v>
                </c:pt>
                <c:pt idx="152">
                  <c:v>8.6</c:v>
                </c:pt>
                <c:pt idx="153">
                  <c:v>8.8000000000000007</c:v>
                </c:pt>
                <c:pt idx="154">
                  <c:v>9.1</c:v>
                </c:pt>
                <c:pt idx="155">
                  <c:v>9.5</c:v>
                </c:pt>
                <c:pt idx="156">
                  <c:v>10.5</c:v>
                </c:pt>
                <c:pt idx="157">
                  <c:v>11.2</c:v>
                </c:pt>
                <c:pt idx="158">
                  <c:v>13</c:v>
                </c:pt>
                <c:pt idx="159">
                  <c:v>16</c:v>
                </c:pt>
                <c:pt idx="160">
                  <c:v>16</c:v>
                </c:pt>
                <c:pt idx="161">
                  <c:v>24</c:v>
                </c:pt>
                <c:pt idx="162">
                  <c:v>25</c:v>
                </c:pt>
                <c:pt idx="163">
                  <c:v>8</c:v>
                </c:pt>
                <c:pt idx="164">
                  <c:v>13.7</c:v>
                </c:pt>
                <c:pt idx="165">
                  <c:v>72</c:v>
                </c:pt>
                <c:pt idx="166">
                  <c:v>2.7</c:v>
                </c:pt>
                <c:pt idx="167">
                  <c:v>2.7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6</c:v>
                </c:pt>
                <c:pt idx="173">
                  <c:v>6</c:v>
                </c:pt>
                <c:pt idx="174">
                  <c:v>6</c:v>
                </c:pt>
                <c:pt idx="175">
                  <c:v>8</c:v>
                </c:pt>
                <c:pt idx="176">
                  <c:v>8</c:v>
                </c:pt>
                <c:pt idx="177">
                  <c:v>8</c:v>
                </c:pt>
                <c:pt idx="178">
                  <c:v>12</c:v>
                </c:pt>
                <c:pt idx="179">
                  <c:v>24</c:v>
                </c:pt>
                <c:pt idx="180">
                  <c:v>6</c:v>
                </c:pt>
                <c:pt idx="181">
                  <c:v>6</c:v>
                </c:pt>
                <c:pt idx="182">
                  <c:v>1</c:v>
                </c:pt>
                <c:pt idx="183">
                  <c:v>2</c:v>
                </c:pt>
                <c:pt idx="184">
                  <c:v>4</c:v>
                </c:pt>
                <c:pt idx="185">
                  <c:v>6</c:v>
                </c:pt>
                <c:pt idx="186">
                  <c:v>6</c:v>
                </c:pt>
                <c:pt idx="187">
                  <c:v>6</c:v>
                </c:pt>
                <c:pt idx="188">
                  <c:v>6</c:v>
                </c:pt>
                <c:pt idx="189">
                  <c:v>6</c:v>
                </c:pt>
                <c:pt idx="190">
                  <c:v>8.5</c:v>
                </c:pt>
                <c:pt idx="191">
                  <c:v>8.8000000000000007</c:v>
                </c:pt>
                <c:pt idx="192">
                  <c:v>9.3000000000000007</c:v>
                </c:pt>
                <c:pt idx="193">
                  <c:v>9.5</c:v>
                </c:pt>
                <c:pt idx="194">
                  <c:v>9.8000000000000007</c:v>
                </c:pt>
                <c:pt idx="195">
                  <c:v>10.199999999999999</c:v>
                </c:pt>
                <c:pt idx="196">
                  <c:v>10.4</c:v>
                </c:pt>
                <c:pt idx="197">
                  <c:v>11.8</c:v>
                </c:pt>
                <c:pt idx="198">
                  <c:v>48</c:v>
                </c:pt>
                <c:pt idx="199">
                  <c:v>10</c:v>
                </c:pt>
                <c:pt idx="200">
                  <c:v>7.5</c:v>
                </c:pt>
                <c:pt idx="201">
                  <c:v>7.5</c:v>
                </c:pt>
                <c:pt idx="202">
                  <c:v>7.5</c:v>
                </c:pt>
                <c:pt idx="203">
                  <c:v>16.7</c:v>
                </c:pt>
                <c:pt idx="204">
                  <c:v>6</c:v>
                </c:pt>
                <c:pt idx="205">
                  <c:v>6.1</c:v>
                </c:pt>
                <c:pt idx="206">
                  <c:v>8</c:v>
                </c:pt>
                <c:pt idx="207">
                  <c:v>8</c:v>
                </c:pt>
                <c:pt idx="208">
                  <c:v>25</c:v>
                </c:pt>
                <c:pt idx="209">
                  <c:v>3</c:v>
                </c:pt>
                <c:pt idx="210">
                  <c:v>6</c:v>
                </c:pt>
                <c:pt idx="211">
                  <c:v>8</c:v>
                </c:pt>
                <c:pt idx="212">
                  <c:v>4</c:v>
                </c:pt>
                <c:pt idx="213">
                  <c:v>4</c:v>
                </c:pt>
                <c:pt idx="214">
                  <c:v>9.6999999999999993</c:v>
                </c:pt>
                <c:pt idx="215">
                  <c:v>32</c:v>
                </c:pt>
                <c:pt idx="216">
                  <c:v>1.4</c:v>
                </c:pt>
                <c:pt idx="217">
                  <c:v>1.4</c:v>
                </c:pt>
                <c:pt idx="218">
                  <c:v>8.8000000000000007</c:v>
                </c:pt>
                <c:pt idx="219">
                  <c:v>9.4</c:v>
                </c:pt>
                <c:pt idx="220">
                  <c:v>33.5</c:v>
                </c:pt>
                <c:pt idx="221">
                  <c:v>24</c:v>
                </c:pt>
                <c:pt idx="222">
                  <c:v>24</c:v>
                </c:pt>
                <c:pt idx="223">
                  <c:v>7.2</c:v>
                </c:pt>
                <c:pt idx="224">
                  <c:v>7.5</c:v>
                </c:pt>
                <c:pt idx="225">
                  <c:v>37.700000000000003</c:v>
                </c:pt>
                <c:pt idx="226">
                  <c:v>4</c:v>
                </c:pt>
                <c:pt idx="227">
                  <c:v>33.599999999999994</c:v>
                </c:pt>
                <c:pt idx="228">
                  <c:v>52.800000000000004</c:v>
                </c:pt>
                <c:pt idx="229">
                  <c:v>52.800000000000004</c:v>
                </c:pt>
                <c:pt idx="230">
                  <c:v>52.800000000000004</c:v>
                </c:pt>
                <c:pt idx="231">
                  <c:v>72</c:v>
                </c:pt>
                <c:pt idx="232">
                  <c:v>132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60-4CDF-B850-D78BC2E4C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142143"/>
        <c:axId val="155134239"/>
      </c:scatterChart>
      <c:scatterChart>
        <c:scatterStyle val="lineMarker"/>
        <c:varyColors val="0"/>
        <c:ser>
          <c:idx val="1"/>
          <c:order val="1"/>
          <c:tx>
            <c:strRef>
              <c:f>Analysis!$AX$2</c:f>
              <c:strCache>
                <c:ptCount val="1"/>
                <c:pt idx="0">
                  <c:v>OLR (kg COD  m-3 d-1)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Analysis!$AV$3:$AV$235</c:f>
              <c:numCache>
                <c:formatCode>General</c:formatCode>
                <c:ptCount val="233"/>
                <c:pt idx="0">
                  <c:v>7.1</c:v>
                </c:pt>
                <c:pt idx="1">
                  <c:v>9</c:v>
                </c:pt>
                <c:pt idx="2">
                  <c:v>9</c:v>
                </c:pt>
                <c:pt idx="3">
                  <c:v>10.3</c:v>
                </c:pt>
                <c:pt idx="4">
                  <c:v>12</c:v>
                </c:pt>
                <c:pt idx="5">
                  <c:v>12</c:v>
                </c:pt>
                <c:pt idx="6">
                  <c:v>12.7</c:v>
                </c:pt>
                <c:pt idx="7">
                  <c:v>12.9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13.6</c:v>
                </c:pt>
                <c:pt idx="16">
                  <c:v>13.7</c:v>
                </c:pt>
                <c:pt idx="17">
                  <c:v>13.8</c:v>
                </c:pt>
                <c:pt idx="18">
                  <c:v>14.4</c:v>
                </c:pt>
                <c:pt idx="19">
                  <c:v>14.7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15.75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16.399999999999999</c:v>
                </c:pt>
                <c:pt idx="41">
                  <c:v>16.399999999999999</c:v>
                </c:pt>
                <c:pt idx="42">
                  <c:v>16.5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18.5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19.149999999999999</c:v>
                </c:pt>
                <c:pt idx="68">
                  <c:v>19.5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20.5</c:v>
                </c:pt>
                <c:pt idx="94">
                  <c:v>20.5</c:v>
                </c:pt>
                <c:pt idx="95">
                  <c:v>20.5</c:v>
                </c:pt>
                <c:pt idx="96">
                  <c:v>20.5</c:v>
                </c:pt>
                <c:pt idx="97">
                  <c:v>21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22</c:v>
                </c:pt>
                <c:pt idx="102">
                  <c:v>22</c:v>
                </c:pt>
                <c:pt idx="103">
                  <c:v>22</c:v>
                </c:pt>
                <c:pt idx="104">
                  <c:v>22</c:v>
                </c:pt>
                <c:pt idx="105">
                  <c:v>22</c:v>
                </c:pt>
                <c:pt idx="106">
                  <c:v>22</c:v>
                </c:pt>
                <c:pt idx="107">
                  <c:v>22</c:v>
                </c:pt>
                <c:pt idx="108">
                  <c:v>22</c:v>
                </c:pt>
                <c:pt idx="109">
                  <c:v>22</c:v>
                </c:pt>
                <c:pt idx="110">
                  <c:v>22.5</c:v>
                </c:pt>
                <c:pt idx="111">
                  <c:v>22.5</c:v>
                </c:pt>
                <c:pt idx="112">
                  <c:v>22.5</c:v>
                </c:pt>
                <c:pt idx="113">
                  <c:v>22.5</c:v>
                </c:pt>
                <c:pt idx="114">
                  <c:v>22.7</c:v>
                </c:pt>
                <c:pt idx="115">
                  <c:v>22.7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23</c:v>
                </c:pt>
                <c:pt idx="120">
                  <c:v>23</c:v>
                </c:pt>
                <c:pt idx="121">
                  <c:v>23</c:v>
                </c:pt>
                <c:pt idx="122">
                  <c:v>23</c:v>
                </c:pt>
                <c:pt idx="123">
                  <c:v>23</c:v>
                </c:pt>
                <c:pt idx="124">
                  <c:v>23</c:v>
                </c:pt>
                <c:pt idx="125">
                  <c:v>23</c:v>
                </c:pt>
                <c:pt idx="126">
                  <c:v>23</c:v>
                </c:pt>
                <c:pt idx="127">
                  <c:v>23</c:v>
                </c:pt>
                <c:pt idx="128">
                  <c:v>23</c:v>
                </c:pt>
                <c:pt idx="129">
                  <c:v>23</c:v>
                </c:pt>
                <c:pt idx="130">
                  <c:v>23</c:v>
                </c:pt>
                <c:pt idx="131">
                  <c:v>23</c:v>
                </c:pt>
                <c:pt idx="132">
                  <c:v>24</c:v>
                </c:pt>
                <c:pt idx="133">
                  <c:v>24</c:v>
                </c:pt>
                <c:pt idx="134">
                  <c:v>24.3</c:v>
                </c:pt>
                <c:pt idx="135">
                  <c:v>24.3</c:v>
                </c:pt>
                <c:pt idx="136">
                  <c:v>25</c:v>
                </c:pt>
                <c:pt idx="137">
                  <c:v>25</c:v>
                </c:pt>
                <c:pt idx="138">
                  <c:v>25</c:v>
                </c:pt>
                <c:pt idx="139">
                  <c:v>25</c:v>
                </c:pt>
                <c:pt idx="140">
                  <c:v>25</c:v>
                </c:pt>
                <c:pt idx="141">
                  <c:v>25</c:v>
                </c:pt>
                <c:pt idx="142">
                  <c:v>25</c:v>
                </c:pt>
                <c:pt idx="143">
                  <c:v>25</c:v>
                </c:pt>
                <c:pt idx="144">
                  <c:v>25</c:v>
                </c:pt>
                <c:pt idx="145">
                  <c:v>25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25</c:v>
                </c:pt>
                <c:pt idx="151">
                  <c:v>25</c:v>
                </c:pt>
                <c:pt idx="152">
                  <c:v>25</c:v>
                </c:pt>
                <c:pt idx="153">
                  <c:v>25</c:v>
                </c:pt>
                <c:pt idx="154">
                  <c:v>25</c:v>
                </c:pt>
                <c:pt idx="155">
                  <c:v>25</c:v>
                </c:pt>
                <c:pt idx="156">
                  <c:v>25</c:v>
                </c:pt>
                <c:pt idx="157">
                  <c:v>25</c:v>
                </c:pt>
                <c:pt idx="158">
                  <c:v>25</c:v>
                </c:pt>
                <c:pt idx="159">
                  <c:v>25</c:v>
                </c:pt>
                <c:pt idx="160">
                  <c:v>25</c:v>
                </c:pt>
                <c:pt idx="161">
                  <c:v>25</c:v>
                </c:pt>
                <c:pt idx="162">
                  <c:v>25</c:v>
                </c:pt>
                <c:pt idx="163">
                  <c:v>25.5</c:v>
                </c:pt>
                <c:pt idx="164">
                  <c:v>25.5</c:v>
                </c:pt>
                <c:pt idx="165">
                  <c:v>25.5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26</c:v>
                </c:pt>
                <c:pt idx="176">
                  <c:v>26</c:v>
                </c:pt>
                <c:pt idx="177">
                  <c:v>26</c:v>
                </c:pt>
                <c:pt idx="178">
                  <c:v>26</c:v>
                </c:pt>
                <c:pt idx="179">
                  <c:v>26</c:v>
                </c:pt>
                <c:pt idx="180">
                  <c:v>26.5</c:v>
                </c:pt>
                <c:pt idx="181">
                  <c:v>26.5</c:v>
                </c:pt>
                <c:pt idx="182">
                  <c:v>27</c:v>
                </c:pt>
                <c:pt idx="183">
                  <c:v>27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27</c:v>
                </c:pt>
                <c:pt idx="189">
                  <c:v>27</c:v>
                </c:pt>
                <c:pt idx="190">
                  <c:v>27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27</c:v>
                </c:pt>
                <c:pt idx="198">
                  <c:v>27</c:v>
                </c:pt>
                <c:pt idx="199">
                  <c:v>27.3</c:v>
                </c:pt>
                <c:pt idx="200">
                  <c:v>27.4</c:v>
                </c:pt>
                <c:pt idx="201">
                  <c:v>27.4</c:v>
                </c:pt>
                <c:pt idx="202">
                  <c:v>27.4</c:v>
                </c:pt>
                <c:pt idx="203">
                  <c:v>27.9</c:v>
                </c:pt>
                <c:pt idx="204">
                  <c:v>28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28.1</c:v>
                </c:pt>
                <c:pt idx="209">
                  <c:v>28.5</c:v>
                </c:pt>
                <c:pt idx="210">
                  <c:v>28.5</c:v>
                </c:pt>
                <c:pt idx="211">
                  <c:v>28.5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31</c:v>
                </c:pt>
                <c:pt idx="217">
                  <c:v>31</c:v>
                </c:pt>
                <c:pt idx="218">
                  <c:v>31</c:v>
                </c:pt>
                <c:pt idx="219">
                  <c:v>31</c:v>
                </c:pt>
                <c:pt idx="220">
                  <c:v>31.5</c:v>
                </c:pt>
                <c:pt idx="221">
                  <c:v>32</c:v>
                </c:pt>
                <c:pt idx="222">
                  <c:v>32</c:v>
                </c:pt>
                <c:pt idx="223">
                  <c:v>33</c:v>
                </c:pt>
                <c:pt idx="224">
                  <c:v>33</c:v>
                </c:pt>
                <c:pt idx="225">
                  <c:v>34</c:v>
                </c:pt>
                <c:pt idx="226">
                  <c:v>35</c:v>
                </c:pt>
                <c:pt idx="227">
                  <c:v>35</c:v>
                </c:pt>
                <c:pt idx="228">
                  <c:v>35</c:v>
                </c:pt>
                <c:pt idx="229">
                  <c:v>35</c:v>
                </c:pt>
                <c:pt idx="230">
                  <c:v>35</c:v>
                </c:pt>
                <c:pt idx="231">
                  <c:v>35</c:v>
                </c:pt>
                <c:pt idx="232">
                  <c:v>35</c:v>
                </c:pt>
              </c:numCache>
            </c:numRef>
          </c:xVal>
          <c:yVal>
            <c:numRef>
              <c:f>Analysis!$AX$3:$AX$235</c:f>
              <c:numCache>
                <c:formatCode>General</c:formatCode>
                <c:ptCount val="233"/>
                <c:pt idx="0">
                  <c:v>0.41459999999999997</c:v>
                </c:pt>
                <c:pt idx="1">
                  <c:v>1.7</c:v>
                </c:pt>
                <c:pt idx="2">
                  <c:v>0.43</c:v>
                </c:pt>
                <c:pt idx="3">
                  <c:v>0.41459999999999997</c:v>
                </c:pt>
                <c:pt idx="4">
                  <c:v>2.4000000000000004</c:v>
                </c:pt>
                <c:pt idx="5">
                  <c:v>2.4000000000000004</c:v>
                </c:pt>
                <c:pt idx="6">
                  <c:v>0.71</c:v>
                </c:pt>
                <c:pt idx="7">
                  <c:v>0.34447552447552449</c:v>
                </c:pt>
                <c:pt idx="8">
                  <c:v>1.5931914893617023</c:v>
                </c:pt>
                <c:pt idx="9">
                  <c:v>2.2000000000000002</c:v>
                </c:pt>
                <c:pt idx="10">
                  <c:v>1.032</c:v>
                </c:pt>
                <c:pt idx="11">
                  <c:v>0.43</c:v>
                </c:pt>
                <c:pt idx="12">
                  <c:v>0.33</c:v>
                </c:pt>
                <c:pt idx="13">
                  <c:v>0.25</c:v>
                </c:pt>
                <c:pt idx="14">
                  <c:v>0.96179999999999999</c:v>
                </c:pt>
                <c:pt idx="15">
                  <c:v>0.85</c:v>
                </c:pt>
                <c:pt idx="16">
                  <c:v>0.56999999999999995</c:v>
                </c:pt>
                <c:pt idx="17">
                  <c:v>0.52875846501128676</c:v>
                </c:pt>
                <c:pt idx="18">
                  <c:v>0.53</c:v>
                </c:pt>
                <c:pt idx="19">
                  <c:v>0.27</c:v>
                </c:pt>
                <c:pt idx="20">
                  <c:v>2.8839999999999999</c:v>
                </c:pt>
                <c:pt idx="21">
                  <c:v>1.51</c:v>
                </c:pt>
                <c:pt idx="22">
                  <c:v>1.6</c:v>
                </c:pt>
                <c:pt idx="23">
                  <c:v>1.2</c:v>
                </c:pt>
                <c:pt idx="24">
                  <c:v>1.4760000000000002</c:v>
                </c:pt>
                <c:pt idx="25">
                  <c:v>0.9</c:v>
                </c:pt>
                <c:pt idx="26">
                  <c:v>0.79</c:v>
                </c:pt>
                <c:pt idx="27">
                  <c:v>0.82</c:v>
                </c:pt>
                <c:pt idx="28">
                  <c:v>0.45</c:v>
                </c:pt>
                <c:pt idx="29">
                  <c:v>0.38</c:v>
                </c:pt>
                <c:pt idx="30">
                  <c:v>1.38</c:v>
                </c:pt>
                <c:pt idx="31">
                  <c:v>0.41</c:v>
                </c:pt>
                <c:pt idx="32">
                  <c:v>0.15</c:v>
                </c:pt>
                <c:pt idx="33">
                  <c:v>0.36</c:v>
                </c:pt>
                <c:pt idx="34">
                  <c:v>7.0000000000000007E-2</c:v>
                </c:pt>
                <c:pt idx="35">
                  <c:v>3.4840000000000004</c:v>
                </c:pt>
                <c:pt idx="36">
                  <c:v>1.5931914893617023</c:v>
                </c:pt>
                <c:pt idx="37">
                  <c:v>0.7</c:v>
                </c:pt>
                <c:pt idx="38">
                  <c:v>0.52</c:v>
                </c:pt>
                <c:pt idx="39">
                  <c:v>0.43</c:v>
                </c:pt>
                <c:pt idx="40">
                  <c:v>1.51</c:v>
                </c:pt>
                <c:pt idx="41">
                  <c:v>1.45</c:v>
                </c:pt>
                <c:pt idx="42">
                  <c:v>0.89</c:v>
                </c:pt>
                <c:pt idx="43">
                  <c:v>2.474181818181818</c:v>
                </c:pt>
                <c:pt idx="44">
                  <c:v>2.474181818181818</c:v>
                </c:pt>
                <c:pt idx="45">
                  <c:v>1.5288000000000002</c:v>
                </c:pt>
                <c:pt idx="46">
                  <c:v>1.0919999999999999</c:v>
                </c:pt>
                <c:pt idx="47">
                  <c:v>1</c:v>
                </c:pt>
                <c:pt idx="48">
                  <c:v>0.84933333333333338</c:v>
                </c:pt>
                <c:pt idx="49">
                  <c:v>0.45</c:v>
                </c:pt>
                <c:pt idx="50">
                  <c:v>0.23</c:v>
                </c:pt>
                <c:pt idx="51">
                  <c:v>1.5545454545454545</c:v>
                </c:pt>
                <c:pt idx="52">
                  <c:v>0.87927272727272721</c:v>
                </c:pt>
                <c:pt idx="53">
                  <c:v>1.5</c:v>
                </c:pt>
                <c:pt idx="54">
                  <c:v>1.6015999999999999</c:v>
                </c:pt>
                <c:pt idx="55">
                  <c:v>3.1666666666666665</c:v>
                </c:pt>
                <c:pt idx="56">
                  <c:v>1.5931914893617023</c:v>
                </c:pt>
                <c:pt idx="57">
                  <c:v>3.3</c:v>
                </c:pt>
                <c:pt idx="58">
                  <c:v>2.548</c:v>
                </c:pt>
                <c:pt idx="59">
                  <c:v>1.911</c:v>
                </c:pt>
                <c:pt idx="60">
                  <c:v>1.5288000000000002</c:v>
                </c:pt>
                <c:pt idx="61">
                  <c:v>0.48599999999999999</c:v>
                </c:pt>
                <c:pt idx="62">
                  <c:v>1.0919999999999999</c:v>
                </c:pt>
                <c:pt idx="63">
                  <c:v>0.66206896551724137</c:v>
                </c:pt>
                <c:pt idx="64">
                  <c:v>0.84933333333333338</c:v>
                </c:pt>
                <c:pt idx="65">
                  <c:v>0.63700000000000001</c:v>
                </c:pt>
                <c:pt idx="66">
                  <c:v>0.42466666666666669</c:v>
                </c:pt>
                <c:pt idx="67">
                  <c:v>1.026</c:v>
                </c:pt>
                <c:pt idx="68">
                  <c:v>1.3782857142857143</c:v>
                </c:pt>
                <c:pt idx="69">
                  <c:v>2.6</c:v>
                </c:pt>
                <c:pt idx="70">
                  <c:v>2.544</c:v>
                </c:pt>
                <c:pt idx="71">
                  <c:v>1.2</c:v>
                </c:pt>
                <c:pt idx="72">
                  <c:v>1.83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1.8</c:v>
                </c:pt>
                <c:pt idx="77">
                  <c:v>2.04</c:v>
                </c:pt>
                <c:pt idx="78">
                  <c:v>0.75</c:v>
                </c:pt>
                <c:pt idx="79">
                  <c:v>0.8</c:v>
                </c:pt>
                <c:pt idx="80">
                  <c:v>0.8</c:v>
                </c:pt>
                <c:pt idx="81">
                  <c:v>0.8</c:v>
                </c:pt>
                <c:pt idx="82">
                  <c:v>0.92</c:v>
                </c:pt>
                <c:pt idx="83">
                  <c:v>0.92</c:v>
                </c:pt>
                <c:pt idx="84">
                  <c:v>1.1100000000000001</c:v>
                </c:pt>
                <c:pt idx="85">
                  <c:v>1.05</c:v>
                </c:pt>
                <c:pt idx="86">
                  <c:v>0.9</c:v>
                </c:pt>
                <c:pt idx="87">
                  <c:v>0.43</c:v>
                </c:pt>
                <c:pt idx="88">
                  <c:v>0.6</c:v>
                </c:pt>
                <c:pt idx="89">
                  <c:v>0.46</c:v>
                </c:pt>
                <c:pt idx="90">
                  <c:v>0.38</c:v>
                </c:pt>
                <c:pt idx="91">
                  <c:v>0.43</c:v>
                </c:pt>
                <c:pt idx="92">
                  <c:v>0.3</c:v>
                </c:pt>
                <c:pt idx="93">
                  <c:v>2.4</c:v>
                </c:pt>
                <c:pt idx="94">
                  <c:v>1.331764705882353</c:v>
                </c:pt>
                <c:pt idx="95">
                  <c:v>1.664587155963303</c:v>
                </c:pt>
                <c:pt idx="96">
                  <c:v>1.1563636363636363</c:v>
                </c:pt>
                <c:pt idx="97">
                  <c:v>1.4447058823529413</c:v>
                </c:pt>
                <c:pt idx="98">
                  <c:v>0.97199999999999998</c:v>
                </c:pt>
                <c:pt idx="99">
                  <c:v>2.2759999999999998</c:v>
                </c:pt>
                <c:pt idx="100">
                  <c:v>1.1099999999999997</c:v>
                </c:pt>
                <c:pt idx="101">
                  <c:v>4</c:v>
                </c:pt>
                <c:pt idx="102">
                  <c:v>1.5931914893617023</c:v>
                </c:pt>
                <c:pt idx="103">
                  <c:v>1.8863999999999999</c:v>
                </c:pt>
                <c:pt idx="104">
                  <c:v>3</c:v>
                </c:pt>
                <c:pt idx="105">
                  <c:v>1.2822857142857143</c:v>
                </c:pt>
                <c:pt idx="106">
                  <c:v>1.5300000000000002</c:v>
                </c:pt>
                <c:pt idx="107">
                  <c:v>0.8668309859154929</c:v>
                </c:pt>
                <c:pt idx="108">
                  <c:v>0.45999999999999996</c:v>
                </c:pt>
                <c:pt idx="109">
                  <c:v>1.5</c:v>
                </c:pt>
                <c:pt idx="110">
                  <c:v>4.74</c:v>
                </c:pt>
                <c:pt idx="111">
                  <c:v>3.0163636363636361</c:v>
                </c:pt>
                <c:pt idx="112">
                  <c:v>2.3284210526315783</c:v>
                </c:pt>
                <c:pt idx="113">
                  <c:v>0.99463917525773216</c:v>
                </c:pt>
                <c:pt idx="114">
                  <c:v>2.1</c:v>
                </c:pt>
                <c:pt idx="115">
                  <c:v>3.4285714285714293</c:v>
                </c:pt>
                <c:pt idx="116">
                  <c:v>2.4359999999999999</c:v>
                </c:pt>
                <c:pt idx="117">
                  <c:v>3.7619999999999996</c:v>
                </c:pt>
                <c:pt idx="118">
                  <c:v>2.7379591836734689</c:v>
                </c:pt>
                <c:pt idx="119">
                  <c:v>2.6305882352941179</c:v>
                </c:pt>
                <c:pt idx="120">
                  <c:v>2.1431578947368419</c:v>
                </c:pt>
                <c:pt idx="121">
                  <c:v>2.1431578947368419</c:v>
                </c:pt>
                <c:pt idx="122">
                  <c:v>2.1280000000000001</c:v>
                </c:pt>
                <c:pt idx="123">
                  <c:v>1.5335064935064935</c:v>
                </c:pt>
                <c:pt idx="124">
                  <c:v>1.2184615384615383</c:v>
                </c:pt>
                <c:pt idx="125">
                  <c:v>1.2030379746835442</c:v>
                </c:pt>
                <c:pt idx="126">
                  <c:v>0.96484848484848473</c:v>
                </c:pt>
                <c:pt idx="127">
                  <c:v>0.90113207547169805</c:v>
                </c:pt>
                <c:pt idx="128">
                  <c:v>1.4</c:v>
                </c:pt>
                <c:pt idx="129">
                  <c:v>0.53900000000000003</c:v>
                </c:pt>
                <c:pt idx="130">
                  <c:v>0.35933333333333328</c:v>
                </c:pt>
                <c:pt idx="131">
                  <c:v>0.26950000000000002</c:v>
                </c:pt>
                <c:pt idx="132">
                  <c:v>0.63349999999999995</c:v>
                </c:pt>
                <c:pt idx="133">
                  <c:v>0.31674999999999998</c:v>
                </c:pt>
                <c:pt idx="134">
                  <c:v>1.7</c:v>
                </c:pt>
                <c:pt idx="135">
                  <c:v>1.54</c:v>
                </c:pt>
                <c:pt idx="136">
                  <c:v>7.76</c:v>
                </c:pt>
                <c:pt idx="137">
                  <c:v>5.9999999999999991</c:v>
                </c:pt>
                <c:pt idx="138">
                  <c:v>2.238</c:v>
                </c:pt>
                <c:pt idx="139">
                  <c:v>4.032</c:v>
                </c:pt>
                <c:pt idx="140">
                  <c:v>3.516</c:v>
                </c:pt>
                <c:pt idx="141">
                  <c:v>3.516</c:v>
                </c:pt>
                <c:pt idx="142">
                  <c:v>1.5931914893617023</c:v>
                </c:pt>
                <c:pt idx="143">
                  <c:v>1.4920000000000002</c:v>
                </c:pt>
                <c:pt idx="144">
                  <c:v>1.5719999999999998</c:v>
                </c:pt>
                <c:pt idx="145">
                  <c:v>2.2520000000000002</c:v>
                </c:pt>
                <c:pt idx="146">
                  <c:v>2.2520000000000002</c:v>
                </c:pt>
                <c:pt idx="147">
                  <c:v>2.7919999999999998</c:v>
                </c:pt>
                <c:pt idx="148">
                  <c:v>2.2520000000000002</c:v>
                </c:pt>
                <c:pt idx="149">
                  <c:v>0.9987096774193549</c:v>
                </c:pt>
                <c:pt idx="150">
                  <c:v>0.62079999999999991</c:v>
                </c:pt>
                <c:pt idx="151">
                  <c:v>0.6</c:v>
                </c:pt>
                <c:pt idx="152">
                  <c:v>0.52</c:v>
                </c:pt>
                <c:pt idx="153">
                  <c:v>1.780909090909091</c:v>
                </c:pt>
                <c:pt idx="154">
                  <c:v>0.48</c:v>
                </c:pt>
                <c:pt idx="155">
                  <c:v>2.0715789473684212</c:v>
                </c:pt>
                <c:pt idx="156">
                  <c:v>1.7028571428571431</c:v>
                </c:pt>
                <c:pt idx="157">
                  <c:v>1.4121428571428571</c:v>
                </c:pt>
                <c:pt idx="158">
                  <c:v>1.3956923076923078</c:v>
                </c:pt>
                <c:pt idx="159">
                  <c:v>1.3884000000000001</c:v>
                </c:pt>
                <c:pt idx="160">
                  <c:v>1.3884000000000001</c:v>
                </c:pt>
                <c:pt idx="161">
                  <c:v>0.14000000000000001</c:v>
                </c:pt>
                <c:pt idx="162">
                  <c:v>1.5</c:v>
                </c:pt>
                <c:pt idx="163">
                  <c:v>2</c:v>
                </c:pt>
                <c:pt idx="164">
                  <c:v>0.26</c:v>
                </c:pt>
                <c:pt idx="165">
                  <c:v>0.14466666666666669</c:v>
                </c:pt>
                <c:pt idx="166">
                  <c:v>5.0844444444444434</c:v>
                </c:pt>
                <c:pt idx="167">
                  <c:v>5.0844444444444434</c:v>
                </c:pt>
                <c:pt idx="168">
                  <c:v>1.9259999999999997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0.53</c:v>
                </c:pt>
                <c:pt idx="173">
                  <c:v>0.53</c:v>
                </c:pt>
                <c:pt idx="174">
                  <c:v>0.53</c:v>
                </c:pt>
                <c:pt idx="175">
                  <c:v>0.63</c:v>
                </c:pt>
                <c:pt idx="176">
                  <c:v>0.63</c:v>
                </c:pt>
                <c:pt idx="177">
                  <c:v>0.63</c:v>
                </c:pt>
                <c:pt idx="178">
                  <c:v>1.6</c:v>
                </c:pt>
                <c:pt idx="179">
                  <c:v>0.24299999999999999</c:v>
                </c:pt>
                <c:pt idx="180">
                  <c:v>0.87</c:v>
                </c:pt>
                <c:pt idx="181">
                  <c:v>0.87</c:v>
                </c:pt>
                <c:pt idx="182">
                  <c:v>17.184000000000001</c:v>
                </c:pt>
                <c:pt idx="183">
                  <c:v>9.4440000000000008</c:v>
                </c:pt>
                <c:pt idx="184">
                  <c:v>4.62</c:v>
                </c:pt>
                <c:pt idx="185">
                  <c:v>0.36800000000000005</c:v>
                </c:pt>
                <c:pt idx="186">
                  <c:v>0.77999999999999992</c:v>
                </c:pt>
                <c:pt idx="187">
                  <c:v>3.2640000000000002</c:v>
                </c:pt>
                <c:pt idx="188">
                  <c:v>2.2199999999999998</c:v>
                </c:pt>
                <c:pt idx="189">
                  <c:v>1.1919999999999999</c:v>
                </c:pt>
                <c:pt idx="190">
                  <c:v>1.5981176470588239</c:v>
                </c:pt>
                <c:pt idx="191">
                  <c:v>0.80727272727272714</c:v>
                </c:pt>
                <c:pt idx="192">
                  <c:v>0.65032258064516124</c:v>
                </c:pt>
                <c:pt idx="193">
                  <c:v>0.9701052631578948</c:v>
                </c:pt>
                <c:pt idx="194">
                  <c:v>1.9493877551020407</c:v>
                </c:pt>
                <c:pt idx="195">
                  <c:v>1.2682352941176471</c:v>
                </c:pt>
                <c:pt idx="196">
                  <c:v>0.87461538461538446</c:v>
                </c:pt>
                <c:pt idx="197">
                  <c:v>1.1125423728813557</c:v>
                </c:pt>
                <c:pt idx="198">
                  <c:v>0.5704999999999999</c:v>
                </c:pt>
                <c:pt idx="199">
                  <c:v>0.47</c:v>
                </c:pt>
                <c:pt idx="200">
                  <c:v>2.0608000000000004</c:v>
                </c:pt>
                <c:pt idx="201">
                  <c:v>1.9903999999999997</c:v>
                </c:pt>
                <c:pt idx="202">
                  <c:v>2.5888</c:v>
                </c:pt>
                <c:pt idx="203">
                  <c:v>0.23</c:v>
                </c:pt>
                <c:pt idx="204">
                  <c:v>2.9960000000000004</c:v>
                </c:pt>
                <c:pt idx="205">
                  <c:v>0.73967213114754105</c:v>
                </c:pt>
                <c:pt idx="206">
                  <c:v>0.65</c:v>
                </c:pt>
                <c:pt idx="207">
                  <c:v>0.65</c:v>
                </c:pt>
                <c:pt idx="208">
                  <c:v>0.18</c:v>
                </c:pt>
                <c:pt idx="209">
                  <c:v>5.8</c:v>
                </c:pt>
                <c:pt idx="210">
                  <c:v>2.4</c:v>
                </c:pt>
                <c:pt idx="211">
                  <c:v>1.5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1.3929896907216497</c:v>
                </c:pt>
                <c:pt idx="215">
                  <c:v>1.52</c:v>
                </c:pt>
                <c:pt idx="216">
                  <c:v>10.491428571428571</c:v>
                </c:pt>
                <c:pt idx="217">
                  <c:v>10.491428571428571</c:v>
                </c:pt>
                <c:pt idx="218">
                  <c:v>0.79090909090909089</c:v>
                </c:pt>
                <c:pt idx="219">
                  <c:v>1.4017021276595745</c:v>
                </c:pt>
                <c:pt idx="220">
                  <c:v>0.13</c:v>
                </c:pt>
                <c:pt idx="221">
                  <c:v>0.31799999999999995</c:v>
                </c:pt>
                <c:pt idx="222">
                  <c:v>0.31799999999999995</c:v>
                </c:pt>
                <c:pt idx="223">
                  <c:v>0.77</c:v>
                </c:pt>
                <c:pt idx="224">
                  <c:v>0.61</c:v>
                </c:pt>
                <c:pt idx="225">
                  <c:v>0.11</c:v>
                </c:pt>
                <c:pt idx="226">
                  <c:v>2.0460000000000003</c:v>
                </c:pt>
                <c:pt idx="227">
                  <c:v>0.76</c:v>
                </c:pt>
                <c:pt idx="228">
                  <c:v>0.45</c:v>
                </c:pt>
                <c:pt idx="229">
                  <c:v>0.45</c:v>
                </c:pt>
                <c:pt idx="230">
                  <c:v>0.45</c:v>
                </c:pt>
                <c:pt idx="231">
                  <c:v>0.36</c:v>
                </c:pt>
                <c:pt idx="232">
                  <c:v>0.18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60-4CDF-B850-D78BC2E4C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249423"/>
        <c:axId val="165246927"/>
      </c:scatterChart>
      <c:valAx>
        <c:axId val="15514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34239"/>
        <c:crosses val="autoZero"/>
        <c:crossBetween val="midCat"/>
      </c:valAx>
      <c:valAx>
        <c:axId val="1551342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142143"/>
        <c:crosses val="autoZero"/>
        <c:crossBetween val="midCat"/>
      </c:valAx>
      <c:valAx>
        <c:axId val="16524692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249423"/>
        <c:crosses val="max"/>
        <c:crossBetween val="midCat"/>
      </c:valAx>
      <c:valAx>
        <c:axId val="1652494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2469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Analysis!$AX$2</c:f>
              <c:strCache>
                <c:ptCount val="1"/>
                <c:pt idx="0">
                  <c:v>OLR (kg COD  m-3 d-1)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Analysis!$AW$3:$AW$235</c:f>
              <c:numCache>
                <c:formatCode>General</c:formatCode>
                <c:ptCount val="233"/>
                <c:pt idx="0">
                  <c:v>8</c:v>
                </c:pt>
                <c:pt idx="1">
                  <c:v>12</c:v>
                </c:pt>
                <c:pt idx="2">
                  <c:v>103.19999999999999</c:v>
                </c:pt>
                <c:pt idx="3">
                  <c:v>8</c:v>
                </c:pt>
                <c:pt idx="4">
                  <c:v>7</c:v>
                </c:pt>
                <c:pt idx="5">
                  <c:v>7</c:v>
                </c:pt>
                <c:pt idx="6">
                  <c:v>13.6</c:v>
                </c:pt>
                <c:pt idx="7">
                  <c:v>57.2</c:v>
                </c:pt>
                <c:pt idx="8">
                  <c:v>4.7</c:v>
                </c:pt>
                <c:pt idx="9">
                  <c:v>8</c:v>
                </c:pt>
                <c:pt idx="10">
                  <c:v>8</c:v>
                </c:pt>
                <c:pt idx="11">
                  <c:v>12.5</c:v>
                </c:pt>
                <c:pt idx="12">
                  <c:v>15.6</c:v>
                </c:pt>
                <c:pt idx="13">
                  <c:v>21.4</c:v>
                </c:pt>
                <c:pt idx="14">
                  <c:v>60</c:v>
                </c:pt>
                <c:pt idx="15">
                  <c:v>7.7</c:v>
                </c:pt>
                <c:pt idx="16">
                  <c:v>14.5</c:v>
                </c:pt>
                <c:pt idx="17">
                  <c:v>44.3</c:v>
                </c:pt>
                <c:pt idx="18">
                  <c:v>9.6999999999999993</c:v>
                </c:pt>
                <c:pt idx="19">
                  <c:v>12.8</c:v>
                </c:pt>
                <c:pt idx="20">
                  <c:v>6</c:v>
                </c:pt>
                <c:pt idx="21">
                  <c:v>7.68</c:v>
                </c:pt>
                <c:pt idx="22">
                  <c:v>7.68</c:v>
                </c:pt>
                <c:pt idx="23">
                  <c:v>7.68</c:v>
                </c:pt>
                <c:pt idx="24">
                  <c:v>8</c:v>
                </c:pt>
                <c:pt idx="25">
                  <c:v>8</c:v>
                </c:pt>
                <c:pt idx="26">
                  <c:v>10.32</c:v>
                </c:pt>
                <c:pt idx="27">
                  <c:v>12</c:v>
                </c:pt>
                <c:pt idx="28">
                  <c:v>13.919999999999998</c:v>
                </c:pt>
                <c:pt idx="29">
                  <c:v>19.919999999999998</c:v>
                </c:pt>
                <c:pt idx="30">
                  <c:v>24</c:v>
                </c:pt>
                <c:pt idx="31">
                  <c:v>24</c:v>
                </c:pt>
                <c:pt idx="32">
                  <c:v>42</c:v>
                </c:pt>
                <c:pt idx="33">
                  <c:v>42</c:v>
                </c:pt>
                <c:pt idx="34">
                  <c:v>84</c:v>
                </c:pt>
                <c:pt idx="35">
                  <c:v>6</c:v>
                </c:pt>
                <c:pt idx="36">
                  <c:v>4.7</c:v>
                </c:pt>
                <c:pt idx="37">
                  <c:v>10</c:v>
                </c:pt>
                <c:pt idx="38">
                  <c:v>48</c:v>
                </c:pt>
                <c:pt idx="39">
                  <c:v>103.19999999999999</c:v>
                </c:pt>
                <c:pt idx="40">
                  <c:v>23</c:v>
                </c:pt>
                <c:pt idx="41">
                  <c:v>24</c:v>
                </c:pt>
                <c:pt idx="42">
                  <c:v>103.19999999999999</c:v>
                </c:pt>
                <c:pt idx="43">
                  <c:v>5.5</c:v>
                </c:pt>
                <c:pt idx="44">
                  <c:v>5.5</c:v>
                </c:pt>
                <c:pt idx="45">
                  <c:v>10</c:v>
                </c:pt>
                <c:pt idx="46">
                  <c:v>14</c:v>
                </c:pt>
                <c:pt idx="47">
                  <c:v>18</c:v>
                </c:pt>
                <c:pt idx="48">
                  <c:v>18</c:v>
                </c:pt>
                <c:pt idx="49">
                  <c:v>48</c:v>
                </c:pt>
                <c:pt idx="50">
                  <c:v>96</c:v>
                </c:pt>
                <c:pt idx="51">
                  <c:v>4.4000000000000004</c:v>
                </c:pt>
                <c:pt idx="52">
                  <c:v>11</c:v>
                </c:pt>
                <c:pt idx="53">
                  <c:v>25</c:v>
                </c:pt>
                <c:pt idx="54">
                  <c:v>60</c:v>
                </c:pt>
                <c:pt idx="55">
                  <c:v>3.6</c:v>
                </c:pt>
                <c:pt idx="56">
                  <c:v>4.7</c:v>
                </c:pt>
                <c:pt idx="57">
                  <c:v>6</c:v>
                </c:pt>
                <c:pt idx="58">
                  <c:v>6</c:v>
                </c:pt>
                <c:pt idx="59">
                  <c:v>8</c:v>
                </c:pt>
                <c:pt idx="60">
                  <c:v>10</c:v>
                </c:pt>
                <c:pt idx="61">
                  <c:v>12</c:v>
                </c:pt>
                <c:pt idx="62">
                  <c:v>14</c:v>
                </c:pt>
                <c:pt idx="63">
                  <c:v>14.5</c:v>
                </c:pt>
                <c:pt idx="64">
                  <c:v>18</c:v>
                </c:pt>
                <c:pt idx="65">
                  <c:v>24</c:v>
                </c:pt>
                <c:pt idx="66">
                  <c:v>36</c:v>
                </c:pt>
                <c:pt idx="67">
                  <c:v>8</c:v>
                </c:pt>
                <c:pt idx="68">
                  <c:v>7</c:v>
                </c:pt>
                <c:pt idx="69">
                  <c:v>3.2</c:v>
                </c:pt>
                <c:pt idx="70">
                  <c:v>4</c:v>
                </c:pt>
                <c:pt idx="71">
                  <c:v>6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6.6</c:v>
                </c:pt>
                <c:pt idx="77">
                  <c:v>7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9.1</c:v>
                </c:pt>
                <c:pt idx="83">
                  <c:v>9.5</c:v>
                </c:pt>
                <c:pt idx="84">
                  <c:v>9.6</c:v>
                </c:pt>
                <c:pt idx="85">
                  <c:v>10</c:v>
                </c:pt>
                <c:pt idx="86">
                  <c:v>10.4</c:v>
                </c:pt>
                <c:pt idx="87">
                  <c:v>12.3</c:v>
                </c:pt>
                <c:pt idx="88">
                  <c:v>16</c:v>
                </c:pt>
                <c:pt idx="89">
                  <c:v>20</c:v>
                </c:pt>
                <c:pt idx="90">
                  <c:v>25</c:v>
                </c:pt>
                <c:pt idx="91">
                  <c:v>30</c:v>
                </c:pt>
                <c:pt idx="92">
                  <c:v>40</c:v>
                </c:pt>
                <c:pt idx="93">
                  <c:v>6</c:v>
                </c:pt>
                <c:pt idx="94">
                  <c:v>10.199999999999999</c:v>
                </c:pt>
                <c:pt idx="95">
                  <c:v>10.9</c:v>
                </c:pt>
                <c:pt idx="96">
                  <c:v>14.3</c:v>
                </c:pt>
                <c:pt idx="97">
                  <c:v>5.0999999999999996</c:v>
                </c:pt>
                <c:pt idx="98">
                  <c:v>6</c:v>
                </c:pt>
                <c:pt idx="99">
                  <c:v>6</c:v>
                </c:pt>
                <c:pt idx="100">
                  <c:v>8.8000000000000007</c:v>
                </c:pt>
                <c:pt idx="101">
                  <c:v>4</c:v>
                </c:pt>
                <c:pt idx="102">
                  <c:v>4.7</c:v>
                </c:pt>
                <c:pt idx="103">
                  <c:v>5</c:v>
                </c:pt>
                <c:pt idx="104">
                  <c:v>5</c:v>
                </c:pt>
                <c:pt idx="105">
                  <c:v>7</c:v>
                </c:pt>
                <c:pt idx="106">
                  <c:v>7.2</c:v>
                </c:pt>
                <c:pt idx="107">
                  <c:v>10.327272727272726</c:v>
                </c:pt>
                <c:pt idx="108">
                  <c:v>21.6</c:v>
                </c:pt>
                <c:pt idx="109">
                  <c:v>25</c:v>
                </c:pt>
                <c:pt idx="110">
                  <c:v>2.8</c:v>
                </c:pt>
                <c:pt idx="111">
                  <c:v>4.4000000000000004</c:v>
                </c:pt>
                <c:pt idx="112">
                  <c:v>5.7</c:v>
                </c:pt>
                <c:pt idx="113">
                  <c:v>9.6999999999999993</c:v>
                </c:pt>
                <c:pt idx="114">
                  <c:v>5.7</c:v>
                </c:pt>
                <c:pt idx="115">
                  <c:v>9.1</c:v>
                </c:pt>
                <c:pt idx="116">
                  <c:v>4</c:v>
                </c:pt>
                <c:pt idx="117">
                  <c:v>4</c:v>
                </c:pt>
                <c:pt idx="118">
                  <c:v>4.9000000000000004</c:v>
                </c:pt>
                <c:pt idx="119">
                  <c:v>5.0999999999999996</c:v>
                </c:pt>
                <c:pt idx="120">
                  <c:v>5.7</c:v>
                </c:pt>
                <c:pt idx="121">
                  <c:v>5.7</c:v>
                </c:pt>
                <c:pt idx="122">
                  <c:v>6</c:v>
                </c:pt>
                <c:pt idx="123">
                  <c:v>7.7</c:v>
                </c:pt>
                <c:pt idx="124">
                  <c:v>7.8</c:v>
                </c:pt>
                <c:pt idx="125">
                  <c:v>7.9</c:v>
                </c:pt>
                <c:pt idx="126">
                  <c:v>9.9</c:v>
                </c:pt>
                <c:pt idx="127">
                  <c:v>10.6</c:v>
                </c:pt>
                <c:pt idx="128">
                  <c:v>23</c:v>
                </c:pt>
                <c:pt idx="129">
                  <c:v>24</c:v>
                </c:pt>
                <c:pt idx="130">
                  <c:v>36</c:v>
                </c:pt>
                <c:pt idx="131">
                  <c:v>48</c:v>
                </c:pt>
                <c:pt idx="132">
                  <c:v>48</c:v>
                </c:pt>
                <c:pt idx="133">
                  <c:v>96</c:v>
                </c:pt>
                <c:pt idx="134">
                  <c:v>5.9</c:v>
                </c:pt>
                <c:pt idx="135">
                  <c:v>13.6</c:v>
                </c:pt>
                <c:pt idx="136">
                  <c:v>2.4</c:v>
                </c:pt>
                <c:pt idx="137">
                  <c:v>3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4.7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6</c:v>
                </c:pt>
                <c:pt idx="149">
                  <c:v>6.2</c:v>
                </c:pt>
                <c:pt idx="150">
                  <c:v>7.5</c:v>
                </c:pt>
                <c:pt idx="151">
                  <c:v>8</c:v>
                </c:pt>
                <c:pt idx="152">
                  <c:v>8.6</c:v>
                </c:pt>
                <c:pt idx="153">
                  <c:v>8.8000000000000007</c:v>
                </c:pt>
                <c:pt idx="154">
                  <c:v>9.1</c:v>
                </c:pt>
                <c:pt idx="155">
                  <c:v>9.5</c:v>
                </c:pt>
                <c:pt idx="156">
                  <c:v>10.5</c:v>
                </c:pt>
                <c:pt idx="157">
                  <c:v>11.2</c:v>
                </c:pt>
                <c:pt idx="158">
                  <c:v>13</c:v>
                </c:pt>
                <c:pt idx="159">
                  <c:v>16</c:v>
                </c:pt>
                <c:pt idx="160">
                  <c:v>16</c:v>
                </c:pt>
                <c:pt idx="161">
                  <c:v>24</c:v>
                </c:pt>
                <c:pt idx="162">
                  <c:v>25</c:v>
                </c:pt>
                <c:pt idx="163">
                  <c:v>8</c:v>
                </c:pt>
                <c:pt idx="164">
                  <c:v>13.7</c:v>
                </c:pt>
                <c:pt idx="165">
                  <c:v>72</c:v>
                </c:pt>
                <c:pt idx="166">
                  <c:v>2.7</c:v>
                </c:pt>
                <c:pt idx="167">
                  <c:v>2.7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6</c:v>
                </c:pt>
                <c:pt idx="173">
                  <c:v>6</c:v>
                </c:pt>
                <c:pt idx="174">
                  <c:v>6</c:v>
                </c:pt>
                <c:pt idx="175">
                  <c:v>8</c:v>
                </c:pt>
                <c:pt idx="176">
                  <c:v>8</c:v>
                </c:pt>
                <c:pt idx="177">
                  <c:v>8</c:v>
                </c:pt>
                <c:pt idx="178">
                  <c:v>12</c:v>
                </c:pt>
                <c:pt idx="179">
                  <c:v>24</c:v>
                </c:pt>
                <c:pt idx="180">
                  <c:v>6</c:v>
                </c:pt>
                <c:pt idx="181">
                  <c:v>6</c:v>
                </c:pt>
                <c:pt idx="182">
                  <c:v>1</c:v>
                </c:pt>
                <c:pt idx="183">
                  <c:v>2</c:v>
                </c:pt>
                <c:pt idx="184">
                  <c:v>4</c:v>
                </c:pt>
                <c:pt idx="185">
                  <c:v>6</c:v>
                </c:pt>
                <c:pt idx="186">
                  <c:v>6</c:v>
                </c:pt>
                <c:pt idx="187">
                  <c:v>6</c:v>
                </c:pt>
                <c:pt idx="188">
                  <c:v>6</c:v>
                </c:pt>
                <c:pt idx="189">
                  <c:v>6</c:v>
                </c:pt>
                <c:pt idx="190">
                  <c:v>8.5</c:v>
                </c:pt>
                <c:pt idx="191">
                  <c:v>8.8000000000000007</c:v>
                </c:pt>
                <c:pt idx="192">
                  <c:v>9.3000000000000007</c:v>
                </c:pt>
                <c:pt idx="193">
                  <c:v>9.5</c:v>
                </c:pt>
                <c:pt idx="194">
                  <c:v>9.8000000000000007</c:v>
                </c:pt>
                <c:pt idx="195">
                  <c:v>10.199999999999999</c:v>
                </c:pt>
                <c:pt idx="196">
                  <c:v>10.4</c:v>
                </c:pt>
                <c:pt idx="197">
                  <c:v>11.8</c:v>
                </c:pt>
                <c:pt idx="198">
                  <c:v>48</c:v>
                </c:pt>
                <c:pt idx="199">
                  <c:v>10</c:v>
                </c:pt>
                <c:pt idx="200">
                  <c:v>7.5</c:v>
                </c:pt>
                <c:pt idx="201">
                  <c:v>7.5</c:v>
                </c:pt>
                <c:pt idx="202">
                  <c:v>7.5</c:v>
                </c:pt>
                <c:pt idx="203">
                  <c:v>16.7</c:v>
                </c:pt>
                <c:pt idx="204">
                  <c:v>6</c:v>
                </c:pt>
                <c:pt idx="205">
                  <c:v>6.1</c:v>
                </c:pt>
                <c:pt idx="206">
                  <c:v>8</c:v>
                </c:pt>
                <c:pt idx="207">
                  <c:v>8</c:v>
                </c:pt>
                <c:pt idx="208">
                  <c:v>25</c:v>
                </c:pt>
                <c:pt idx="209">
                  <c:v>3</c:v>
                </c:pt>
                <c:pt idx="210">
                  <c:v>6</c:v>
                </c:pt>
                <c:pt idx="211">
                  <c:v>8</c:v>
                </c:pt>
                <c:pt idx="212">
                  <c:v>4</c:v>
                </c:pt>
                <c:pt idx="213">
                  <c:v>4</c:v>
                </c:pt>
                <c:pt idx="214">
                  <c:v>9.6999999999999993</c:v>
                </c:pt>
                <c:pt idx="215">
                  <c:v>32</c:v>
                </c:pt>
                <c:pt idx="216">
                  <c:v>1.4</c:v>
                </c:pt>
                <c:pt idx="217">
                  <c:v>1.4</c:v>
                </c:pt>
                <c:pt idx="218">
                  <c:v>8.8000000000000007</c:v>
                </c:pt>
                <c:pt idx="219">
                  <c:v>9.4</c:v>
                </c:pt>
                <c:pt idx="220">
                  <c:v>33.5</c:v>
                </c:pt>
                <c:pt idx="221">
                  <c:v>24</c:v>
                </c:pt>
                <c:pt idx="222">
                  <c:v>24</c:v>
                </c:pt>
                <c:pt idx="223">
                  <c:v>7.2</c:v>
                </c:pt>
                <c:pt idx="224">
                  <c:v>7.5</c:v>
                </c:pt>
                <c:pt idx="225">
                  <c:v>37.700000000000003</c:v>
                </c:pt>
                <c:pt idx="226">
                  <c:v>4</c:v>
                </c:pt>
                <c:pt idx="227">
                  <c:v>33.599999999999994</c:v>
                </c:pt>
                <c:pt idx="228">
                  <c:v>52.800000000000004</c:v>
                </c:pt>
                <c:pt idx="229">
                  <c:v>52.800000000000004</c:v>
                </c:pt>
                <c:pt idx="230">
                  <c:v>52.800000000000004</c:v>
                </c:pt>
                <c:pt idx="231">
                  <c:v>72</c:v>
                </c:pt>
                <c:pt idx="232">
                  <c:v>132</c:v>
                </c:pt>
              </c:numCache>
            </c:numRef>
          </c:xVal>
          <c:yVal>
            <c:numRef>
              <c:f>Analysis!$AX$3:$AX$235</c:f>
              <c:numCache>
                <c:formatCode>General</c:formatCode>
                <c:ptCount val="233"/>
                <c:pt idx="0">
                  <c:v>0.41459999999999997</c:v>
                </c:pt>
                <c:pt idx="1">
                  <c:v>1.7</c:v>
                </c:pt>
                <c:pt idx="2">
                  <c:v>0.43</c:v>
                </c:pt>
                <c:pt idx="3">
                  <c:v>0.41459999999999997</c:v>
                </c:pt>
                <c:pt idx="4">
                  <c:v>2.4000000000000004</c:v>
                </c:pt>
                <c:pt idx="5">
                  <c:v>2.4000000000000004</c:v>
                </c:pt>
                <c:pt idx="6">
                  <c:v>0.71</c:v>
                </c:pt>
                <c:pt idx="7">
                  <c:v>0.34447552447552449</c:v>
                </c:pt>
                <c:pt idx="8">
                  <c:v>1.5931914893617023</c:v>
                </c:pt>
                <c:pt idx="9">
                  <c:v>2.2000000000000002</c:v>
                </c:pt>
                <c:pt idx="10">
                  <c:v>1.032</c:v>
                </c:pt>
                <c:pt idx="11">
                  <c:v>0.43</c:v>
                </c:pt>
                <c:pt idx="12">
                  <c:v>0.33</c:v>
                </c:pt>
                <c:pt idx="13">
                  <c:v>0.25</c:v>
                </c:pt>
                <c:pt idx="14">
                  <c:v>0.96179999999999999</c:v>
                </c:pt>
                <c:pt idx="15">
                  <c:v>0.85</c:v>
                </c:pt>
                <c:pt idx="16">
                  <c:v>0.56999999999999995</c:v>
                </c:pt>
                <c:pt idx="17">
                  <c:v>0.52875846501128676</c:v>
                </c:pt>
                <c:pt idx="18">
                  <c:v>0.53</c:v>
                </c:pt>
                <c:pt idx="19">
                  <c:v>0.27</c:v>
                </c:pt>
                <c:pt idx="20">
                  <c:v>2.8839999999999999</c:v>
                </c:pt>
                <c:pt idx="21">
                  <c:v>1.51</c:v>
                </c:pt>
                <c:pt idx="22">
                  <c:v>1.6</c:v>
                </c:pt>
                <c:pt idx="23">
                  <c:v>1.2</c:v>
                </c:pt>
                <c:pt idx="24">
                  <c:v>1.4760000000000002</c:v>
                </c:pt>
                <c:pt idx="25">
                  <c:v>0.9</c:v>
                </c:pt>
                <c:pt idx="26">
                  <c:v>0.79</c:v>
                </c:pt>
                <c:pt idx="27">
                  <c:v>0.82</c:v>
                </c:pt>
                <c:pt idx="28">
                  <c:v>0.45</c:v>
                </c:pt>
                <c:pt idx="29">
                  <c:v>0.38</c:v>
                </c:pt>
                <c:pt idx="30">
                  <c:v>1.38</c:v>
                </c:pt>
                <c:pt idx="31">
                  <c:v>0.41</c:v>
                </c:pt>
                <c:pt idx="32">
                  <c:v>0.15</c:v>
                </c:pt>
                <c:pt idx="33">
                  <c:v>0.36</c:v>
                </c:pt>
                <c:pt idx="34">
                  <c:v>7.0000000000000007E-2</c:v>
                </c:pt>
                <c:pt idx="35">
                  <c:v>3.4840000000000004</c:v>
                </c:pt>
                <c:pt idx="36">
                  <c:v>1.5931914893617023</c:v>
                </c:pt>
                <c:pt idx="37">
                  <c:v>0.7</c:v>
                </c:pt>
                <c:pt idx="38">
                  <c:v>0.52</c:v>
                </c:pt>
                <c:pt idx="39">
                  <c:v>0.43</c:v>
                </c:pt>
                <c:pt idx="40">
                  <c:v>1.51</c:v>
                </c:pt>
                <c:pt idx="41">
                  <c:v>1.45</c:v>
                </c:pt>
                <c:pt idx="42">
                  <c:v>0.89</c:v>
                </c:pt>
                <c:pt idx="43">
                  <c:v>2.474181818181818</c:v>
                </c:pt>
                <c:pt idx="44">
                  <c:v>2.474181818181818</c:v>
                </c:pt>
                <c:pt idx="45">
                  <c:v>1.5288000000000002</c:v>
                </c:pt>
                <c:pt idx="46">
                  <c:v>1.0919999999999999</c:v>
                </c:pt>
                <c:pt idx="47">
                  <c:v>1</c:v>
                </c:pt>
                <c:pt idx="48">
                  <c:v>0.84933333333333338</c:v>
                </c:pt>
                <c:pt idx="49">
                  <c:v>0.45</c:v>
                </c:pt>
                <c:pt idx="50">
                  <c:v>0.23</c:v>
                </c:pt>
                <c:pt idx="51">
                  <c:v>1.5545454545454545</c:v>
                </c:pt>
                <c:pt idx="52">
                  <c:v>0.87927272727272721</c:v>
                </c:pt>
                <c:pt idx="53">
                  <c:v>1.5</c:v>
                </c:pt>
                <c:pt idx="54">
                  <c:v>1.6015999999999999</c:v>
                </c:pt>
                <c:pt idx="55">
                  <c:v>3.1666666666666665</c:v>
                </c:pt>
                <c:pt idx="56">
                  <c:v>1.5931914893617023</c:v>
                </c:pt>
                <c:pt idx="57">
                  <c:v>3.3</c:v>
                </c:pt>
                <c:pt idx="58">
                  <c:v>2.548</c:v>
                </c:pt>
                <c:pt idx="59">
                  <c:v>1.911</c:v>
                </c:pt>
                <c:pt idx="60">
                  <c:v>1.5288000000000002</c:v>
                </c:pt>
                <c:pt idx="61">
                  <c:v>0.48599999999999999</c:v>
                </c:pt>
                <c:pt idx="62">
                  <c:v>1.0919999999999999</c:v>
                </c:pt>
                <c:pt idx="63">
                  <c:v>0.66206896551724137</c:v>
                </c:pt>
                <c:pt idx="64">
                  <c:v>0.84933333333333338</c:v>
                </c:pt>
                <c:pt idx="65">
                  <c:v>0.63700000000000001</c:v>
                </c:pt>
                <c:pt idx="66">
                  <c:v>0.42466666666666669</c:v>
                </c:pt>
                <c:pt idx="67">
                  <c:v>1.026</c:v>
                </c:pt>
                <c:pt idx="68">
                  <c:v>1.3782857142857143</c:v>
                </c:pt>
                <c:pt idx="69">
                  <c:v>2.6</c:v>
                </c:pt>
                <c:pt idx="70">
                  <c:v>2.544</c:v>
                </c:pt>
                <c:pt idx="71">
                  <c:v>1.2</c:v>
                </c:pt>
                <c:pt idx="72">
                  <c:v>1.83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1.8</c:v>
                </c:pt>
                <c:pt idx="77">
                  <c:v>2.04</c:v>
                </c:pt>
                <c:pt idx="78">
                  <c:v>0.75</c:v>
                </c:pt>
                <c:pt idx="79">
                  <c:v>0.8</c:v>
                </c:pt>
                <c:pt idx="80">
                  <c:v>0.8</c:v>
                </c:pt>
                <c:pt idx="81">
                  <c:v>0.8</c:v>
                </c:pt>
                <c:pt idx="82">
                  <c:v>0.92</c:v>
                </c:pt>
                <c:pt idx="83">
                  <c:v>0.92</c:v>
                </c:pt>
                <c:pt idx="84">
                  <c:v>1.1100000000000001</c:v>
                </c:pt>
                <c:pt idx="85">
                  <c:v>1.05</c:v>
                </c:pt>
                <c:pt idx="86">
                  <c:v>0.9</c:v>
                </c:pt>
                <c:pt idx="87">
                  <c:v>0.43</c:v>
                </c:pt>
                <c:pt idx="88">
                  <c:v>0.6</c:v>
                </c:pt>
                <c:pt idx="89">
                  <c:v>0.46</c:v>
                </c:pt>
                <c:pt idx="90">
                  <c:v>0.38</c:v>
                </c:pt>
                <c:pt idx="91">
                  <c:v>0.43</c:v>
                </c:pt>
                <c:pt idx="92">
                  <c:v>0.3</c:v>
                </c:pt>
                <c:pt idx="93">
                  <c:v>2.4</c:v>
                </c:pt>
                <c:pt idx="94">
                  <c:v>1.331764705882353</c:v>
                </c:pt>
                <c:pt idx="95">
                  <c:v>1.664587155963303</c:v>
                </c:pt>
                <c:pt idx="96">
                  <c:v>1.1563636363636363</c:v>
                </c:pt>
                <c:pt idx="97">
                  <c:v>1.4447058823529413</c:v>
                </c:pt>
                <c:pt idx="98">
                  <c:v>0.97199999999999998</c:v>
                </c:pt>
                <c:pt idx="99">
                  <c:v>2.2759999999999998</c:v>
                </c:pt>
                <c:pt idx="100">
                  <c:v>1.1099999999999997</c:v>
                </c:pt>
                <c:pt idx="101">
                  <c:v>4</c:v>
                </c:pt>
                <c:pt idx="102">
                  <c:v>1.5931914893617023</c:v>
                </c:pt>
                <c:pt idx="103">
                  <c:v>1.8863999999999999</c:v>
                </c:pt>
                <c:pt idx="104">
                  <c:v>3</c:v>
                </c:pt>
                <c:pt idx="105">
                  <c:v>1.2822857142857143</c:v>
                </c:pt>
                <c:pt idx="106">
                  <c:v>1.5300000000000002</c:v>
                </c:pt>
                <c:pt idx="107">
                  <c:v>0.8668309859154929</c:v>
                </c:pt>
                <c:pt idx="108">
                  <c:v>0.45999999999999996</c:v>
                </c:pt>
                <c:pt idx="109">
                  <c:v>1.5</c:v>
                </c:pt>
                <c:pt idx="110">
                  <c:v>4.74</c:v>
                </c:pt>
                <c:pt idx="111">
                  <c:v>3.0163636363636361</c:v>
                </c:pt>
                <c:pt idx="112">
                  <c:v>2.3284210526315783</c:v>
                </c:pt>
                <c:pt idx="113">
                  <c:v>0.99463917525773216</c:v>
                </c:pt>
                <c:pt idx="114">
                  <c:v>2.1</c:v>
                </c:pt>
                <c:pt idx="115">
                  <c:v>3.4285714285714293</c:v>
                </c:pt>
                <c:pt idx="116">
                  <c:v>2.4359999999999999</c:v>
                </c:pt>
                <c:pt idx="117">
                  <c:v>3.7619999999999996</c:v>
                </c:pt>
                <c:pt idx="118">
                  <c:v>2.7379591836734689</c:v>
                </c:pt>
                <c:pt idx="119">
                  <c:v>2.6305882352941179</c:v>
                </c:pt>
                <c:pt idx="120">
                  <c:v>2.1431578947368419</c:v>
                </c:pt>
                <c:pt idx="121">
                  <c:v>2.1431578947368419</c:v>
                </c:pt>
                <c:pt idx="122">
                  <c:v>2.1280000000000001</c:v>
                </c:pt>
                <c:pt idx="123">
                  <c:v>1.5335064935064935</c:v>
                </c:pt>
                <c:pt idx="124">
                  <c:v>1.2184615384615383</c:v>
                </c:pt>
                <c:pt idx="125">
                  <c:v>1.2030379746835442</c:v>
                </c:pt>
                <c:pt idx="126">
                  <c:v>0.96484848484848473</c:v>
                </c:pt>
                <c:pt idx="127">
                  <c:v>0.90113207547169805</c:v>
                </c:pt>
                <c:pt idx="128">
                  <c:v>1.4</c:v>
                </c:pt>
                <c:pt idx="129">
                  <c:v>0.53900000000000003</c:v>
                </c:pt>
                <c:pt idx="130">
                  <c:v>0.35933333333333328</c:v>
                </c:pt>
                <c:pt idx="131">
                  <c:v>0.26950000000000002</c:v>
                </c:pt>
                <c:pt idx="132">
                  <c:v>0.63349999999999995</c:v>
                </c:pt>
                <c:pt idx="133">
                  <c:v>0.31674999999999998</c:v>
                </c:pt>
                <c:pt idx="134">
                  <c:v>1.7</c:v>
                </c:pt>
                <c:pt idx="135">
                  <c:v>1.54</c:v>
                </c:pt>
                <c:pt idx="136">
                  <c:v>7.76</c:v>
                </c:pt>
                <c:pt idx="137">
                  <c:v>5.9999999999999991</c:v>
                </c:pt>
                <c:pt idx="138">
                  <c:v>2.238</c:v>
                </c:pt>
                <c:pt idx="139">
                  <c:v>4.032</c:v>
                </c:pt>
                <c:pt idx="140">
                  <c:v>3.516</c:v>
                </c:pt>
                <c:pt idx="141">
                  <c:v>3.516</c:v>
                </c:pt>
                <c:pt idx="142">
                  <c:v>1.5931914893617023</c:v>
                </c:pt>
                <c:pt idx="143">
                  <c:v>1.4920000000000002</c:v>
                </c:pt>
                <c:pt idx="144">
                  <c:v>1.5719999999999998</c:v>
                </c:pt>
                <c:pt idx="145">
                  <c:v>2.2520000000000002</c:v>
                </c:pt>
                <c:pt idx="146">
                  <c:v>2.2520000000000002</c:v>
                </c:pt>
                <c:pt idx="147">
                  <c:v>2.7919999999999998</c:v>
                </c:pt>
                <c:pt idx="148">
                  <c:v>2.2520000000000002</c:v>
                </c:pt>
                <c:pt idx="149">
                  <c:v>0.9987096774193549</c:v>
                </c:pt>
                <c:pt idx="150">
                  <c:v>0.62079999999999991</c:v>
                </c:pt>
                <c:pt idx="151">
                  <c:v>0.6</c:v>
                </c:pt>
                <c:pt idx="152">
                  <c:v>0.52</c:v>
                </c:pt>
                <c:pt idx="153">
                  <c:v>1.780909090909091</c:v>
                </c:pt>
                <c:pt idx="154">
                  <c:v>0.48</c:v>
                </c:pt>
                <c:pt idx="155">
                  <c:v>2.0715789473684212</c:v>
                </c:pt>
                <c:pt idx="156">
                  <c:v>1.7028571428571431</c:v>
                </c:pt>
                <c:pt idx="157">
                  <c:v>1.4121428571428571</c:v>
                </c:pt>
                <c:pt idx="158">
                  <c:v>1.3956923076923078</c:v>
                </c:pt>
                <c:pt idx="159">
                  <c:v>1.3884000000000001</c:v>
                </c:pt>
                <c:pt idx="160">
                  <c:v>1.3884000000000001</c:v>
                </c:pt>
                <c:pt idx="161">
                  <c:v>0.14000000000000001</c:v>
                </c:pt>
                <c:pt idx="162">
                  <c:v>1.5</c:v>
                </c:pt>
                <c:pt idx="163">
                  <c:v>2</c:v>
                </c:pt>
                <c:pt idx="164">
                  <c:v>0.26</c:v>
                </c:pt>
                <c:pt idx="165">
                  <c:v>0.14466666666666669</c:v>
                </c:pt>
                <c:pt idx="166">
                  <c:v>5.0844444444444434</c:v>
                </c:pt>
                <c:pt idx="167">
                  <c:v>5.0844444444444434</c:v>
                </c:pt>
                <c:pt idx="168">
                  <c:v>1.9259999999999997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0.53</c:v>
                </c:pt>
                <c:pt idx="173">
                  <c:v>0.53</c:v>
                </c:pt>
                <c:pt idx="174">
                  <c:v>0.53</c:v>
                </c:pt>
                <c:pt idx="175">
                  <c:v>0.63</c:v>
                </c:pt>
                <c:pt idx="176">
                  <c:v>0.63</c:v>
                </c:pt>
                <c:pt idx="177">
                  <c:v>0.63</c:v>
                </c:pt>
                <c:pt idx="178">
                  <c:v>1.6</c:v>
                </c:pt>
                <c:pt idx="179">
                  <c:v>0.24299999999999999</c:v>
                </c:pt>
                <c:pt idx="180">
                  <c:v>0.87</c:v>
                </c:pt>
                <c:pt idx="181">
                  <c:v>0.87</c:v>
                </c:pt>
                <c:pt idx="182">
                  <c:v>17.184000000000001</c:v>
                </c:pt>
                <c:pt idx="183">
                  <c:v>9.4440000000000008</c:v>
                </c:pt>
                <c:pt idx="184">
                  <c:v>4.62</c:v>
                </c:pt>
                <c:pt idx="185">
                  <c:v>0.36800000000000005</c:v>
                </c:pt>
                <c:pt idx="186">
                  <c:v>0.77999999999999992</c:v>
                </c:pt>
                <c:pt idx="187">
                  <c:v>3.2640000000000002</c:v>
                </c:pt>
                <c:pt idx="188">
                  <c:v>2.2199999999999998</c:v>
                </c:pt>
                <c:pt idx="189">
                  <c:v>1.1919999999999999</c:v>
                </c:pt>
                <c:pt idx="190">
                  <c:v>1.5981176470588239</c:v>
                </c:pt>
                <c:pt idx="191">
                  <c:v>0.80727272727272714</c:v>
                </c:pt>
                <c:pt idx="192">
                  <c:v>0.65032258064516124</c:v>
                </c:pt>
                <c:pt idx="193">
                  <c:v>0.9701052631578948</c:v>
                </c:pt>
                <c:pt idx="194">
                  <c:v>1.9493877551020407</c:v>
                </c:pt>
                <c:pt idx="195">
                  <c:v>1.2682352941176471</c:v>
                </c:pt>
                <c:pt idx="196">
                  <c:v>0.87461538461538446</c:v>
                </c:pt>
                <c:pt idx="197">
                  <c:v>1.1125423728813557</c:v>
                </c:pt>
                <c:pt idx="198">
                  <c:v>0.5704999999999999</c:v>
                </c:pt>
                <c:pt idx="199">
                  <c:v>0.47</c:v>
                </c:pt>
                <c:pt idx="200">
                  <c:v>2.0608000000000004</c:v>
                </c:pt>
                <c:pt idx="201">
                  <c:v>1.9903999999999997</c:v>
                </c:pt>
                <c:pt idx="202">
                  <c:v>2.5888</c:v>
                </c:pt>
                <c:pt idx="203">
                  <c:v>0.23</c:v>
                </c:pt>
                <c:pt idx="204">
                  <c:v>2.9960000000000004</c:v>
                </c:pt>
                <c:pt idx="205">
                  <c:v>0.73967213114754105</c:v>
                </c:pt>
                <c:pt idx="206">
                  <c:v>0.65</c:v>
                </c:pt>
                <c:pt idx="207">
                  <c:v>0.65</c:v>
                </c:pt>
                <c:pt idx="208">
                  <c:v>0.18</c:v>
                </c:pt>
                <c:pt idx="209">
                  <c:v>5.8</c:v>
                </c:pt>
                <c:pt idx="210">
                  <c:v>2.4</c:v>
                </c:pt>
                <c:pt idx="211">
                  <c:v>1.5</c:v>
                </c:pt>
                <c:pt idx="212">
                  <c:v>1.1000000000000001</c:v>
                </c:pt>
                <c:pt idx="213">
                  <c:v>1.1000000000000001</c:v>
                </c:pt>
                <c:pt idx="214">
                  <c:v>1.3929896907216497</c:v>
                </c:pt>
                <c:pt idx="215">
                  <c:v>1.52</c:v>
                </c:pt>
                <c:pt idx="216">
                  <c:v>10.491428571428571</c:v>
                </c:pt>
                <c:pt idx="217">
                  <c:v>10.491428571428571</c:v>
                </c:pt>
                <c:pt idx="218">
                  <c:v>0.79090909090909089</c:v>
                </c:pt>
                <c:pt idx="219">
                  <c:v>1.4017021276595745</c:v>
                </c:pt>
                <c:pt idx="220">
                  <c:v>0.13</c:v>
                </c:pt>
                <c:pt idx="221">
                  <c:v>0.31799999999999995</c:v>
                </c:pt>
                <c:pt idx="222">
                  <c:v>0.31799999999999995</c:v>
                </c:pt>
                <c:pt idx="223">
                  <c:v>0.77</c:v>
                </c:pt>
                <c:pt idx="224">
                  <c:v>0.61</c:v>
                </c:pt>
                <c:pt idx="225">
                  <c:v>0.11</c:v>
                </c:pt>
                <c:pt idx="226">
                  <c:v>2.0460000000000003</c:v>
                </c:pt>
                <c:pt idx="227">
                  <c:v>0.76</c:v>
                </c:pt>
                <c:pt idx="228">
                  <c:v>0.45</c:v>
                </c:pt>
                <c:pt idx="229">
                  <c:v>0.45</c:v>
                </c:pt>
                <c:pt idx="230">
                  <c:v>0.45</c:v>
                </c:pt>
                <c:pt idx="231">
                  <c:v>0.36</c:v>
                </c:pt>
                <c:pt idx="232">
                  <c:v>0.18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CE-46E6-B008-5296448EE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802767"/>
        <c:axId val="279807343"/>
      </c:scatterChart>
      <c:valAx>
        <c:axId val="279802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9807343"/>
        <c:crosses val="autoZero"/>
        <c:crossBetween val="midCat"/>
      </c:valAx>
      <c:valAx>
        <c:axId val="2798073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98027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Analysis!$CF$2</c:f>
              <c:strCache>
                <c:ptCount val="1"/>
                <c:pt idx="0">
                  <c:v>HRT=4h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Analysis!$CE$3:$CE$69</c:f>
              <c:numCache>
                <c:formatCode>General</c:formatCode>
                <c:ptCount val="67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15</c:v>
                </c:pt>
                <c:pt idx="17">
                  <c:v>15.75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20.5</c:v>
                </c:pt>
                <c:pt idx="26">
                  <c:v>21</c:v>
                </c:pt>
                <c:pt idx="27">
                  <c:v>21</c:v>
                </c:pt>
                <c:pt idx="28">
                  <c:v>23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26</c:v>
                </c:pt>
                <c:pt idx="36">
                  <c:v>26</c:v>
                </c:pt>
                <c:pt idx="37">
                  <c:v>26</c:v>
                </c:pt>
                <c:pt idx="38">
                  <c:v>26.5</c:v>
                </c:pt>
                <c:pt idx="39">
                  <c:v>26.5</c:v>
                </c:pt>
                <c:pt idx="40">
                  <c:v>27</c:v>
                </c:pt>
                <c:pt idx="41">
                  <c:v>27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28</c:v>
                </c:pt>
                <c:pt idx="46">
                  <c:v>28.5</c:v>
                </c:pt>
                <c:pt idx="47">
                  <c:v>7.1</c:v>
                </c:pt>
                <c:pt idx="48">
                  <c:v>10.3</c:v>
                </c:pt>
                <c:pt idx="49">
                  <c:v>13</c:v>
                </c:pt>
                <c:pt idx="50">
                  <c:v>13</c:v>
                </c:pt>
                <c:pt idx="51">
                  <c:v>15</c:v>
                </c:pt>
                <c:pt idx="52">
                  <c:v>15</c:v>
                </c:pt>
                <c:pt idx="53">
                  <c:v>19</c:v>
                </c:pt>
                <c:pt idx="54">
                  <c:v>19.149999999999999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25</c:v>
                </c:pt>
                <c:pt idx="60">
                  <c:v>25.5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  <c:pt idx="64">
                  <c:v>28</c:v>
                </c:pt>
                <c:pt idx="65">
                  <c:v>28</c:v>
                </c:pt>
                <c:pt idx="66">
                  <c:v>28.5</c:v>
                </c:pt>
              </c:numCache>
            </c:numRef>
          </c:xVal>
          <c:yVal>
            <c:numRef>
              <c:f>Analysis!$CF$3:$CF$69</c:f>
              <c:numCache>
                <c:formatCode>General</c:formatCode>
                <c:ptCount val="67"/>
                <c:pt idx="0">
                  <c:v>60.141509433962256</c:v>
                </c:pt>
                <c:pt idx="1">
                  <c:v>15</c:v>
                </c:pt>
                <c:pt idx="2">
                  <c:v>65.024630541871915</c:v>
                </c:pt>
                <c:pt idx="3">
                  <c:v>74</c:v>
                </c:pt>
                <c:pt idx="4">
                  <c:v>53.619302949061662</c:v>
                </c:pt>
                <c:pt idx="5">
                  <c:v>64.583333333333343</c:v>
                </c:pt>
                <c:pt idx="6">
                  <c:v>66.723549488054616</c:v>
                </c:pt>
                <c:pt idx="7">
                  <c:v>68.600682593856661</c:v>
                </c:pt>
                <c:pt idx="8">
                  <c:v>52.336448598130836</c:v>
                </c:pt>
                <c:pt idx="9">
                  <c:v>53</c:v>
                </c:pt>
                <c:pt idx="10">
                  <c:v>61</c:v>
                </c:pt>
                <c:pt idx="11">
                  <c:v>73</c:v>
                </c:pt>
                <c:pt idx="12">
                  <c:v>45.97402597402597</c:v>
                </c:pt>
                <c:pt idx="13">
                  <c:v>67</c:v>
                </c:pt>
                <c:pt idx="14">
                  <c:v>83.5</c:v>
                </c:pt>
                <c:pt idx="15">
                  <c:v>65.102639296187675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0A-4067-A3C2-E4EB2CB1C1D6}"/>
            </c:ext>
          </c:extLst>
        </c:ser>
        <c:ser>
          <c:idx val="1"/>
          <c:order val="1"/>
          <c:tx>
            <c:strRef>
              <c:f>Analysis!$CG$2</c:f>
              <c:strCache>
                <c:ptCount val="1"/>
                <c:pt idx="0">
                  <c:v>HRT=6h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Analysis!$CE$3:$CE$69</c:f>
              <c:numCache>
                <c:formatCode>General</c:formatCode>
                <c:ptCount val="67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15</c:v>
                </c:pt>
                <c:pt idx="17">
                  <c:v>15.75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20.5</c:v>
                </c:pt>
                <c:pt idx="26">
                  <c:v>21</c:v>
                </c:pt>
                <c:pt idx="27">
                  <c:v>21</c:v>
                </c:pt>
                <c:pt idx="28">
                  <c:v>23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26</c:v>
                </c:pt>
                <c:pt idx="36">
                  <c:v>26</c:v>
                </c:pt>
                <c:pt idx="37">
                  <c:v>26</c:v>
                </c:pt>
                <c:pt idx="38">
                  <c:v>26.5</c:v>
                </c:pt>
                <c:pt idx="39">
                  <c:v>26.5</c:v>
                </c:pt>
                <c:pt idx="40">
                  <c:v>27</c:v>
                </c:pt>
                <c:pt idx="41">
                  <c:v>27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28</c:v>
                </c:pt>
                <c:pt idx="46">
                  <c:v>28.5</c:v>
                </c:pt>
                <c:pt idx="47">
                  <c:v>7.1</c:v>
                </c:pt>
                <c:pt idx="48">
                  <c:v>10.3</c:v>
                </c:pt>
                <c:pt idx="49">
                  <c:v>13</c:v>
                </c:pt>
                <c:pt idx="50">
                  <c:v>13</c:v>
                </c:pt>
                <c:pt idx="51">
                  <c:v>15</c:v>
                </c:pt>
                <c:pt idx="52">
                  <c:v>15</c:v>
                </c:pt>
                <c:pt idx="53">
                  <c:v>19</c:v>
                </c:pt>
                <c:pt idx="54">
                  <c:v>19.149999999999999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25</c:v>
                </c:pt>
                <c:pt idx="60">
                  <c:v>25.5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  <c:pt idx="64">
                  <c:v>28</c:v>
                </c:pt>
                <c:pt idx="65">
                  <c:v>28</c:v>
                </c:pt>
                <c:pt idx="66">
                  <c:v>28.5</c:v>
                </c:pt>
              </c:numCache>
            </c:numRef>
          </c:xVal>
          <c:yVal>
            <c:numRef>
              <c:f>Analysis!$CG$3:$CG$69</c:f>
              <c:numCache>
                <c:formatCode>General</c:formatCode>
                <c:ptCount val="67"/>
                <c:pt idx="16">
                  <c:v>45.908460471567267</c:v>
                </c:pt>
                <c:pt idx="17">
                  <c:v>70.493685419058551</c:v>
                </c:pt>
                <c:pt idx="18">
                  <c:v>38.356164383561641</c:v>
                </c:pt>
                <c:pt idx="19">
                  <c:v>61</c:v>
                </c:pt>
                <c:pt idx="20">
                  <c:v>70</c:v>
                </c:pt>
                <c:pt idx="21">
                  <c:v>70</c:v>
                </c:pt>
                <c:pt idx="22">
                  <c:v>70</c:v>
                </c:pt>
                <c:pt idx="23">
                  <c:v>75</c:v>
                </c:pt>
                <c:pt idx="24">
                  <c:v>75</c:v>
                </c:pt>
                <c:pt idx="25">
                  <c:v>62.2</c:v>
                </c:pt>
                <c:pt idx="26">
                  <c:v>31</c:v>
                </c:pt>
                <c:pt idx="27">
                  <c:v>71</c:v>
                </c:pt>
                <c:pt idx="28">
                  <c:v>63</c:v>
                </c:pt>
                <c:pt idx="29">
                  <c:v>55.227882037533519</c:v>
                </c:pt>
                <c:pt idx="30">
                  <c:v>58</c:v>
                </c:pt>
                <c:pt idx="31">
                  <c:v>68.383658969804614</c:v>
                </c:pt>
                <c:pt idx="32">
                  <c:v>69.982238010657198</c:v>
                </c:pt>
                <c:pt idx="33">
                  <c:v>71.633237822349571</c:v>
                </c:pt>
                <c:pt idx="34">
                  <c:v>73.53463587921847</c:v>
                </c:pt>
                <c:pt idx="35">
                  <c:v>47</c:v>
                </c:pt>
                <c:pt idx="36">
                  <c:v>47</c:v>
                </c:pt>
                <c:pt idx="37">
                  <c:v>62</c:v>
                </c:pt>
                <c:pt idx="38">
                  <c:v>70</c:v>
                </c:pt>
                <c:pt idx="39">
                  <c:v>82</c:v>
                </c:pt>
                <c:pt idx="40">
                  <c:v>53.260869565217398</c:v>
                </c:pt>
                <c:pt idx="41">
                  <c:v>54.358974358974358</c:v>
                </c:pt>
                <c:pt idx="42">
                  <c:v>57.965686274509807</c:v>
                </c:pt>
                <c:pt idx="43">
                  <c:v>61.621621621621628</c:v>
                </c:pt>
                <c:pt idx="44">
                  <c:v>65.100671140939596</c:v>
                </c:pt>
                <c:pt idx="45">
                  <c:v>79.839786381842458</c:v>
                </c:pt>
                <c:pt idx="46">
                  <c:v>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0A-4067-A3C2-E4EB2CB1C1D6}"/>
            </c:ext>
          </c:extLst>
        </c:ser>
        <c:ser>
          <c:idx val="2"/>
          <c:order val="2"/>
          <c:tx>
            <c:strRef>
              <c:f>Analysis!$CH$2</c:f>
              <c:strCache>
                <c:ptCount val="1"/>
                <c:pt idx="0">
                  <c:v>HRT=8h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Analysis!$CE$3:$CE$69</c:f>
              <c:numCache>
                <c:formatCode>General</c:formatCode>
                <c:ptCount val="67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15</c:v>
                </c:pt>
                <c:pt idx="17">
                  <c:v>15.75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20.5</c:v>
                </c:pt>
                <c:pt idx="26">
                  <c:v>21</c:v>
                </c:pt>
                <c:pt idx="27">
                  <c:v>21</c:v>
                </c:pt>
                <c:pt idx="28">
                  <c:v>23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26</c:v>
                </c:pt>
                <c:pt idx="36">
                  <c:v>26</c:v>
                </c:pt>
                <c:pt idx="37">
                  <c:v>26</c:v>
                </c:pt>
                <c:pt idx="38">
                  <c:v>26.5</c:v>
                </c:pt>
                <c:pt idx="39">
                  <c:v>26.5</c:v>
                </c:pt>
                <c:pt idx="40">
                  <c:v>27</c:v>
                </c:pt>
                <c:pt idx="41">
                  <c:v>27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28</c:v>
                </c:pt>
                <c:pt idx="46">
                  <c:v>28.5</c:v>
                </c:pt>
                <c:pt idx="47">
                  <c:v>7.1</c:v>
                </c:pt>
                <c:pt idx="48">
                  <c:v>10.3</c:v>
                </c:pt>
                <c:pt idx="49">
                  <c:v>13</c:v>
                </c:pt>
                <c:pt idx="50">
                  <c:v>13</c:v>
                </c:pt>
                <c:pt idx="51">
                  <c:v>15</c:v>
                </c:pt>
                <c:pt idx="52">
                  <c:v>15</c:v>
                </c:pt>
                <c:pt idx="53">
                  <c:v>19</c:v>
                </c:pt>
                <c:pt idx="54">
                  <c:v>19.149999999999999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25</c:v>
                </c:pt>
                <c:pt idx="60">
                  <c:v>25.5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  <c:pt idx="64">
                  <c:v>28</c:v>
                </c:pt>
                <c:pt idx="65">
                  <c:v>28</c:v>
                </c:pt>
                <c:pt idx="66">
                  <c:v>28.5</c:v>
                </c:pt>
              </c:numCache>
            </c:numRef>
          </c:xVal>
          <c:yVal>
            <c:numRef>
              <c:f>Analysis!$CH$3:$CH$69</c:f>
              <c:numCache>
                <c:formatCode>General</c:formatCode>
                <c:ptCount val="67"/>
                <c:pt idx="47">
                  <c:v>33.14037626628074</c:v>
                </c:pt>
                <c:pt idx="48">
                  <c:v>35.311143270622274</c:v>
                </c:pt>
                <c:pt idx="49">
                  <c:v>48.113207547169814</c:v>
                </c:pt>
                <c:pt idx="50">
                  <c:v>59</c:v>
                </c:pt>
                <c:pt idx="51">
                  <c:v>61</c:v>
                </c:pt>
                <c:pt idx="52">
                  <c:v>70</c:v>
                </c:pt>
                <c:pt idx="53">
                  <c:v>65</c:v>
                </c:pt>
                <c:pt idx="54">
                  <c:v>66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72</c:v>
                </c:pt>
                <c:pt idx="60">
                  <c:v>65.938864628820966</c:v>
                </c:pt>
                <c:pt idx="61">
                  <c:v>61</c:v>
                </c:pt>
                <c:pt idx="62">
                  <c:v>65</c:v>
                </c:pt>
                <c:pt idx="63">
                  <c:v>81</c:v>
                </c:pt>
                <c:pt idx="64">
                  <c:v>72</c:v>
                </c:pt>
                <c:pt idx="65">
                  <c:v>84</c:v>
                </c:pt>
                <c:pt idx="66">
                  <c:v>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0A-4067-A3C2-E4EB2CB1C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1121119"/>
        <c:axId val="431125279"/>
      </c:scatterChart>
      <c:valAx>
        <c:axId val="431121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1125279"/>
        <c:crosses val="autoZero"/>
        <c:crossBetween val="midCat"/>
      </c:valAx>
      <c:valAx>
        <c:axId val="4311252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11211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3519613423961575E-2"/>
          <c:y val="0.93525032289717835"/>
          <c:w val="0.89999997228607198"/>
          <c:h val="4.22281530872517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'Analysis New'!$AL$4</c:f>
              <c:strCache>
                <c:ptCount val="1"/>
                <c:pt idx="0">
                  <c:v>HRT=4h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'Analysis New'!$AK$5:$AK$89</c:f>
              <c:numCache>
                <c:formatCode>General</c:formatCode>
                <c:ptCount val="85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7.1</c:v>
                </c:pt>
                <c:pt idx="17">
                  <c:v>10.3</c:v>
                </c:pt>
                <c:pt idx="18">
                  <c:v>13</c:v>
                </c:pt>
                <c:pt idx="19">
                  <c:v>13</c:v>
                </c:pt>
                <c:pt idx="20">
                  <c:v>15</c:v>
                </c:pt>
                <c:pt idx="21">
                  <c:v>15</c:v>
                </c:pt>
                <c:pt idx="22">
                  <c:v>19</c:v>
                </c:pt>
                <c:pt idx="23">
                  <c:v>19.149999999999999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25</c:v>
                </c:pt>
                <c:pt idx="29">
                  <c:v>25.5</c:v>
                </c:pt>
                <c:pt idx="30">
                  <c:v>26</c:v>
                </c:pt>
                <c:pt idx="31">
                  <c:v>26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28.5</c:v>
                </c:pt>
                <c:pt idx="36">
                  <c:v>22.7</c:v>
                </c:pt>
                <c:pt idx="37">
                  <c:v>15</c:v>
                </c:pt>
                <c:pt idx="38">
                  <c:v>15.75</c:v>
                </c:pt>
                <c:pt idx="39">
                  <c:v>19</c:v>
                </c:pt>
                <c:pt idx="40">
                  <c:v>19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20.5</c:v>
                </c:pt>
                <c:pt idx="47">
                  <c:v>21</c:v>
                </c:pt>
                <c:pt idx="48">
                  <c:v>21</c:v>
                </c:pt>
                <c:pt idx="49">
                  <c:v>22.5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26.5</c:v>
                </c:pt>
                <c:pt idx="60">
                  <c:v>26.5</c:v>
                </c:pt>
                <c:pt idx="61">
                  <c:v>27</c:v>
                </c:pt>
                <c:pt idx="62">
                  <c:v>27</c:v>
                </c:pt>
                <c:pt idx="63">
                  <c:v>27</c:v>
                </c:pt>
                <c:pt idx="64">
                  <c:v>27</c:v>
                </c:pt>
                <c:pt idx="65">
                  <c:v>27</c:v>
                </c:pt>
                <c:pt idx="66">
                  <c:v>28</c:v>
                </c:pt>
                <c:pt idx="67">
                  <c:v>28.5</c:v>
                </c:pt>
                <c:pt idx="68">
                  <c:v>19</c:v>
                </c:pt>
                <c:pt idx="69">
                  <c:v>16.399999999999999</c:v>
                </c:pt>
                <c:pt idx="70">
                  <c:v>23</c:v>
                </c:pt>
                <c:pt idx="71">
                  <c:v>15</c:v>
                </c:pt>
                <c:pt idx="72">
                  <c:v>15</c:v>
                </c:pt>
                <c:pt idx="73">
                  <c:v>16.399999999999999</c:v>
                </c:pt>
                <c:pt idx="74">
                  <c:v>19</c:v>
                </c:pt>
                <c:pt idx="75">
                  <c:v>23</c:v>
                </c:pt>
                <c:pt idx="76">
                  <c:v>25</c:v>
                </c:pt>
                <c:pt idx="77">
                  <c:v>26</c:v>
                </c:pt>
                <c:pt idx="78">
                  <c:v>32</c:v>
                </c:pt>
                <c:pt idx="79">
                  <c:v>32</c:v>
                </c:pt>
                <c:pt idx="80">
                  <c:v>18</c:v>
                </c:pt>
                <c:pt idx="81">
                  <c:v>20</c:v>
                </c:pt>
                <c:pt idx="82">
                  <c:v>22</c:v>
                </c:pt>
                <c:pt idx="83">
                  <c:v>25</c:v>
                </c:pt>
                <c:pt idx="84">
                  <c:v>28.1</c:v>
                </c:pt>
              </c:numCache>
            </c:numRef>
          </c:xVal>
          <c:yVal>
            <c:numRef>
              <c:f>'Analysis New'!$AL$5:$AL$89</c:f>
              <c:numCache>
                <c:formatCode>General</c:formatCode>
                <c:ptCount val="85"/>
                <c:pt idx="0">
                  <c:v>60.141509433962256</c:v>
                </c:pt>
                <c:pt idx="1">
                  <c:v>15</c:v>
                </c:pt>
                <c:pt idx="2">
                  <c:v>65.024630541871915</c:v>
                </c:pt>
                <c:pt idx="3">
                  <c:v>74</c:v>
                </c:pt>
                <c:pt idx="4">
                  <c:v>53.619302949061662</c:v>
                </c:pt>
                <c:pt idx="5">
                  <c:v>66.723549488054616</c:v>
                </c:pt>
                <c:pt idx="6">
                  <c:v>68.600682593856661</c:v>
                </c:pt>
                <c:pt idx="7">
                  <c:v>64.583333333333343</c:v>
                </c:pt>
                <c:pt idx="8">
                  <c:v>53</c:v>
                </c:pt>
                <c:pt idx="9">
                  <c:v>61</c:v>
                </c:pt>
                <c:pt idx="10">
                  <c:v>73</c:v>
                </c:pt>
                <c:pt idx="11">
                  <c:v>52.336448598130836</c:v>
                </c:pt>
                <c:pt idx="12">
                  <c:v>45.97402597402597</c:v>
                </c:pt>
                <c:pt idx="13">
                  <c:v>67</c:v>
                </c:pt>
                <c:pt idx="14">
                  <c:v>83.5</c:v>
                </c:pt>
                <c:pt idx="15">
                  <c:v>65.102639296187675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B6-41C9-858A-CFDACC4F1D6B}"/>
            </c:ext>
          </c:extLst>
        </c:ser>
        <c:ser>
          <c:idx val="1"/>
          <c:order val="1"/>
          <c:tx>
            <c:strRef>
              <c:f>'Analysis New'!$AM$4</c:f>
              <c:strCache>
                <c:ptCount val="1"/>
                <c:pt idx="0">
                  <c:v>HRT=6h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'Analysis New'!$AK$5:$AK$89</c:f>
              <c:numCache>
                <c:formatCode>General</c:formatCode>
                <c:ptCount val="85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7.1</c:v>
                </c:pt>
                <c:pt idx="17">
                  <c:v>10.3</c:v>
                </c:pt>
                <c:pt idx="18">
                  <c:v>13</c:v>
                </c:pt>
                <c:pt idx="19">
                  <c:v>13</c:v>
                </c:pt>
                <c:pt idx="20">
                  <c:v>15</c:v>
                </c:pt>
                <c:pt idx="21">
                  <c:v>15</c:v>
                </c:pt>
                <c:pt idx="22">
                  <c:v>19</c:v>
                </c:pt>
                <c:pt idx="23">
                  <c:v>19.149999999999999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25</c:v>
                </c:pt>
                <c:pt idx="29">
                  <c:v>25.5</c:v>
                </c:pt>
                <c:pt idx="30">
                  <c:v>26</c:v>
                </c:pt>
                <c:pt idx="31">
                  <c:v>26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28.5</c:v>
                </c:pt>
                <c:pt idx="36">
                  <c:v>22.7</c:v>
                </c:pt>
                <c:pt idx="37">
                  <c:v>15</c:v>
                </c:pt>
                <c:pt idx="38">
                  <c:v>15.75</c:v>
                </c:pt>
                <c:pt idx="39">
                  <c:v>19</c:v>
                </c:pt>
                <c:pt idx="40">
                  <c:v>19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20.5</c:v>
                </c:pt>
                <c:pt idx="47">
                  <c:v>21</c:v>
                </c:pt>
                <c:pt idx="48">
                  <c:v>21</c:v>
                </c:pt>
                <c:pt idx="49">
                  <c:v>22.5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26.5</c:v>
                </c:pt>
                <c:pt idx="60">
                  <c:v>26.5</c:v>
                </c:pt>
                <c:pt idx="61">
                  <c:v>27</c:v>
                </c:pt>
                <c:pt idx="62">
                  <c:v>27</c:v>
                </c:pt>
                <c:pt idx="63">
                  <c:v>27</c:v>
                </c:pt>
                <c:pt idx="64">
                  <c:v>27</c:v>
                </c:pt>
                <c:pt idx="65">
                  <c:v>27</c:v>
                </c:pt>
                <c:pt idx="66">
                  <c:v>28</c:v>
                </c:pt>
                <c:pt idx="67">
                  <c:v>28.5</c:v>
                </c:pt>
                <c:pt idx="68">
                  <c:v>19</c:v>
                </c:pt>
                <c:pt idx="69">
                  <c:v>16.399999999999999</c:v>
                </c:pt>
                <c:pt idx="70">
                  <c:v>23</c:v>
                </c:pt>
                <c:pt idx="71">
                  <c:v>15</c:v>
                </c:pt>
                <c:pt idx="72">
                  <c:v>15</c:v>
                </c:pt>
                <c:pt idx="73">
                  <c:v>16.399999999999999</c:v>
                </c:pt>
                <c:pt idx="74">
                  <c:v>19</c:v>
                </c:pt>
                <c:pt idx="75">
                  <c:v>23</c:v>
                </c:pt>
                <c:pt idx="76">
                  <c:v>25</c:v>
                </c:pt>
                <c:pt idx="77">
                  <c:v>26</c:v>
                </c:pt>
                <c:pt idx="78">
                  <c:v>32</c:v>
                </c:pt>
                <c:pt idx="79">
                  <c:v>32</c:v>
                </c:pt>
                <c:pt idx="80">
                  <c:v>18</c:v>
                </c:pt>
                <c:pt idx="81">
                  <c:v>20</c:v>
                </c:pt>
                <c:pt idx="82">
                  <c:v>22</c:v>
                </c:pt>
                <c:pt idx="83">
                  <c:v>25</c:v>
                </c:pt>
                <c:pt idx="84">
                  <c:v>28.1</c:v>
                </c:pt>
              </c:numCache>
            </c:numRef>
          </c:xVal>
          <c:yVal>
            <c:numRef>
              <c:f>'Analysis New'!$AM$5:$AM$89</c:f>
              <c:numCache>
                <c:formatCode>General</c:formatCode>
                <c:ptCount val="85"/>
                <c:pt idx="37">
                  <c:v>45.908460471567267</c:v>
                </c:pt>
                <c:pt idx="38">
                  <c:v>70.493685419058551</c:v>
                </c:pt>
                <c:pt idx="39">
                  <c:v>61</c:v>
                </c:pt>
                <c:pt idx="40">
                  <c:v>38.356164383561641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75</c:v>
                </c:pt>
                <c:pt idx="45">
                  <c:v>75</c:v>
                </c:pt>
                <c:pt idx="46">
                  <c:v>62.2</c:v>
                </c:pt>
                <c:pt idx="47">
                  <c:v>31</c:v>
                </c:pt>
                <c:pt idx="48">
                  <c:v>71</c:v>
                </c:pt>
                <c:pt idx="49">
                  <c:v>63</c:v>
                </c:pt>
                <c:pt idx="50">
                  <c:v>55.227882037533519</c:v>
                </c:pt>
                <c:pt idx="51">
                  <c:v>58</c:v>
                </c:pt>
                <c:pt idx="52">
                  <c:v>68.383658969804614</c:v>
                </c:pt>
                <c:pt idx="53">
                  <c:v>69.982238010657198</c:v>
                </c:pt>
                <c:pt idx="54">
                  <c:v>73.53463587921847</c:v>
                </c:pt>
                <c:pt idx="55">
                  <c:v>71.633237822349571</c:v>
                </c:pt>
                <c:pt idx="56">
                  <c:v>47</c:v>
                </c:pt>
                <c:pt idx="57">
                  <c:v>47</c:v>
                </c:pt>
                <c:pt idx="58">
                  <c:v>62</c:v>
                </c:pt>
                <c:pt idx="59">
                  <c:v>70</c:v>
                </c:pt>
                <c:pt idx="60">
                  <c:v>82</c:v>
                </c:pt>
                <c:pt idx="61">
                  <c:v>53.260869565217398</c:v>
                </c:pt>
                <c:pt idx="62">
                  <c:v>54.358974358974358</c:v>
                </c:pt>
                <c:pt idx="63">
                  <c:v>65.100671140939596</c:v>
                </c:pt>
                <c:pt idx="64">
                  <c:v>61.621621621621628</c:v>
                </c:pt>
                <c:pt idx="65">
                  <c:v>57.965686274509807</c:v>
                </c:pt>
                <c:pt idx="66">
                  <c:v>79.839786381842458</c:v>
                </c:pt>
                <c:pt idx="67">
                  <c:v>64</c:v>
                </c:pt>
                <c:pt idx="68">
                  <c:v>51.530035335689043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B6-41C9-858A-CFDACC4F1D6B}"/>
            </c:ext>
          </c:extLst>
        </c:ser>
        <c:ser>
          <c:idx val="2"/>
          <c:order val="2"/>
          <c:tx>
            <c:strRef>
              <c:f>'Analysis New'!$AN$4</c:f>
              <c:strCache>
                <c:ptCount val="1"/>
                <c:pt idx="0">
                  <c:v>HRT=8h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'Analysis New'!$AK$5:$AK$89</c:f>
              <c:numCache>
                <c:formatCode>General</c:formatCode>
                <c:ptCount val="85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7.1</c:v>
                </c:pt>
                <c:pt idx="17">
                  <c:v>10.3</c:v>
                </c:pt>
                <c:pt idx="18">
                  <c:v>13</c:v>
                </c:pt>
                <c:pt idx="19">
                  <c:v>13</c:v>
                </c:pt>
                <c:pt idx="20">
                  <c:v>15</c:v>
                </c:pt>
                <c:pt idx="21">
                  <c:v>15</c:v>
                </c:pt>
                <c:pt idx="22">
                  <c:v>19</c:v>
                </c:pt>
                <c:pt idx="23">
                  <c:v>19.149999999999999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25</c:v>
                </c:pt>
                <c:pt idx="29">
                  <c:v>25.5</c:v>
                </c:pt>
                <c:pt idx="30">
                  <c:v>26</c:v>
                </c:pt>
                <c:pt idx="31">
                  <c:v>26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28.5</c:v>
                </c:pt>
                <c:pt idx="36">
                  <c:v>22.7</c:v>
                </c:pt>
                <c:pt idx="37">
                  <c:v>15</c:v>
                </c:pt>
                <c:pt idx="38">
                  <c:v>15.75</c:v>
                </c:pt>
                <c:pt idx="39">
                  <c:v>19</c:v>
                </c:pt>
                <c:pt idx="40">
                  <c:v>19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20.5</c:v>
                </c:pt>
                <c:pt idx="47">
                  <c:v>21</c:v>
                </c:pt>
                <c:pt idx="48">
                  <c:v>21</c:v>
                </c:pt>
                <c:pt idx="49">
                  <c:v>22.5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26.5</c:v>
                </c:pt>
                <c:pt idx="60">
                  <c:v>26.5</c:v>
                </c:pt>
                <c:pt idx="61">
                  <c:v>27</c:v>
                </c:pt>
                <c:pt idx="62">
                  <c:v>27</c:v>
                </c:pt>
                <c:pt idx="63">
                  <c:v>27</c:v>
                </c:pt>
                <c:pt idx="64">
                  <c:v>27</c:v>
                </c:pt>
                <c:pt idx="65">
                  <c:v>27</c:v>
                </c:pt>
                <c:pt idx="66">
                  <c:v>28</c:v>
                </c:pt>
                <c:pt idx="67">
                  <c:v>28.5</c:v>
                </c:pt>
                <c:pt idx="68">
                  <c:v>19</c:v>
                </c:pt>
                <c:pt idx="69">
                  <c:v>16.399999999999999</c:v>
                </c:pt>
                <c:pt idx="70">
                  <c:v>23</c:v>
                </c:pt>
                <c:pt idx="71">
                  <c:v>15</c:v>
                </c:pt>
                <c:pt idx="72">
                  <c:v>15</c:v>
                </c:pt>
                <c:pt idx="73">
                  <c:v>16.399999999999999</c:v>
                </c:pt>
                <c:pt idx="74">
                  <c:v>19</c:v>
                </c:pt>
                <c:pt idx="75">
                  <c:v>23</c:v>
                </c:pt>
                <c:pt idx="76">
                  <c:v>25</c:v>
                </c:pt>
                <c:pt idx="77">
                  <c:v>26</c:v>
                </c:pt>
                <c:pt idx="78">
                  <c:v>32</c:v>
                </c:pt>
                <c:pt idx="79">
                  <c:v>32</c:v>
                </c:pt>
                <c:pt idx="80">
                  <c:v>18</c:v>
                </c:pt>
                <c:pt idx="81">
                  <c:v>20</c:v>
                </c:pt>
                <c:pt idx="82">
                  <c:v>22</c:v>
                </c:pt>
                <c:pt idx="83">
                  <c:v>25</c:v>
                </c:pt>
                <c:pt idx="84">
                  <c:v>28.1</c:v>
                </c:pt>
              </c:numCache>
            </c:numRef>
          </c:xVal>
          <c:yVal>
            <c:numRef>
              <c:f>'Analysis New'!$AN$5:$AN$89</c:f>
              <c:numCache>
                <c:formatCode>General</c:formatCode>
                <c:ptCount val="85"/>
                <c:pt idx="16">
                  <c:v>33.14037626628074</c:v>
                </c:pt>
                <c:pt idx="17">
                  <c:v>35.311143270622274</c:v>
                </c:pt>
                <c:pt idx="18">
                  <c:v>59</c:v>
                </c:pt>
                <c:pt idx="19">
                  <c:v>48.113207547169814</c:v>
                </c:pt>
                <c:pt idx="20">
                  <c:v>70</c:v>
                </c:pt>
                <c:pt idx="21">
                  <c:v>61</c:v>
                </c:pt>
                <c:pt idx="22">
                  <c:v>65</c:v>
                </c:pt>
                <c:pt idx="23">
                  <c:v>66</c:v>
                </c:pt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28">
                  <c:v>72</c:v>
                </c:pt>
                <c:pt idx="29">
                  <c:v>65.938864628820966</c:v>
                </c:pt>
                <c:pt idx="30">
                  <c:v>61</c:v>
                </c:pt>
                <c:pt idx="31">
                  <c:v>65</c:v>
                </c:pt>
                <c:pt idx="32">
                  <c:v>81</c:v>
                </c:pt>
                <c:pt idx="33">
                  <c:v>72</c:v>
                </c:pt>
                <c:pt idx="34">
                  <c:v>84</c:v>
                </c:pt>
                <c:pt idx="35">
                  <c:v>69</c:v>
                </c:pt>
                <c:pt idx="36">
                  <c:v>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4B6-41C9-858A-CFDACC4F1D6B}"/>
            </c:ext>
          </c:extLst>
        </c:ser>
        <c:ser>
          <c:idx val="3"/>
          <c:order val="3"/>
          <c:tx>
            <c:strRef>
              <c:f>'Analysis New'!$AO$4</c:f>
              <c:strCache>
                <c:ptCount val="1"/>
                <c:pt idx="0">
                  <c:v>HRT=24h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'Analysis New'!$AK$5:$AK$89</c:f>
              <c:numCache>
                <c:formatCode>General</c:formatCode>
                <c:ptCount val="85"/>
                <c:pt idx="0">
                  <c:v>20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35</c:v>
                </c:pt>
                <c:pt idx="16">
                  <c:v>7.1</c:v>
                </c:pt>
                <c:pt idx="17">
                  <c:v>10.3</c:v>
                </c:pt>
                <c:pt idx="18">
                  <c:v>13</c:v>
                </c:pt>
                <c:pt idx="19">
                  <c:v>13</c:v>
                </c:pt>
                <c:pt idx="20">
                  <c:v>15</c:v>
                </c:pt>
                <c:pt idx="21">
                  <c:v>15</c:v>
                </c:pt>
                <c:pt idx="22">
                  <c:v>19</c:v>
                </c:pt>
                <c:pt idx="23">
                  <c:v>19.149999999999999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25</c:v>
                </c:pt>
                <c:pt idx="29">
                  <c:v>25.5</c:v>
                </c:pt>
                <c:pt idx="30">
                  <c:v>26</c:v>
                </c:pt>
                <c:pt idx="31">
                  <c:v>26</c:v>
                </c:pt>
                <c:pt idx="32">
                  <c:v>26</c:v>
                </c:pt>
                <c:pt idx="33">
                  <c:v>28</c:v>
                </c:pt>
                <c:pt idx="34">
                  <c:v>28</c:v>
                </c:pt>
                <c:pt idx="35">
                  <c:v>28.5</c:v>
                </c:pt>
                <c:pt idx="36">
                  <c:v>22.7</c:v>
                </c:pt>
                <c:pt idx="37">
                  <c:v>15</c:v>
                </c:pt>
                <c:pt idx="38">
                  <c:v>15.75</c:v>
                </c:pt>
                <c:pt idx="39">
                  <c:v>19</c:v>
                </c:pt>
                <c:pt idx="40">
                  <c:v>19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20.5</c:v>
                </c:pt>
                <c:pt idx="47">
                  <c:v>21</c:v>
                </c:pt>
                <c:pt idx="48">
                  <c:v>21</c:v>
                </c:pt>
                <c:pt idx="49">
                  <c:v>22.5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26.5</c:v>
                </c:pt>
                <c:pt idx="60">
                  <c:v>26.5</c:v>
                </c:pt>
                <c:pt idx="61">
                  <c:v>27</c:v>
                </c:pt>
                <c:pt idx="62">
                  <c:v>27</c:v>
                </c:pt>
                <c:pt idx="63">
                  <c:v>27</c:v>
                </c:pt>
                <c:pt idx="64">
                  <c:v>27</c:v>
                </c:pt>
                <c:pt idx="65">
                  <c:v>27</c:v>
                </c:pt>
                <c:pt idx="66">
                  <c:v>28</c:v>
                </c:pt>
                <c:pt idx="67">
                  <c:v>28.5</c:v>
                </c:pt>
                <c:pt idx="68">
                  <c:v>19</c:v>
                </c:pt>
                <c:pt idx="69">
                  <c:v>16.399999999999999</c:v>
                </c:pt>
                <c:pt idx="70">
                  <c:v>23</c:v>
                </c:pt>
                <c:pt idx="71">
                  <c:v>15</c:v>
                </c:pt>
                <c:pt idx="72">
                  <c:v>15</c:v>
                </c:pt>
                <c:pt idx="73">
                  <c:v>16.399999999999999</c:v>
                </c:pt>
                <c:pt idx="74">
                  <c:v>19</c:v>
                </c:pt>
                <c:pt idx="75">
                  <c:v>23</c:v>
                </c:pt>
                <c:pt idx="76">
                  <c:v>25</c:v>
                </c:pt>
                <c:pt idx="77">
                  <c:v>26</c:v>
                </c:pt>
                <c:pt idx="78">
                  <c:v>32</c:v>
                </c:pt>
                <c:pt idx="79">
                  <c:v>32</c:v>
                </c:pt>
                <c:pt idx="80">
                  <c:v>18</c:v>
                </c:pt>
                <c:pt idx="81">
                  <c:v>20</c:v>
                </c:pt>
                <c:pt idx="82">
                  <c:v>22</c:v>
                </c:pt>
                <c:pt idx="83">
                  <c:v>25</c:v>
                </c:pt>
                <c:pt idx="84">
                  <c:v>28.1</c:v>
                </c:pt>
              </c:numCache>
            </c:numRef>
          </c:xVal>
          <c:yVal>
            <c:numRef>
              <c:f>'Analysis New'!$AO$5:$AO$89</c:f>
              <c:numCache>
                <c:formatCode>General</c:formatCode>
                <c:ptCount val="85"/>
                <c:pt idx="69">
                  <c:v>38</c:v>
                </c:pt>
                <c:pt idx="70">
                  <c:v>50</c:v>
                </c:pt>
                <c:pt idx="71">
                  <c:v>82.5</c:v>
                </c:pt>
                <c:pt idx="72">
                  <c:v>26</c:v>
                </c:pt>
                <c:pt idx="73">
                  <c:v>41</c:v>
                </c:pt>
                <c:pt idx="74">
                  <c:v>64</c:v>
                </c:pt>
                <c:pt idx="75">
                  <c:v>70</c:v>
                </c:pt>
                <c:pt idx="76">
                  <c:v>30</c:v>
                </c:pt>
                <c:pt idx="77">
                  <c:v>77</c:v>
                </c:pt>
                <c:pt idx="78">
                  <c:v>57</c:v>
                </c:pt>
                <c:pt idx="79">
                  <c:v>57.9</c:v>
                </c:pt>
                <c:pt idx="80">
                  <c:v>51</c:v>
                </c:pt>
                <c:pt idx="81">
                  <c:v>75.161290322580655</c:v>
                </c:pt>
                <c:pt idx="82">
                  <c:v>58</c:v>
                </c:pt>
                <c:pt idx="83">
                  <c:v>62</c:v>
                </c:pt>
                <c:pt idx="84">
                  <c:v>59.574468085106382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4B6-41C9-858A-CFDACC4F1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046463"/>
        <c:axId val="433039391"/>
      </c:scatterChart>
      <c:valAx>
        <c:axId val="433046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3039391"/>
        <c:crosses val="autoZero"/>
        <c:crossBetween val="midCat"/>
      </c:valAx>
      <c:valAx>
        <c:axId val="433039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30464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66394</xdr:colOff>
      <xdr:row>12</xdr:row>
      <xdr:rowOff>32497</xdr:rowOff>
    </xdr:from>
    <xdr:to>
      <xdr:col>25</xdr:col>
      <xdr:colOff>521353</xdr:colOff>
      <xdr:row>27</xdr:row>
      <xdr:rowOff>61072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3E6F16F-34AC-BE15-B4E1-CE85830288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39</xdr:col>
      <xdr:colOff>285750</xdr:colOff>
      <xdr:row>26</xdr:row>
      <xdr:rowOff>92869</xdr:rowOff>
    </xdr:from>
    <xdr:to>
      <xdr:col>46</xdr:col>
      <xdr:colOff>23813</xdr:colOff>
      <xdr:row>41</xdr:row>
      <xdr:rowOff>157163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B37BDF4-1788-5FF8-D4A4-E653A941F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47</xdr:col>
      <xdr:colOff>523875</xdr:colOff>
      <xdr:row>81</xdr:row>
      <xdr:rowOff>164306</xdr:rowOff>
    </xdr:from>
    <xdr:to>
      <xdr:col>54</xdr:col>
      <xdr:colOff>261938</xdr:colOff>
      <xdr:row>97</xdr:row>
      <xdr:rowOff>50006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812BA12-3F47-D4F1-A0F6-55953E4547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62</xdr:col>
      <xdr:colOff>140074</xdr:colOff>
      <xdr:row>4</xdr:row>
      <xdr:rowOff>85165</xdr:rowOff>
    </xdr:from>
    <xdr:to>
      <xdr:col>68</xdr:col>
      <xdr:colOff>610721</xdr:colOff>
      <xdr:row>19</xdr:row>
      <xdr:rowOff>138953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4A7311D-1C9A-48EE-57A9-ED50B87FFE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64</xdr:col>
      <xdr:colOff>386601</xdr:colOff>
      <xdr:row>23</xdr:row>
      <xdr:rowOff>6724</xdr:rowOff>
    </xdr:from>
    <xdr:to>
      <xdr:col>71</xdr:col>
      <xdr:colOff>173690</xdr:colOff>
      <xdr:row>38</xdr:row>
      <xdr:rowOff>60513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198AD39-22B5-12CE-F153-037D73CEE0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78440</xdr:colOff>
      <xdr:row>5</xdr:row>
      <xdr:rowOff>90766</xdr:rowOff>
    </xdr:from>
    <xdr:to>
      <xdr:col>45</xdr:col>
      <xdr:colOff>504264</xdr:colOff>
      <xdr:row>37</xdr:row>
      <xdr:rowOff>156883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035F07-4F48-C23B-875B-BDAB341542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42</xdr:col>
      <xdr:colOff>571499</xdr:colOff>
      <xdr:row>141</xdr:row>
      <xdr:rowOff>1119</xdr:rowOff>
    </xdr:from>
    <xdr:to>
      <xdr:col>54</xdr:col>
      <xdr:colOff>403411</xdr:colOff>
      <xdr:row>169</xdr:row>
      <xdr:rowOff>179293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69AFB8A-8746-CCF5-BBD3-F846E67C6F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88</xdr:col>
      <xdr:colOff>1</xdr:colOff>
      <xdr:row>3</xdr:row>
      <xdr:rowOff>45944</xdr:rowOff>
    </xdr:from>
    <xdr:to>
      <xdr:col>98</xdr:col>
      <xdr:colOff>381000</xdr:colOff>
      <xdr:row>31</xdr:row>
      <xdr:rowOff>100853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9D65AC-78F8-CAE8-D6F3-61CAE49DC2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119061</xdr:colOff>
      <xdr:row>6</xdr:row>
      <xdr:rowOff>170259</xdr:rowOff>
    </xdr:from>
    <xdr:to>
      <xdr:col>29</xdr:col>
      <xdr:colOff>535780</xdr:colOff>
      <xdr:row>31</xdr:row>
      <xdr:rowOff>71438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FC903A7-AB5C-2382-CF5D-47C782A9D3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571500</xdr:colOff>
      <xdr:row>7</xdr:row>
      <xdr:rowOff>3571</xdr:rowOff>
    </xdr:from>
    <xdr:to>
      <xdr:col>40</xdr:col>
      <xdr:colOff>273844</xdr:colOff>
      <xdr:row>31</xdr:row>
      <xdr:rowOff>71438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549FD23-98FB-A690-C7CA-9636509C8D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266700</xdr:colOff>
      <xdr:row>2</xdr:row>
      <xdr:rowOff>152400</xdr:rowOff>
    </xdr:from>
    <xdr:to>
      <xdr:col>29</xdr:col>
      <xdr:colOff>38100</xdr:colOff>
      <xdr:row>17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91A6CCC-61A5-6F9F-476D-C3EEF9A20F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457200</xdr:colOff>
      <xdr:row>11</xdr:row>
      <xdr:rowOff>95250</xdr:rowOff>
    </xdr:from>
    <xdr:to>
      <xdr:col>22</xdr:col>
      <xdr:colOff>228600</xdr:colOff>
      <xdr:row>25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915F43E-0220-5B04-2634-D4569E4CB7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419100</xdr:colOff>
      <xdr:row>29</xdr:row>
      <xdr:rowOff>158750</xdr:rowOff>
    </xdr:from>
    <xdr:to>
      <xdr:col>26</xdr:col>
      <xdr:colOff>190500</xdr:colOff>
      <xdr:row>44</xdr:row>
      <xdr:rowOff>53975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9B9F7E3-8697-9E87-4F06-F670443492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55</xdr:col>
      <xdr:colOff>414337</xdr:colOff>
      <xdr:row>4</xdr:row>
      <xdr:rowOff>142875</xdr:rowOff>
    </xdr:from>
    <xdr:to>
      <xdr:col>62</xdr:col>
      <xdr:colOff>185737</xdr:colOff>
      <xdr:row>19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B4ADFB-C6AD-1EA7-38B5-36D1CB9897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55</xdr:col>
      <xdr:colOff>452437</xdr:colOff>
      <xdr:row>19</xdr:row>
      <xdr:rowOff>0</xdr:rowOff>
    </xdr:from>
    <xdr:to>
      <xdr:col>62</xdr:col>
      <xdr:colOff>223837</xdr:colOff>
      <xdr:row>33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A9EE47-2635-6D6D-0245-4AB19AA1B7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47</xdr:col>
      <xdr:colOff>671512</xdr:colOff>
      <xdr:row>11</xdr:row>
      <xdr:rowOff>47625</xdr:rowOff>
    </xdr:from>
    <xdr:to>
      <xdr:col>54</xdr:col>
      <xdr:colOff>442912</xdr:colOff>
      <xdr:row>25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58B90F1-EA15-FBC6-C58E-3CFD59BD7C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9863-4381-41AE-99DF-D32F986C3842}">
  <dimension ref="B1:M151"/>
  <sheetViews>
    <sheetView topLeftCell="A106" zoomScale="70" zoomScaleNormal="70" workbookViewId="0">
      <selection activeCell="I135" sqref="I135"/>
    </sheetView>
  </sheetViews>
  <sheetFormatPr defaultRowHeight="14.25" x14ac:dyDescent="0.2"/>
  <cols>
    <col min="5" max="5" width="17.75" customWidth="1"/>
  </cols>
  <sheetData>
    <row r="1" spans="2:9" x14ac:dyDescent="0.2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2:9" x14ac:dyDescent="0.2">
      <c r="B2">
        <v>1</v>
      </c>
      <c r="C2" t="s">
        <v>46</v>
      </c>
      <c r="D2" t="s">
        <v>8</v>
      </c>
      <c r="E2" t="s">
        <v>47</v>
      </c>
      <c r="F2" t="s">
        <v>10</v>
      </c>
      <c r="H2" t="s">
        <v>10</v>
      </c>
      <c r="I2" t="s">
        <v>48</v>
      </c>
    </row>
    <row r="3" spans="2:9" ht="15" x14ac:dyDescent="0.25">
      <c r="B3" s="1">
        <v>2</v>
      </c>
      <c r="C3" s="1" t="s">
        <v>46</v>
      </c>
      <c r="D3" s="1" t="s">
        <v>8</v>
      </c>
      <c r="E3" s="1" t="s">
        <v>49</v>
      </c>
      <c r="F3" s="1" t="s">
        <v>9</v>
      </c>
      <c r="G3" s="1" t="s">
        <v>50</v>
      </c>
    </row>
    <row r="4" spans="2:9" ht="15" x14ac:dyDescent="0.25">
      <c r="B4" s="1">
        <v>3</v>
      </c>
      <c r="C4" s="1" t="s">
        <v>46</v>
      </c>
      <c r="D4" s="1" t="s">
        <v>8</v>
      </c>
      <c r="E4" s="1" t="s">
        <v>51</v>
      </c>
      <c r="F4" s="1" t="s">
        <v>9</v>
      </c>
      <c r="G4" s="1" t="s">
        <v>52</v>
      </c>
    </row>
    <row r="5" spans="2:9" x14ac:dyDescent="0.2">
      <c r="B5">
        <v>4</v>
      </c>
      <c r="C5" t="s">
        <v>46</v>
      </c>
      <c r="D5" t="s">
        <v>8</v>
      </c>
      <c r="E5" t="s">
        <v>53</v>
      </c>
      <c r="F5" t="s">
        <v>11</v>
      </c>
      <c r="G5" t="s">
        <v>54</v>
      </c>
    </row>
    <row r="6" spans="2:9" x14ac:dyDescent="0.2">
      <c r="B6">
        <v>5</v>
      </c>
      <c r="C6" t="s">
        <v>46</v>
      </c>
      <c r="D6" t="s">
        <v>8</v>
      </c>
      <c r="E6" t="s">
        <v>55</v>
      </c>
      <c r="F6" t="s">
        <v>10</v>
      </c>
      <c r="H6" t="s">
        <v>11</v>
      </c>
    </row>
    <row r="7" spans="2:9" x14ac:dyDescent="0.2">
      <c r="B7">
        <v>6</v>
      </c>
      <c r="C7" t="s">
        <v>46</v>
      </c>
      <c r="D7" t="s">
        <v>8</v>
      </c>
      <c r="E7" t="s">
        <v>56</v>
      </c>
      <c r="F7" t="s">
        <v>10</v>
      </c>
    </row>
    <row r="8" spans="2:9" x14ac:dyDescent="0.2">
      <c r="B8">
        <v>7</v>
      </c>
      <c r="C8" t="s">
        <v>46</v>
      </c>
      <c r="D8" t="s">
        <v>8</v>
      </c>
      <c r="E8" t="s">
        <v>12</v>
      </c>
      <c r="F8" t="s">
        <v>10</v>
      </c>
      <c r="H8" t="s">
        <v>10</v>
      </c>
    </row>
    <row r="9" spans="2:9" x14ac:dyDescent="0.2">
      <c r="B9">
        <v>8</v>
      </c>
      <c r="C9" t="s">
        <v>46</v>
      </c>
      <c r="D9" t="s">
        <v>8</v>
      </c>
      <c r="E9" t="s">
        <v>57</v>
      </c>
      <c r="F9" t="s">
        <v>11</v>
      </c>
      <c r="I9" s="2" t="s">
        <v>58</v>
      </c>
    </row>
    <row r="10" spans="2:9" x14ac:dyDescent="0.2">
      <c r="B10">
        <v>9</v>
      </c>
      <c r="C10" t="s">
        <v>46</v>
      </c>
      <c r="D10" t="s">
        <v>8</v>
      </c>
      <c r="E10" t="s">
        <v>59</v>
      </c>
      <c r="F10" t="s">
        <v>10</v>
      </c>
      <c r="H10" t="s">
        <v>10</v>
      </c>
    </row>
    <row r="11" spans="2:9" x14ac:dyDescent="0.2">
      <c r="B11">
        <v>10</v>
      </c>
      <c r="C11" t="s">
        <v>46</v>
      </c>
      <c r="D11" t="s">
        <v>8</v>
      </c>
      <c r="E11" t="s">
        <v>60</v>
      </c>
      <c r="F11" t="s">
        <v>10</v>
      </c>
      <c r="H11" t="s">
        <v>10</v>
      </c>
    </row>
    <row r="12" spans="2:9" x14ac:dyDescent="0.2">
      <c r="B12">
        <v>11</v>
      </c>
      <c r="C12" t="s">
        <v>46</v>
      </c>
      <c r="D12" t="s">
        <v>8</v>
      </c>
      <c r="E12" t="s">
        <v>61</v>
      </c>
      <c r="F12" t="s">
        <v>10</v>
      </c>
      <c r="I12" t="s">
        <v>254</v>
      </c>
    </row>
    <row r="13" spans="2:9" x14ac:dyDescent="0.2">
      <c r="B13">
        <v>12</v>
      </c>
      <c r="C13" t="s">
        <v>46</v>
      </c>
      <c r="D13" t="s">
        <v>8</v>
      </c>
      <c r="E13" t="s">
        <v>62</v>
      </c>
      <c r="F13" t="s">
        <v>10</v>
      </c>
      <c r="H13" t="s">
        <v>10</v>
      </c>
    </row>
    <row r="14" spans="2:9" ht="15" x14ac:dyDescent="0.25">
      <c r="B14" s="1">
        <v>13</v>
      </c>
      <c r="C14" s="1" t="s">
        <v>46</v>
      </c>
      <c r="D14" s="1" t="s">
        <v>8</v>
      </c>
      <c r="E14" s="1" t="s">
        <v>63</v>
      </c>
      <c r="F14" s="1" t="s">
        <v>9</v>
      </c>
    </row>
    <row r="15" spans="2:9" x14ac:dyDescent="0.2">
      <c r="B15">
        <v>14</v>
      </c>
      <c r="C15" t="s">
        <v>46</v>
      </c>
      <c r="D15" t="s">
        <v>8</v>
      </c>
      <c r="E15" t="s">
        <v>64</v>
      </c>
      <c r="F15" t="s">
        <v>10</v>
      </c>
      <c r="H15" t="s">
        <v>255</v>
      </c>
    </row>
    <row r="16" spans="2:9" ht="15" x14ac:dyDescent="0.25">
      <c r="B16" s="1">
        <v>15</v>
      </c>
      <c r="C16" s="1" t="s">
        <v>46</v>
      </c>
      <c r="D16" s="1" t="s">
        <v>8</v>
      </c>
      <c r="E16" s="1" t="s">
        <v>65</v>
      </c>
      <c r="F16" s="1" t="s">
        <v>9</v>
      </c>
      <c r="G16" s="1" t="s">
        <v>13</v>
      </c>
    </row>
    <row r="17" spans="2:9" x14ac:dyDescent="0.2">
      <c r="B17">
        <v>16</v>
      </c>
      <c r="C17" t="s">
        <v>46</v>
      </c>
      <c r="D17" t="s">
        <v>8</v>
      </c>
      <c r="E17" t="s">
        <v>66</v>
      </c>
      <c r="F17" t="s">
        <v>10</v>
      </c>
      <c r="H17" t="s">
        <v>10</v>
      </c>
      <c r="I17" t="s">
        <v>260</v>
      </c>
    </row>
    <row r="18" spans="2:9" ht="15" x14ac:dyDescent="0.25">
      <c r="B18" s="23">
        <v>17</v>
      </c>
      <c r="C18" s="23" t="s">
        <v>46</v>
      </c>
      <c r="D18" s="23" t="s">
        <v>8</v>
      </c>
      <c r="E18" s="23" t="s">
        <v>67</v>
      </c>
      <c r="F18" s="1" t="s">
        <v>10</v>
      </c>
      <c r="G18" s="23" t="s">
        <v>262</v>
      </c>
    </row>
    <row r="19" spans="2:9" ht="15" x14ac:dyDescent="0.25">
      <c r="B19">
        <v>18</v>
      </c>
      <c r="C19" t="s">
        <v>46</v>
      </c>
      <c r="D19" t="s">
        <v>8</v>
      </c>
      <c r="E19" t="s">
        <v>68</v>
      </c>
      <c r="F19" s="1" t="s">
        <v>9</v>
      </c>
      <c r="G19" s="1" t="s">
        <v>13</v>
      </c>
    </row>
    <row r="20" spans="2:9" ht="15" x14ac:dyDescent="0.25">
      <c r="B20">
        <v>19</v>
      </c>
      <c r="C20" t="s">
        <v>46</v>
      </c>
      <c r="D20" s="23" t="s">
        <v>8</v>
      </c>
      <c r="E20" s="23" t="s">
        <v>69</v>
      </c>
      <c r="F20" s="1" t="s">
        <v>10</v>
      </c>
      <c r="G20" s="23" t="s">
        <v>263</v>
      </c>
    </row>
    <row r="21" spans="2:9" ht="15" x14ac:dyDescent="0.25">
      <c r="B21">
        <v>20</v>
      </c>
      <c r="C21" t="s">
        <v>46</v>
      </c>
      <c r="D21" s="23" t="s">
        <v>8</v>
      </c>
      <c r="E21" s="23" t="s">
        <v>70</v>
      </c>
      <c r="F21" s="1" t="s">
        <v>11</v>
      </c>
      <c r="G21" s="23" t="s">
        <v>71</v>
      </c>
    </row>
    <row r="22" spans="2:9" ht="15" x14ac:dyDescent="0.25">
      <c r="B22">
        <v>21</v>
      </c>
      <c r="C22" t="s">
        <v>46</v>
      </c>
      <c r="D22" t="s">
        <v>8</v>
      </c>
      <c r="E22" t="s">
        <v>72</v>
      </c>
      <c r="F22" s="3" t="s">
        <v>10</v>
      </c>
      <c r="H22" t="s">
        <v>10</v>
      </c>
    </row>
    <row r="23" spans="2:9" ht="15" x14ac:dyDescent="0.25">
      <c r="B23">
        <v>22</v>
      </c>
      <c r="C23" t="s">
        <v>46</v>
      </c>
      <c r="D23" t="s">
        <v>8</v>
      </c>
      <c r="E23" t="s">
        <v>73</v>
      </c>
      <c r="F23" s="3" t="s">
        <v>10</v>
      </c>
      <c r="H23" t="s">
        <v>10</v>
      </c>
    </row>
    <row r="24" spans="2:9" ht="15" x14ac:dyDescent="0.25">
      <c r="B24">
        <v>23</v>
      </c>
      <c r="C24" t="s">
        <v>46</v>
      </c>
      <c r="D24" t="s">
        <v>8</v>
      </c>
      <c r="E24" t="s">
        <v>74</v>
      </c>
      <c r="F24" s="3" t="s">
        <v>9</v>
      </c>
      <c r="H24" t="s">
        <v>9</v>
      </c>
    </row>
    <row r="25" spans="2:9" ht="15" x14ac:dyDescent="0.25">
      <c r="B25">
        <v>24</v>
      </c>
      <c r="C25" t="s">
        <v>46</v>
      </c>
      <c r="D25" t="s">
        <v>8</v>
      </c>
      <c r="E25" t="s">
        <v>75</v>
      </c>
      <c r="F25" s="3" t="s">
        <v>10</v>
      </c>
      <c r="H25" t="s">
        <v>10</v>
      </c>
    </row>
    <row r="26" spans="2:9" ht="15" x14ac:dyDescent="0.25">
      <c r="B26" s="1">
        <v>25</v>
      </c>
      <c r="C26" s="1" t="s">
        <v>46</v>
      </c>
      <c r="D26" s="1" t="s">
        <v>45</v>
      </c>
      <c r="E26" s="1" t="s">
        <v>76</v>
      </c>
      <c r="F26" s="1" t="s">
        <v>9</v>
      </c>
      <c r="G26" s="1" t="s">
        <v>77</v>
      </c>
    </row>
    <row r="27" spans="2:9" x14ac:dyDescent="0.2">
      <c r="B27">
        <v>26</v>
      </c>
      <c r="C27" s="25" t="s">
        <v>46</v>
      </c>
      <c r="D27" s="25" t="s">
        <v>78</v>
      </c>
      <c r="E27" s="25" t="s">
        <v>79</v>
      </c>
      <c r="F27" s="25" t="s">
        <v>267</v>
      </c>
    </row>
    <row r="28" spans="2:9" ht="15" x14ac:dyDescent="0.25">
      <c r="B28" s="23">
        <v>27</v>
      </c>
      <c r="C28" s="23" t="s">
        <v>46</v>
      </c>
      <c r="D28" s="23" t="s">
        <v>78</v>
      </c>
      <c r="E28" s="23" t="s">
        <v>80</v>
      </c>
      <c r="F28" s="1" t="s">
        <v>13</v>
      </c>
      <c r="G28" s="23"/>
    </row>
    <row r="29" spans="2:9" ht="15" x14ac:dyDescent="0.25">
      <c r="B29" s="23">
        <v>28</v>
      </c>
      <c r="C29" s="23" t="s">
        <v>46</v>
      </c>
      <c r="D29" s="23" t="s">
        <v>78</v>
      </c>
      <c r="E29" s="23" t="s">
        <v>81</v>
      </c>
      <c r="F29" s="1" t="s">
        <v>9</v>
      </c>
      <c r="G29" s="23" t="s">
        <v>269</v>
      </c>
      <c r="I29" t="s">
        <v>270</v>
      </c>
    </row>
    <row r="30" spans="2:9" ht="15" x14ac:dyDescent="0.25">
      <c r="B30">
        <v>29</v>
      </c>
      <c r="C30" t="s">
        <v>46</v>
      </c>
      <c r="D30" s="27" t="s">
        <v>78</v>
      </c>
      <c r="E30" s="27" t="s">
        <v>82</v>
      </c>
      <c r="F30" s="26" t="s">
        <v>271</v>
      </c>
    </row>
    <row r="31" spans="2:9" ht="15" x14ac:dyDescent="0.25">
      <c r="B31">
        <v>30</v>
      </c>
      <c r="C31" t="s">
        <v>46</v>
      </c>
      <c r="D31" t="s">
        <v>78</v>
      </c>
      <c r="E31" t="s">
        <v>83</v>
      </c>
      <c r="F31" s="3" t="s">
        <v>10</v>
      </c>
      <c r="H31" t="s">
        <v>10</v>
      </c>
    </row>
    <row r="32" spans="2:9" x14ac:dyDescent="0.2">
      <c r="B32" s="23">
        <v>31</v>
      </c>
      <c r="C32" s="23" t="s">
        <v>46</v>
      </c>
      <c r="D32" s="23" t="s">
        <v>78</v>
      </c>
      <c r="E32" s="23" t="s">
        <v>84</v>
      </c>
      <c r="F32" s="23" t="s">
        <v>9</v>
      </c>
      <c r="G32" s="23"/>
    </row>
    <row r="33" spans="2:13" x14ac:dyDescent="0.2">
      <c r="B33">
        <v>32</v>
      </c>
      <c r="C33" t="s">
        <v>46</v>
      </c>
      <c r="D33" t="s">
        <v>78</v>
      </c>
      <c r="E33" t="s">
        <v>85</v>
      </c>
      <c r="F33" t="s">
        <v>10</v>
      </c>
      <c r="H33" t="s">
        <v>10</v>
      </c>
    </row>
    <row r="34" spans="2:13" x14ac:dyDescent="0.2">
      <c r="B34">
        <v>33</v>
      </c>
      <c r="C34" t="s">
        <v>46</v>
      </c>
      <c r="D34" s="27" t="s">
        <v>78</v>
      </c>
      <c r="E34" s="27" t="s">
        <v>86</v>
      </c>
      <c r="F34" s="27" t="s">
        <v>274</v>
      </c>
    </row>
    <row r="35" spans="2:13" x14ac:dyDescent="0.2">
      <c r="B35" s="23">
        <v>34</v>
      </c>
      <c r="C35" s="23" t="s">
        <v>46</v>
      </c>
      <c r="D35" s="23" t="s">
        <v>78</v>
      </c>
      <c r="E35" s="23" t="s">
        <v>87</v>
      </c>
      <c r="F35" s="23" t="s">
        <v>9</v>
      </c>
    </row>
    <row r="36" spans="2:13" x14ac:dyDescent="0.2">
      <c r="B36">
        <v>35</v>
      </c>
      <c r="C36" t="s">
        <v>46</v>
      </c>
      <c r="D36" t="s">
        <v>78</v>
      </c>
      <c r="E36" t="s">
        <v>88</v>
      </c>
      <c r="F36" t="s">
        <v>10</v>
      </c>
      <c r="H36" t="s">
        <v>10</v>
      </c>
    </row>
    <row r="37" spans="2:13" x14ac:dyDescent="0.2">
      <c r="B37">
        <v>36</v>
      </c>
      <c r="C37" t="s">
        <v>46</v>
      </c>
      <c r="D37" t="s">
        <v>78</v>
      </c>
      <c r="E37" t="s">
        <v>89</v>
      </c>
      <c r="F37" t="s">
        <v>10</v>
      </c>
      <c r="H37" t="s">
        <v>10</v>
      </c>
    </row>
    <row r="38" spans="2:13" x14ac:dyDescent="0.2">
      <c r="B38" s="23">
        <v>37</v>
      </c>
      <c r="C38" s="23" t="s">
        <v>46</v>
      </c>
      <c r="D38" s="23" t="s">
        <v>78</v>
      </c>
      <c r="E38" s="23" t="s">
        <v>90</v>
      </c>
      <c r="F38" s="23" t="s">
        <v>9</v>
      </c>
      <c r="G38" s="23" t="s">
        <v>286</v>
      </c>
      <c r="J38" t="s">
        <v>287</v>
      </c>
      <c r="M38">
        <v>1</v>
      </c>
    </row>
    <row r="39" spans="2:13" x14ac:dyDescent="0.2">
      <c r="B39">
        <v>38</v>
      </c>
      <c r="C39" t="s">
        <v>46</v>
      </c>
      <c r="D39" t="s">
        <v>78</v>
      </c>
      <c r="E39" t="s">
        <v>91</v>
      </c>
      <c r="F39" t="s">
        <v>10</v>
      </c>
      <c r="H39" t="s">
        <v>10</v>
      </c>
      <c r="M39">
        <v>2</v>
      </c>
    </row>
    <row r="40" spans="2:13" x14ac:dyDescent="0.2">
      <c r="B40">
        <v>39</v>
      </c>
      <c r="C40" t="s">
        <v>46</v>
      </c>
      <c r="D40" t="s">
        <v>78</v>
      </c>
      <c r="E40" t="s">
        <v>92</v>
      </c>
      <c r="F40" t="s">
        <v>9</v>
      </c>
      <c r="G40" t="s">
        <v>289</v>
      </c>
      <c r="M40">
        <v>3</v>
      </c>
    </row>
    <row r="41" spans="2:13" x14ac:dyDescent="0.2">
      <c r="B41">
        <v>40</v>
      </c>
      <c r="C41" t="s">
        <v>46</v>
      </c>
      <c r="D41" t="s">
        <v>78</v>
      </c>
      <c r="E41" t="s">
        <v>93</v>
      </c>
      <c r="F41" t="s">
        <v>9</v>
      </c>
      <c r="G41" s="23" t="s">
        <v>286</v>
      </c>
      <c r="M41">
        <v>4</v>
      </c>
    </row>
    <row r="42" spans="2:13" x14ac:dyDescent="0.2">
      <c r="B42">
        <v>41</v>
      </c>
      <c r="C42" t="s">
        <v>46</v>
      </c>
      <c r="D42" t="s">
        <v>78</v>
      </c>
      <c r="E42" t="s">
        <v>94</v>
      </c>
      <c r="F42" t="s">
        <v>10</v>
      </c>
      <c r="H42" t="s">
        <v>10</v>
      </c>
      <c r="M42">
        <v>5</v>
      </c>
    </row>
    <row r="43" spans="2:13" x14ac:dyDescent="0.2">
      <c r="B43">
        <v>42</v>
      </c>
      <c r="C43" t="s">
        <v>46</v>
      </c>
      <c r="D43" t="s">
        <v>78</v>
      </c>
      <c r="E43" t="s">
        <v>95</v>
      </c>
      <c r="F43" t="s">
        <v>9</v>
      </c>
      <c r="G43" t="s">
        <v>13</v>
      </c>
      <c r="M43">
        <v>6</v>
      </c>
    </row>
    <row r="44" spans="2:13" x14ac:dyDescent="0.2">
      <c r="B44">
        <v>43</v>
      </c>
      <c r="C44" t="s">
        <v>46</v>
      </c>
      <c r="D44" t="s">
        <v>78</v>
      </c>
      <c r="E44" t="s">
        <v>96</v>
      </c>
      <c r="F44" t="s">
        <v>10</v>
      </c>
      <c r="G44" t="s">
        <v>263</v>
      </c>
      <c r="H44" t="s">
        <v>10</v>
      </c>
      <c r="M44">
        <v>7</v>
      </c>
    </row>
    <row r="45" spans="2:13" x14ac:dyDescent="0.2">
      <c r="B45">
        <v>44</v>
      </c>
      <c r="C45" t="s">
        <v>46</v>
      </c>
      <c r="D45" t="s">
        <v>78</v>
      </c>
      <c r="E45" t="s">
        <v>97</v>
      </c>
      <c r="F45" t="s">
        <v>10</v>
      </c>
      <c r="H45" t="s">
        <v>10</v>
      </c>
      <c r="M45">
        <v>8</v>
      </c>
    </row>
    <row r="46" spans="2:13" x14ac:dyDescent="0.2">
      <c r="B46">
        <v>45</v>
      </c>
      <c r="C46" t="s">
        <v>46</v>
      </c>
      <c r="D46" t="s">
        <v>78</v>
      </c>
      <c r="E46" t="s">
        <v>98</v>
      </c>
      <c r="F46" t="s">
        <v>10</v>
      </c>
      <c r="H46" t="s">
        <v>10</v>
      </c>
      <c r="M46">
        <v>9</v>
      </c>
    </row>
    <row r="47" spans="2:13" x14ac:dyDescent="0.2">
      <c r="B47">
        <v>46</v>
      </c>
      <c r="C47" t="s">
        <v>46</v>
      </c>
      <c r="D47" t="s">
        <v>78</v>
      </c>
      <c r="E47" t="s">
        <v>99</v>
      </c>
      <c r="F47" t="s">
        <v>10</v>
      </c>
      <c r="H47" t="s">
        <v>10</v>
      </c>
      <c r="M47">
        <v>10</v>
      </c>
    </row>
    <row r="48" spans="2:13" x14ac:dyDescent="0.2">
      <c r="B48">
        <v>47</v>
      </c>
      <c r="C48" t="s">
        <v>46</v>
      </c>
      <c r="D48" t="s">
        <v>78</v>
      </c>
      <c r="E48" t="s">
        <v>100</v>
      </c>
      <c r="F48" t="s">
        <v>10</v>
      </c>
      <c r="H48" t="s">
        <v>10</v>
      </c>
      <c r="M48">
        <v>1</v>
      </c>
    </row>
    <row r="49" spans="2:13" x14ac:dyDescent="0.2">
      <c r="B49">
        <v>48</v>
      </c>
      <c r="C49" t="s">
        <v>46</v>
      </c>
      <c r="D49" t="s">
        <v>78</v>
      </c>
      <c r="E49" t="s">
        <v>101</v>
      </c>
      <c r="F49" t="s">
        <v>10</v>
      </c>
      <c r="G49" t="s">
        <v>263</v>
      </c>
      <c r="H49" t="s">
        <v>10</v>
      </c>
      <c r="M49">
        <v>2</v>
      </c>
    </row>
    <row r="50" spans="2:13" x14ac:dyDescent="0.2">
      <c r="B50" s="23">
        <v>49</v>
      </c>
      <c r="C50" s="23" t="s">
        <v>46</v>
      </c>
      <c r="D50" s="23" t="s">
        <v>78</v>
      </c>
      <c r="E50" s="23" t="s">
        <v>102</v>
      </c>
      <c r="F50" s="23" t="s">
        <v>9</v>
      </c>
      <c r="G50" s="23" t="s">
        <v>302</v>
      </c>
      <c r="J50" t="s">
        <v>303</v>
      </c>
      <c r="M50">
        <v>3</v>
      </c>
    </row>
    <row r="51" spans="2:13" x14ac:dyDescent="0.2">
      <c r="B51">
        <v>50</v>
      </c>
      <c r="C51" t="s">
        <v>46</v>
      </c>
      <c r="D51" t="s">
        <v>78</v>
      </c>
      <c r="E51" t="s">
        <v>103</v>
      </c>
      <c r="F51" t="s">
        <v>10</v>
      </c>
      <c r="H51" t="s">
        <v>10</v>
      </c>
      <c r="M51">
        <v>4</v>
      </c>
    </row>
    <row r="52" spans="2:13" x14ac:dyDescent="0.2">
      <c r="B52">
        <v>51</v>
      </c>
      <c r="C52" t="s">
        <v>46</v>
      </c>
      <c r="D52" t="s">
        <v>78</v>
      </c>
      <c r="E52" t="s">
        <v>104</v>
      </c>
      <c r="F52" t="s">
        <v>10</v>
      </c>
      <c r="H52" t="s">
        <v>10</v>
      </c>
      <c r="M52">
        <v>5</v>
      </c>
    </row>
    <row r="53" spans="2:13" x14ac:dyDescent="0.2">
      <c r="B53">
        <v>52</v>
      </c>
      <c r="C53" t="s">
        <v>46</v>
      </c>
      <c r="D53" t="s">
        <v>78</v>
      </c>
      <c r="E53" t="s">
        <v>105</v>
      </c>
      <c r="F53" t="s">
        <v>10</v>
      </c>
      <c r="H53" t="s">
        <v>10</v>
      </c>
      <c r="M53">
        <v>6</v>
      </c>
    </row>
    <row r="54" spans="2:13" x14ac:dyDescent="0.2">
      <c r="B54">
        <v>53</v>
      </c>
      <c r="C54" t="s">
        <v>46</v>
      </c>
      <c r="D54" t="s">
        <v>78</v>
      </c>
      <c r="E54" t="s">
        <v>106</v>
      </c>
      <c r="F54" t="s">
        <v>10</v>
      </c>
      <c r="H54" t="s">
        <v>10</v>
      </c>
      <c r="M54">
        <v>7</v>
      </c>
    </row>
    <row r="55" spans="2:13" x14ac:dyDescent="0.2">
      <c r="B55">
        <v>54</v>
      </c>
      <c r="C55" t="s">
        <v>46</v>
      </c>
      <c r="D55" t="s">
        <v>78</v>
      </c>
      <c r="E55" t="s">
        <v>107</v>
      </c>
      <c r="F55" t="s">
        <v>11</v>
      </c>
      <c r="G55" t="s">
        <v>267</v>
      </c>
      <c r="J55" t="s">
        <v>306</v>
      </c>
      <c r="M55">
        <v>8</v>
      </c>
    </row>
    <row r="56" spans="2:13" x14ac:dyDescent="0.2">
      <c r="B56" s="23">
        <v>55</v>
      </c>
      <c r="C56" s="23" t="s">
        <v>46</v>
      </c>
      <c r="D56" s="23" t="s">
        <v>78</v>
      </c>
      <c r="E56" s="23" t="s">
        <v>108</v>
      </c>
      <c r="F56" s="23" t="s">
        <v>9</v>
      </c>
      <c r="G56" s="23" t="s">
        <v>310</v>
      </c>
      <c r="M56">
        <v>9</v>
      </c>
    </row>
    <row r="57" spans="2:13" x14ac:dyDescent="0.2">
      <c r="B57">
        <v>56</v>
      </c>
      <c r="C57" t="s">
        <v>46</v>
      </c>
      <c r="D57" t="s">
        <v>78</v>
      </c>
      <c r="E57" t="s">
        <v>109</v>
      </c>
      <c r="F57" t="s">
        <v>10</v>
      </c>
      <c r="H57" t="s">
        <v>10</v>
      </c>
      <c r="J57" t="s">
        <v>311</v>
      </c>
      <c r="M57">
        <v>10</v>
      </c>
    </row>
    <row r="58" spans="2:13" x14ac:dyDescent="0.2">
      <c r="B58">
        <v>57</v>
      </c>
      <c r="C58" t="s">
        <v>46</v>
      </c>
      <c r="D58" t="s">
        <v>78</v>
      </c>
      <c r="E58" t="s">
        <v>110</v>
      </c>
      <c r="F58" t="s">
        <v>11</v>
      </c>
      <c r="G58" t="s">
        <v>267</v>
      </c>
      <c r="J58" t="s">
        <v>306</v>
      </c>
      <c r="M58">
        <v>1</v>
      </c>
    </row>
    <row r="59" spans="2:13" x14ac:dyDescent="0.2">
      <c r="B59" s="23">
        <v>58</v>
      </c>
      <c r="C59" s="23" t="s">
        <v>46</v>
      </c>
      <c r="D59" s="23" t="s">
        <v>78</v>
      </c>
      <c r="E59" s="23" t="s">
        <v>111</v>
      </c>
      <c r="F59" s="23" t="s">
        <v>9</v>
      </c>
      <c r="G59" s="23" t="s">
        <v>312</v>
      </c>
      <c r="M59">
        <v>2</v>
      </c>
    </row>
    <row r="60" spans="2:13" x14ac:dyDescent="0.2">
      <c r="B60">
        <v>59</v>
      </c>
      <c r="C60" t="s">
        <v>46</v>
      </c>
      <c r="D60" t="s">
        <v>78</v>
      </c>
      <c r="E60" s="2" t="s">
        <v>112</v>
      </c>
      <c r="F60" s="2" t="s">
        <v>10</v>
      </c>
      <c r="H60" t="s">
        <v>10</v>
      </c>
      <c r="M60">
        <v>3</v>
      </c>
    </row>
    <row r="61" spans="2:13" x14ac:dyDescent="0.2">
      <c r="B61">
        <v>60</v>
      </c>
      <c r="C61" t="s">
        <v>46</v>
      </c>
      <c r="D61" t="s">
        <v>78</v>
      </c>
      <c r="E61" t="s">
        <v>113</v>
      </c>
      <c r="F61" t="s">
        <v>9</v>
      </c>
      <c r="G61" t="s">
        <v>310</v>
      </c>
      <c r="M61">
        <v>4</v>
      </c>
    </row>
    <row r="62" spans="2:13" x14ac:dyDescent="0.2">
      <c r="B62">
        <v>61</v>
      </c>
      <c r="C62" t="s">
        <v>46</v>
      </c>
      <c r="D62" t="s">
        <v>78</v>
      </c>
      <c r="E62" s="2" t="s">
        <v>114</v>
      </c>
      <c r="F62" s="2" t="s">
        <v>10</v>
      </c>
      <c r="H62" t="s">
        <v>10</v>
      </c>
      <c r="M62">
        <v>5</v>
      </c>
    </row>
    <row r="63" spans="2:13" x14ac:dyDescent="0.2">
      <c r="B63" s="23">
        <v>62</v>
      </c>
      <c r="C63" s="23" t="s">
        <v>46</v>
      </c>
      <c r="D63" s="23" t="s">
        <v>78</v>
      </c>
      <c r="E63" s="23" t="s">
        <v>115</v>
      </c>
      <c r="F63" s="23" t="s">
        <v>9</v>
      </c>
      <c r="G63" s="23" t="s">
        <v>312</v>
      </c>
      <c r="M63">
        <v>6</v>
      </c>
    </row>
    <row r="64" spans="2:13" x14ac:dyDescent="0.2">
      <c r="B64">
        <v>63</v>
      </c>
      <c r="C64" t="s">
        <v>46</v>
      </c>
      <c r="D64" t="s">
        <v>78</v>
      </c>
      <c r="E64" s="2" t="s">
        <v>116</v>
      </c>
      <c r="F64" s="2" t="s">
        <v>10</v>
      </c>
      <c r="H64" t="s">
        <v>10</v>
      </c>
      <c r="M64">
        <v>7</v>
      </c>
    </row>
    <row r="65" spans="2:13" x14ac:dyDescent="0.2">
      <c r="B65">
        <v>64</v>
      </c>
      <c r="C65" t="s">
        <v>46</v>
      </c>
      <c r="D65" t="s">
        <v>78</v>
      </c>
      <c r="E65" t="s">
        <v>117</v>
      </c>
      <c r="F65" t="s">
        <v>10</v>
      </c>
      <c r="H65" t="s">
        <v>10</v>
      </c>
      <c r="M65">
        <v>8</v>
      </c>
    </row>
    <row r="66" spans="2:13" x14ac:dyDescent="0.2">
      <c r="B66">
        <v>65</v>
      </c>
      <c r="C66" t="s">
        <v>46</v>
      </c>
      <c r="D66" t="s">
        <v>78</v>
      </c>
      <c r="E66" t="s">
        <v>118</v>
      </c>
      <c r="F66" t="s">
        <v>10</v>
      </c>
      <c r="H66" t="s">
        <v>10</v>
      </c>
      <c r="M66">
        <v>9</v>
      </c>
    </row>
    <row r="67" spans="2:13" x14ac:dyDescent="0.2">
      <c r="B67">
        <v>66</v>
      </c>
      <c r="C67" t="s">
        <v>46</v>
      </c>
      <c r="D67" t="s">
        <v>78</v>
      </c>
      <c r="E67" s="2" t="s">
        <v>119</v>
      </c>
      <c r="F67" s="2" t="s">
        <v>10</v>
      </c>
      <c r="H67" t="s">
        <v>10</v>
      </c>
      <c r="M67">
        <v>10</v>
      </c>
    </row>
    <row r="68" spans="2:13" x14ac:dyDescent="0.2">
      <c r="B68">
        <v>67</v>
      </c>
      <c r="C68" t="s">
        <v>46</v>
      </c>
      <c r="D68" t="s">
        <v>78</v>
      </c>
      <c r="E68" t="s">
        <v>120</v>
      </c>
      <c r="F68" t="s">
        <v>10</v>
      </c>
      <c r="H68" t="s">
        <v>10</v>
      </c>
      <c r="M68">
        <v>1</v>
      </c>
    </row>
    <row r="69" spans="2:13" x14ac:dyDescent="0.2">
      <c r="B69">
        <v>68</v>
      </c>
      <c r="C69" t="s">
        <v>46</v>
      </c>
      <c r="D69" t="s">
        <v>78</v>
      </c>
      <c r="E69" t="s">
        <v>121</v>
      </c>
      <c r="F69" t="s">
        <v>11</v>
      </c>
      <c r="G69" t="s">
        <v>326</v>
      </c>
      <c r="M69">
        <v>2</v>
      </c>
    </row>
    <row r="70" spans="2:13" x14ac:dyDescent="0.2">
      <c r="B70">
        <v>69</v>
      </c>
      <c r="C70" t="s">
        <v>46</v>
      </c>
      <c r="D70" t="s">
        <v>78</v>
      </c>
      <c r="E70" s="2" t="s">
        <v>122</v>
      </c>
      <c r="F70" s="2" t="s">
        <v>10</v>
      </c>
      <c r="H70" t="s">
        <v>10</v>
      </c>
      <c r="M70">
        <v>3</v>
      </c>
    </row>
    <row r="71" spans="2:13" x14ac:dyDescent="0.2">
      <c r="B71">
        <v>70</v>
      </c>
      <c r="C71" t="s">
        <v>46</v>
      </c>
      <c r="D71" t="s">
        <v>78</v>
      </c>
      <c r="E71" t="s">
        <v>123</v>
      </c>
      <c r="F71" t="s">
        <v>329</v>
      </c>
      <c r="M71">
        <v>4</v>
      </c>
    </row>
    <row r="72" spans="2:13" x14ac:dyDescent="0.2">
      <c r="B72">
        <v>71</v>
      </c>
      <c r="C72" t="s">
        <v>46</v>
      </c>
      <c r="D72" t="s">
        <v>78</v>
      </c>
      <c r="E72" s="2" t="s">
        <v>124</v>
      </c>
      <c r="F72" s="2" t="s">
        <v>10</v>
      </c>
      <c r="H72" t="s">
        <v>10</v>
      </c>
      <c r="M72">
        <v>5</v>
      </c>
    </row>
    <row r="73" spans="2:13" x14ac:dyDescent="0.2">
      <c r="B73">
        <v>72</v>
      </c>
      <c r="C73" t="s">
        <v>46</v>
      </c>
      <c r="D73" t="s">
        <v>78</v>
      </c>
      <c r="E73" t="s">
        <v>125</v>
      </c>
      <c r="F73" t="s">
        <v>9</v>
      </c>
      <c r="G73" t="s">
        <v>332</v>
      </c>
      <c r="M73">
        <v>6</v>
      </c>
    </row>
    <row r="74" spans="2:13" x14ac:dyDescent="0.2">
      <c r="B74">
        <v>73</v>
      </c>
      <c r="C74" t="s">
        <v>46</v>
      </c>
      <c r="D74" t="s">
        <v>78</v>
      </c>
      <c r="E74" t="s">
        <v>126</v>
      </c>
      <c r="F74" t="s">
        <v>10</v>
      </c>
      <c r="H74" t="s">
        <v>10</v>
      </c>
      <c r="M74">
        <v>7</v>
      </c>
    </row>
    <row r="75" spans="2:13" x14ac:dyDescent="0.2">
      <c r="B75">
        <v>74</v>
      </c>
      <c r="C75" t="s">
        <v>46</v>
      </c>
      <c r="D75" t="s">
        <v>78</v>
      </c>
      <c r="E75" t="s">
        <v>127</v>
      </c>
      <c r="F75" t="s">
        <v>10</v>
      </c>
      <c r="H75" t="s">
        <v>10</v>
      </c>
      <c r="M75">
        <v>8</v>
      </c>
    </row>
    <row r="76" spans="2:13" x14ac:dyDescent="0.2">
      <c r="B76">
        <v>75</v>
      </c>
      <c r="C76" t="s">
        <v>46</v>
      </c>
      <c r="D76" t="s">
        <v>78</v>
      </c>
      <c r="E76" t="s">
        <v>128</v>
      </c>
      <c r="F76" t="s">
        <v>9</v>
      </c>
      <c r="G76" t="s">
        <v>340</v>
      </c>
      <c r="M76">
        <v>9</v>
      </c>
    </row>
    <row r="77" spans="2:13" x14ac:dyDescent="0.2">
      <c r="B77">
        <v>76</v>
      </c>
      <c r="C77" t="s">
        <v>46</v>
      </c>
      <c r="D77" t="s">
        <v>78</v>
      </c>
      <c r="E77" t="s">
        <v>129</v>
      </c>
      <c r="F77" t="s">
        <v>9</v>
      </c>
      <c r="G77" t="s">
        <v>341</v>
      </c>
      <c r="M77">
        <v>10</v>
      </c>
    </row>
    <row r="78" spans="2:13" x14ac:dyDescent="0.2">
      <c r="B78">
        <v>77</v>
      </c>
      <c r="C78" t="s">
        <v>46</v>
      </c>
      <c r="D78" t="s">
        <v>78</v>
      </c>
      <c r="E78" t="s">
        <v>130</v>
      </c>
      <c r="F78" t="s">
        <v>10</v>
      </c>
      <c r="H78" t="s">
        <v>10</v>
      </c>
      <c r="J78" t="s">
        <v>342</v>
      </c>
      <c r="M78">
        <v>1</v>
      </c>
    </row>
    <row r="79" spans="2:13" x14ac:dyDescent="0.2">
      <c r="B79">
        <v>78</v>
      </c>
      <c r="C79" t="s">
        <v>46</v>
      </c>
      <c r="D79" t="s">
        <v>78</v>
      </c>
      <c r="E79" t="s">
        <v>131</v>
      </c>
      <c r="F79" t="s">
        <v>10</v>
      </c>
      <c r="H79" t="s">
        <v>10</v>
      </c>
      <c r="M79">
        <v>2</v>
      </c>
    </row>
    <row r="80" spans="2:13" x14ac:dyDescent="0.2">
      <c r="B80">
        <v>79</v>
      </c>
      <c r="C80" t="s">
        <v>46</v>
      </c>
      <c r="D80" t="s">
        <v>78</v>
      </c>
      <c r="E80" t="s">
        <v>132</v>
      </c>
      <c r="F80" t="s">
        <v>9</v>
      </c>
      <c r="G80" t="s">
        <v>345</v>
      </c>
      <c r="M80">
        <v>3</v>
      </c>
    </row>
    <row r="81" spans="2:13" x14ac:dyDescent="0.2">
      <c r="B81">
        <v>80</v>
      </c>
      <c r="C81" t="s">
        <v>46</v>
      </c>
      <c r="D81" t="s">
        <v>78</v>
      </c>
      <c r="E81" t="s">
        <v>133</v>
      </c>
      <c r="F81" t="s">
        <v>9</v>
      </c>
      <c r="H81" t="s">
        <v>9</v>
      </c>
      <c r="J81" t="s">
        <v>346</v>
      </c>
      <c r="M81">
        <v>4</v>
      </c>
    </row>
    <row r="82" spans="2:13" x14ac:dyDescent="0.2">
      <c r="B82">
        <v>81</v>
      </c>
      <c r="C82" t="s">
        <v>46</v>
      </c>
      <c r="D82" t="s">
        <v>78</v>
      </c>
      <c r="E82" t="s">
        <v>134</v>
      </c>
      <c r="F82" t="s">
        <v>10</v>
      </c>
      <c r="H82" t="s">
        <v>10</v>
      </c>
      <c r="J82" t="s">
        <v>347</v>
      </c>
      <c r="M82">
        <v>5</v>
      </c>
    </row>
    <row r="83" spans="2:13" x14ac:dyDescent="0.2">
      <c r="B83">
        <v>82</v>
      </c>
      <c r="C83" t="s">
        <v>46</v>
      </c>
      <c r="D83" t="s">
        <v>78</v>
      </c>
      <c r="E83" t="s">
        <v>135</v>
      </c>
      <c r="F83" t="s">
        <v>11</v>
      </c>
      <c r="G83" t="s">
        <v>349</v>
      </c>
      <c r="M83">
        <v>6</v>
      </c>
    </row>
    <row r="84" spans="2:13" x14ac:dyDescent="0.2">
      <c r="B84">
        <v>83</v>
      </c>
      <c r="C84" t="s">
        <v>46</v>
      </c>
      <c r="D84" t="s">
        <v>78</v>
      </c>
      <c r="E84" t="s">
        <v>136</v>
      </c>
      <c r="F84" t="s">
        <v>11</v>
      </c>
      <c r="G84" t="s">
        <v>349</v>
      </c>
      <c r="M84">
        <v>7</v>
      </c>
    </row>
    <row r="85" spans="2:13" x14ac:dyDescent="0.2">
      <c r="B85">
        <v>84</v>
      </c>
      <c r="C85" t="s">
        <v>46</v>
      </c>
      <c r="D85" t="s">
        <v>78</v>
      </c>
      <c r="E85" t="s">
        <v>137</v>
      </c>
      <c r="F85" t="s">
        <v>11</v>
      </c>
      <c r="G85" t="s">
        <v>350</v>
      </c>
      <c r="M85">
        <v>8</v>
      </c>
    </row>
    <row r="86" spans="2:13" x14ac:dyDescent="0.2">
      <c r="B86">
        <v>85</v>
      </c>
      <c r="C86" t="s">
        <v>46</v>
      </c>
      <c r="D86" t="s">
        <v>78</v>
      </c>
      <c r="E86" t="s">
        <v>138</v>
      </c>
      <c r="F86" t="s">
        <v>10</v>
      </c>
      <c r="H86" t="s">
        <v>10</v>
      </c>
      <c r="M86">
        <v>9</v>
      </c>
    </row>
    <row r="87" spans="2:13" x14ac:dyDescent="0.2">
      <c r="B87">
        <v>86</v>
      </c>
      <c r="C87" t="s">
        <v>46</v>
      </c>
      <c r="D87" t="s">
        <v>78</v>
      </c>
      <c r="E87" t="s">
        <v>139</v>
      </c>
      <c r="F87" t="s">
        <v>10</v>
      </c>
      <c r="H87" t="s">
        <v>10</v>
      </c>
      <c r="M87" s="31">
        <v>10</v>
      </c>
    </row>
    <row r="88" spans="2:13" x14ac:dyDescent="0.2">
      <c r="B88">
        <v>87</v>
      </c>
      <c r="C88" t="s">
        <v>46</v>
      </c>
      <c r="D88" s="23" t="s">
        <v>78</v>
      </c>
      <c r="E88" s="23" t="s">
        <v>140</v>
      </c>
      <c r="F88" s="23" t="s">
        <v>9</v>
      </c>
      <c r="M88">
        <v>1</v>
      </c>
    </row>
    <row r="89" spans="2:13" x14ac:dyDescent="0.2">
      <c r="B89">
        <v>88</v>
      </c>
      <c r="C89" t="s">
        <v>46</v>
      </c>
      <c r="D89" t="s">
        <v>78</v>
      </c>
      <c r="E89" t="s">
        <v>141</v>
      </c>
      <c r="F89" t="s">
        <v>10</v>
      </c>
      <c r="H89" t="s">
        <v>10</v>
      </c>
      <c r="M89">
        <v>2</v>
      </c>
    </row>
    <row r="90" spans="2:13" x14ac:dyDescent="0.2">
      <c r="B90">
        <v>89</v>
      </c>
      <c r="C90" t="s">
        <v>46</v>
      </c>
      <c r="D90" t="s">
        <v>78</v>
      </c>
      <c r="E90" t="s">
        <v>142</v>
      </c>
      <c r="F90" t="s">
        <v>11</v>
      </c>
      <c r="G90" t="s">
        <v>349</v>
      </c>
      <c r="M90">
        <v>3</v>
      </c>
    </row>
    <row r="91" spans="2:13" x14ac:dyDescent="0.2">
      <c r="B91">
        <v>90</v>
      </c>
      <c r="C91" t="s">
        <v>46</v>
      </c>
      <c r="D91" t="s">
        <v>78</v>
      </c>
      <c r="E91" s="2" t="s">
        <v>143</v>
      </c>
      <c r="F91" s="2" t="s">
        <v>10</v>
      </c>
      <c r="H91" t="s">
        <v>10</v>
      </c>
      <c r="M91">
        <v>4</v>
      </c>
    </row>
    <row r="92" spans="2:13" x14ac:dyDescent="0.2">
      <c r="B92">
        <v>91</v>
      </c>
      <c r="C92" t="s">
        <v>46</v>
      </c>
      <c r="D92" t="s">
        <v>78</v>
      </c>
      <c r="E92" t="s">
        <v>144</v>
      </c>
      <c r="F92" t="s">
        <v>11</v>
      </c>
      <c r="G92" t="s">
        <v>341</v>
      </c>
      <c r="J92" t="s">
        <v>352</v>
      </c>
      <c r="M92">
        <v>5</v>
      </c>
    </row>
    <row r="93" spans="2:13" x14ac:dyDescent="0.2">
      <c r="B93">
        <v>92</v>
      </c>
      <c r="C93" t="s">
        <v>46</v>
      </c>
      <c r="D93" t="s">
        <v>78</v>
      </c>
      <c r="E93" t="s">
        <v>145</v>
      </c>
      <c r="F93" t="s">
        <v>11</v>
      </c>
      <c r="G93" t="s">
        <v>341</v>
      </c>
      <c r="M93">
        <v>6</v>
      </c>
    </row>
    <row r="94" spans="2:13" x14ac:dyDescent="0.2">
      <c r="B94">
        <v>93</v>
      </c>
      <c r="C94" t="s">
        <v>46</v>
      </c>
      <c r="D94" t="s">
        <v>78</v>
      </c>
      <c r="E94" t="s">
        <v>146</v>
      </c>
      <c r="F94" t="s">
        <v>11</v>
      </c>
      <c r="G94" t="s">
        <v>341</v>
      </c>
      <c r="M94">
        <v>7</v>
      </c>
    </row>
    <row r="95" spans="2:13" x14ac:dyDescent="0.2">
      <c r="B95">
        <v>94</v>
      </c>
      <c r="C95" t="s">
        <v>46</v>
      </c>
      <c r="D95" t="s">
        <v>78</v>
      </c>
      <c r="E95" t="s">
        <v>147</v>
      </c>
      <c r="F95" t="s">
        <v>11</v>
      </c>
      <c r="G95" t="s">
        <v>267</v>
      </c>
      <c r="M95">
        <v>8</v>
      </c>
    </row>
    <row r="96" spans="2:13" x14ac:dyDescent="0.2">
      <c r="B96">
        <v>95</v>
      </c>
      <c r="C96" t="s">
        <v>46</v>
      </c>
      <c r="D96" t="s">
        <v>78</v>
      </c>
      <c r="E96" t="s">
        <v>148</v>
      </c>
      <c r="F96" s="2" t="s">
        <v>353</v>
      </c>
      <c r="M96">
        <v>9</v>
      </c>
    </row>
    <row r="97" spans="2:13" x14ac:dyDescent="0.2">
      <c r="B97">
        <v>96</v>
      </c>
      <c r="C97" t="s">
        <v>46</v>
      </c>
      <c r="D97" t="s">
        <v>78</v>
      </c>
      <c r="E97" t="s">
        <v>149</v>
      </c>
      <c r="F97" t="s">
        <v>11</v>
      </c>
      <c r="G97" t="s">
        <v>267</v>
      </c>
      <c r="M97" s="31">
        <v>10</v>
      </c>
    </row>
    <row r="98" spans="2:13" x14ac:dyDescent="0.2">
      <c r="B98">
        <v>97</v>
      </c>
      <c r="C98" t="s">
        <v>46</v>
      </c>
      <c r="D98" t="s">
        <v>78</v>
      </c>
      <c r="E98" s="2" t="s">
        <v>150</v>
      </c>
      <c r="F98" s="2" t="s">
        <v>10</v>
      </c>
      <c r="G98" s="2"/>
      <c r="H98" s="2" t="s">
        <v>10</v>
      </c>
      <c r="M98">
        <v>1</v>
      </c>
    </row>
    <row r="99" spans="2:13" x14ac:dyDescent="0.2">
      <c r="B99">
        <v>98</v>
      </c>
      <c r="C99" t="s">
        <v>46</v>
      </c>
      <c r="D99" t="s">
        <v>78</v>
      </c>
      <c r="E99" t="s">
        <v>151</v>
      </c>
      <c r="F99" t="s">
        <v>10</v>
      </c>
      <c r="H99" t="s">
        <v>10</v>
      </c>
      <c r="M99">
        <v>2</v>
      </c>
    </row>
    <row r="100" spans="2:13" x14ac:dyDescent="0.2">
      <c r="B100">
        <v>99</v>
      </c>
      <c r="C100" t="s">
        <v>46</v>
      </c>
      <c r="D100" t="s">
        <v>78</v>
      </c>
      <c r="E100" t="s">
        <v>152</v>
      </c>
      <c r="F100" s="2" t="s">
        <v>10</v>
      </c>
      <c r="H100" t="s">
        <v>10</v>
      </c>
      <c r="M100">
        <v>3</v>
      </c>
    </row>
    <row r="101" spans="2:13" x14ac:dyDescent="0.2">
      <c r="B101">
        <v>100</v>
      </c>
      <c r="C101" t="s">
        <v>46</v>
      </c>
      <c r="D101" t="s">
        <v>78</v>
      </c>
      <c r="E101" t="s">
        <v>153</v>
      </c>
      <c r="F101" t="s">
        <v>10</v>
      </c>
      <c r="H101" t="s">
        <v>10</v>
      </c>
      <c r="M101">
        <v>4</v>
      </c>
    </row>
    <row r="102" spans="2:13" x14ac:dyDescent="0.2">
      <c r="B102">
        <v>101</v>
      </c>
      <c r="C102" t="s">
        <v>46</v>
      </c>
      <c r="D102" t="s">
        <v>78</v>
      </c>
      <c r="E102" t="s">
        <v>154</v>
      </c>
      <c r="F102" t="s">
        <v>10</v>
      </c>
      <c r="H102" t="s">
        <v>10</v>
      </c>
      <c r="M102">
        <v>5</v>
      </c>
    </row>
    <row r="103" spans="2:13" x14ac:dyDescent="0.2">
      <c r="B103">
        <v>102</v>
      </c>
      <c r="C103" t="s">
        <v>46</v>
      </c>
      <c r="D103" t="s">
        <v>78</v>
      </c>
      <c r="E103" t="s">
        <v>155</v>
      </c>
      <c r="F103" t="s">
        <v>10</v>
      </c>
      <c r="H103" t="s">
        <v>10</v>
      </c>
      <c r="M103">
        <v>6</v>
      </c>
    </row>
    <row r="104" spans="2:13" x14ac:dyDescent="0.2">
      <c r="B104">
        <v>103</v>
      </c>
      <c r="C104" t="s">
        <v>46</v>
      </c>
      <c r="D104" t="s">
        <v>78</v>
      </c>
      <c r="E104" t="s">
        <v>156</v>
      </c>
      <c r="F104" t="s">
        <v>11</v>
      </c>
      <c r="G104" t="s">
        <v>349</v>
      </c>
      <c r="M104">
        <v>7</v>
      </c>
    </row>
    <row r="105" spans="2:13" x14ac:dyDescent="0.2">
      <c r="B105">
        <v>104</v>
      </c>
      <c r="C105" t="s">
        <v>46</v>
      </c>
      <c r="D105" t="s">
        <v>78</v>
      </c>
      <c r="E105" t="s">
        <v>154</v>
      </c>
      <c r="F105" t="s">
        <v>10</v>
      </c>
      <c r="H105" t="s">
        <v>10</v>
      </c>
      <c r="M105">
        <v>8</v>
      </c>
    </row>
    <row r="106" spans="2:13" x14ac:dyDescent="0.2">
      <c r="B106">
        <v>105</v>
      </c>
      <c r="C106" t="s">
        <v>46</v>
      </c>
      <c r="D106" s="23" t="s">
        <v>78</v>
      </c>
      <c r="E106" s="23" t="s">
        <v>157</v>
      </c>
      <c r="F106" s="23" t="s">
        <v>9</v>
      </c>
      <c r="M106">
        <v>9</v>
      </c>
    </row>
    <row r="107" spans="2:13" x14ac:dyDescent="0.2">
      <c r="B107">
        <v>106</v>
      </c>
      <c r="C107" t="s">
        <v>46</v>
      </c>
      <c r="D107" t="s">
        <v>78</v>
      </c>
      <c r="E107" t="s">
        <v>158</v>
      </c>
      <c r="F107" t="s">
        <v>10</v>
      </c>
      <c r="H107" t="s">
        <v>10</v>
      </c>
      <c r="M107" s="31">
        <v>10</v>
      </c>
    </row>
    <row r="108" spans="2:13" x14ac:dyDescent="0.2">
      <c r="B108">
        <v>107</v>
      </c>
      <c r="C108" t="s">
        <v>46</v>
      </c>
      <c r="D108" t="s">
        <v>78</v>
      </c>
      <c r="E108" s="2" t="s">
        <v>159</v>
      </c>
      <c r="F108" s="2" t="s">
        <v>10</v>
      </c>
      <c r="H108" t="s">
        <v>10</v>
      </c>
      <c r="M108">
        <v>1</v>
      </c>
    </row>
    <row r="109" spans="2:13" x14ac:dyDescent="0.2">
      <c r="B109">
        <v>108</v>
      </c>
      <c r="C109" t="s">
        <v>46</v>
      </c>
      <c r="D109" t="s">
        <v>78</v>
      </c>
      <c r="E109" t="s">
        <v>160</v>
      </c>
      <c r="F109" s="2" t="s">
        <v>10</v>
      </c>
      <c r="H109" t="s">
        <v>10</v>
      </c>
      <c r="M109">
        <v>2</v>
      </c>
    </row>
    <row r="110" spans="2:13" x14ac:dyDescent="0.2">
      <c r="B110">
        <v>109</v>
      </c>
      <c r="C110" t="s">
        <v>46</v>
      </c>
      <c r="D110" s="23" t="s">
        <v>78</v>
      </c>
      <c r="E110" s="23" t="s">
        <v>161</v>
      </c>
      <c r="F110" s="23" t="s">
        <v>11</v>
      </c>
      <c r="M110">
        <v>3</v>
      </c>
    </row>
    <row r="111" spans="2:13" x14ac:dyDescent="0.2">
      <c r="B111">
        <v>110</v>
      </c>
      <c r="C111" t="s">
        <v>46</v>
      </c>
      <c r="D111" t="s">
        <v>78</v>
      </c>
      <c r="E111" t="s">
        <v>162</v>
      </c>
      <c r="F111" t="s">
        <v>370</v>
      </c>
      <c r="M111">
        <v>4</v>
      </c>
    </row>
    <row r="112" spans="2:13" x14ac:dyDescent="0.2">
      <c r="B112">
        <v>111</v>
      </c>
      <c r="C112" t="s">
        <v>46</v>
      </c>
      <c r="D112" t="s">
        <v>78</v>
      </c>
      <c r="E112" t="s">
        <v>163</v>
      </c>
      <c r="F112" t="s">
        <v>371</v>
      </c>
      <c r="M112">
        <v>5</v>
      </c>
    </row>
    <row r="113" spans="2:13" x14ac:dyDescent="0.2">
      <c r="B113">
        <v>112</v>
      </c>
      <c r="C113" t="s">
        <v>46</v>
      </c>
      <c r="D113" t="s">
        <v>78</v>
      </c>
      <c r="E113" t="s">
        <v>164</v>
      </c>
      <c r="F113" t="s">
        <v>9</v>
      </c>
      <c r="G113" t="s">
        <v>372</v>
      </c>
      <c r="J113" t="s">
        <v>373</v>
      </c>
      <c r="M113">
        <v>6</v>
      </c>
    </row>
    <row r="114" spans="2:13" x14ac:dyDescent="0.2">
      <c r="B114">
        <v>113</v>
      </c>
      <c r="C114" t="s">
        <v>46</v>
      </c>
      <c r="D114" t="s">
        <v>78</v>
      </c>
      <c r="E114" t="s">
        <v>63</v>
      </c>
      <c r="F114" t="s">
        <v>374</v>
      </c>
      <c r="M114">
        <v>7</v>
      </c>
    </row>
    <row r="115" spans="2:13" x14ac:dyDescent="0.2">
      <c r="B115">
        <v>114</v>
      </c>
      <c r="C115" t="s">
        <v>46</v>
      </c>
      <c r="D115" t="s">
        <v>78</v>
      </c>
      <c r="E115" t="s">
        <v>165</v>
      </c>
      <c r="F115" t="s">
        <v>371</v>
      </c>
      <c r="M115">
        <v>8</v>
      </c>
    </row>
    <row r="116" spans="2:13" x14ac:dyDescent="0.2">
      <c r="B116">
        <v>115</v>
      </c>
      <c r="C116" t="s">
        <v>46</v>
      </c>
      <c r="D116" t="s">
        <v>78</v>
      </c>
      <c r="E116" t="s">
        <v>166</v>
      </c>
      <c r="F116" t="s">
        <v>341</v>
      </c>
      <c r="M116">
        <v>9</v>
      </c>
    </row>
    <row r="117" spans="2:13" x14ac:dyDescent="0.2">
      <c r="B117">
        <v>116</v>
      </c>
      <c r="C117" t="s">
        <v>46</v>
      </c>
      <c r="D117" t="s">
        <v>78</v>
      </c>
      <c r="E117" t="s">
        <v>167</v>
      </c>
      <c r="F117" t="s">
        <v>349</v>
      </c>
      <c r="M117" s="31">
        <v>10</v>
      </c>
    </row>
    <row r="118" spans="2:13" x14ac:dyDescent="0.2">
      <c r="B118">
        <v>117</v>
      </c>
      <c r="C118" t="s">
        <v>46</v>
      </c>
      <c r="D118" t="s">
        <v>78</v>
      </c>
      <c r="E118" t="s">
        <v>168</v>
      </c>
      <c r="F118" t="s">
        <v>349</v>
      </c>
      <c r="M118">
        <v>1</v>
      </c>
    </row>
    <row r="119" spans="2:13" x14ac:dyDescent="0.2">
      <c r="B119">
        <v>118</v>
      </c>
      <c r="C119" t="s">
        <v>46</v>
      </c>
      <c r="D119" t="s">
        <v>78</v>
      </c>
      <c r="E119" t="s">
        <v>169</v>
      </c>
      <c r="F119" t="s">
        <v>349</v>
      </c>
      <c r="M119">
        <v>2</v>
      </c>
    </row>
    <row r="120" spans="2:13" x14ac:dyDescent="0.2">
      <c r="B120">
        <v>119</v>
      </c>
      <c r="C120" t="s">
        <v>46</v>
      </c>
      <c r="D120" t="s">
        <v>78</v>
      </c>
      <c r="E120" t="s">
        <v>170</v>
      </c>
      <c r="F120" t="s">
        <v>375</v>
      </c>
      <c r="M120">
        <v>3</v>
      </c>
    </row>
    <row r="121" spans="2:13" x14ac:dyDescent="0.2">
      <c r="B121">
        <v>120</v>
      </c>
      <c r="C121" t="s">
        <v>46</v>
      </c>
      <c r="D121" t="s">
        <v>78</v>
      </c>
      <c r="E121" t="s">
        <v>171</v>
      </c>
      <c r="F121" t="s">
        <v>10</v>
      </c>
      <c r="H121" t="s">
        <v>10</v>
      </c>
      <c r="M121">
        <v>4</v>
      </c>
    </row>
    <row r="122" spans="2:13" x14ac:dyDescent="0.2">
      <c r="B122">
        <v>121</v>
      </c>
      <c r="C122" t="s">
        <v>46</v>
      </c>
      <c r="D122" t="s">
        <v>78</v>
      </c>
      <c r="E122" t="s">
        <v>172</v>
      </c>
      <c r="F122" t="s">
        <v>10</v>
      </c>
      <c r="H122" t="s">
        <v>10</v>
      </c>
      <c r="M122">
        <v>5</v>
      </c>
    </row>
    <row r="123" spans="2:13" x14ac:dyDescent="0.2">
      <c r="B123">
        <v>122</v>
      </c>
      <c r="C123" t="s">
        <v>46</v>
      </c>
      <c r="D123" t="s">
        <v>78</v>
      </c>
      <c r="E123" t="s">
        <v>173</v>
      </c>
      <c r="F123" t="s">
        <v>377</v>
      </c>
      <c r="M123">
        <v>6</v>
      </c>
    </row>
    <row r="124" spans="2:13" x14ac:dyDescent="0.2">
      <c r="B124">
        <v>123</v>
      </c>
      <c r="C124" t="s">
        <v>46</v>
      </c>
      <c r="D124" t="s">
        <v>78</v>
      </c>
      <c r="E124" t="s">
        <v>174</v>
      </c>
      <c r="F124" s="2" t="s">
        <v>10</v>
      </c>
      <c r="H124" t="s">
        <v>10</v>
      </c>
      <c r="M124">
        <v>7</v>
      </c>
    </row>
    <row r="125" spans="2:13" x14ac:dyDescent="0.2">
      <c r="B125">
        <v>124</v>
      </c>
      <c r="C125" t="s">
        <v>46</v>
      </c>
      <c r="D125" t="s">
        <v>78</v>
      </c>
      <c r="E125" t="s">
        <v>175</v>
      </c>
      <c r="F125" t="s">
        <v>349</v>
      </c>
      <c r="M125">
        <v>8</v>
      </c>
    </row>
    <row r="126" spans="2:13" x14ac:dyDescent="0.2">
      <c r="B126">
        <v>125</v>
      </c>
      <c r="C126" t="s">
        <v>46</v>
      </c>
      <c r="D126" t="s">
        <v>78</v>
      </c>
      <c r="E126" t="s">
        <v>176</v>
      </c>
      <c r="F126" s="2" t="s">
        <v>10</v>
      </c>
      <c r="H126" t="s">
        <v>10</v>
      </c>
      <c r="M126">
        <v>9</v>
      </c>
    </row>
    <row r="127" spans="2:13" x14ac:dyDescent="0.2">
      <c r="B127">
        <v>126</v>
      </c>
      <c r="C127" t="s">
        <v>46</v>
      </c>
      <c r="D127" t="s">
        <v>78</v>
      </c>
      <c r="E127" t="s">
        <v>177</v>
      </c>
      <c r="F127" t="s">
        <v>379</v>
      </c>
      <c r="M127" s="31">
        <v>10</v>
      </c>
    </row>
    <row r="128" spans="2:13" x14ac:dyDescent="0.2">
      <c r="B128">
        <v>127</v>
      </c>
      <c r="C128" t="s">
        <v>46</v>
      </c>
      <c r="D128" t="s">
        <v>78</v>
      </c>
      <c r="E128" t="s">
        <v>178</v>
      </c>
      <c r="F128" t="s">
        <v>380</v>
      </c>
      <c r="M128">
        <v>1</v>
      </c>
    </row>
    <row r="129" spans="2:13" x14ac:dyDescent="0.2">
      <c r="B129">
        <v>128</v>
      </c>
      <c r="C129" t="s">
        <v>46</v>
      </c>
      <c r="D129" t="s">
        <v>78</v>
      </c>
      <c r="E129" t="s">
        <v>179</v>
      </c>
      <c r="F129" t="s">
        <v>341</v>
      </c>
      <c r="M129">
        <v>2</v>
      </c>
    </row>
    <row r="130" spans="2:13" x14ac:dyDescent="0.2">
      <c r="B130">
        <v>129</v>
      </c>
      <c r="C130" t="s">
        <v>46</v>
      </c>
      <c r="D130" t="s">
        <v>78</v>
      </c>
      <c r="E130" t="s">
        <v>180</v>
      </c>
      <c r="F130" t="s">
        <v>10</v>
      </c>
      <c r="H130" t="s">
        <v>10</v>
      </c>
      <c r="M130">
        <v>3</v>
      </c>
    </row>
    <row r="131" spans="2:13" x14ac:dyDescent="0.2">
      <c r="B131">
        <v>130</v>
      </c>
      <c r="C131" t="s">
        <v>46</v>
      </c>
      <c r="D131" t="s">
        <v>78</v>
      </c>
      <c r="E131" t="s">
        <v>181</v>
      </c>
      <c r="F131" t="s">
        <v>349</v>
      </c>
      <c r="I131" t="s">
        <v>383</v>
      </c>
      <c r="M131">
        <v>4</v>
      </c>
    </row>
    <row r="132" spans="2:13" x14ac:dyDescent="0.2">
      <c r="B132">
        <v>131</v>
      </c>
      <c r="C132" t="s">
        <v>46</v>
      </c>
      <c r="D132" t="s">
        <v>78</v>
      </c>
      <c r="E132" t="s">
        <v>182</v>
      </c>
      <c r="F132" t="s">
        <v>384</v>
      </c>
      <c r="M132">
        <v>5</v>
      </c>
    </row>
    <row r="133" spans="2:13" x14ac:dyDescent="0.2">
      <c r="B133">
        <v>132</v>
      </c>
      <c r="C133" t="s">
        <v>46</v>
      </c>
      <c r="D133" t="s">
        <v>78</v>
      </c>
      <c r="E133" t="s">
        <v>183</v>
      </c>
      <c r="F133" t="s">
        <v>10</v>
      </c>
      <c r="H133" t="s">
        <v>10</v>
      </c>
      <c r="M133">
        <v>6</v>
      </c>
    </row>
    <row r="134" spans="2:13" x14ac:dyDescent="0.2">
      <c r="B134">
        <v>133</v>
      </c>
      <c r="C134" t="s">
        <v>46</v>
      </c>
      <c r="D134" t="s">
        <v>78</v>
      </c>
      <c r="E134" t="s">
        <v>184</v>
      </c>
      <c r="F134" t="s">
        <v>9</v>
      </c>
      <c r="G134" t="s">
        <v>385</v>
      </c>
      <c r="M134">
        <v>7</v>
      </c>
    </row>
    <row r="135" spans="2:13" x14ac:dyDescent="0.2">
      <c r="B135">
        <v>134</v>
      </c>
      <c r="C135" t="s">
        <v>46</v>
      </c>
      <c r="D135" t="s">
        <v>78</v>
      </c>
      <c r="E135" t="s">
        <v>185</v>
      </c>
      <c r="F135" t="s">
        <v>349</v>
      </c>
      <c r="I135" t="s">
        <v>386</v>
      </c>
      <c r="M135">
        <v>8</v>
      </c>
    </row>
    <row r="136" spans="2:13" x14ac:dyDescent="0.2">
      <c r="B136">
        <v>135</v>
      </c>
      <c r="C136" t="s">
        <v>46</v>
      </c>
      <c r="D136" t="s">
        <v>78</v>
      </c>
      <c r="E136" t="s">
        <v>186</v>
      </c>
      <c r="F136" t="s">
        <v>9</v>
      </c>
      <c r="G136" t="s">
        <v>387</v>
      </c>
      <c r="M136">
        <v>9</v>
      </c>
    </row>
    <row r="137" spans="2:13" x14ac:dyDescent="0.2">
      <c r="B137">
        <v>136</v>
      </c>
      <c r="C137" t="s">
        <v>46</v>
      </c>
      <c r="D137" t="s">
        <v>78</v>
      </c>
      <c r="E137" t="s">
        <v>187</v>
      </c>
      <c r="F137" t="s">
        <v>388</v>
      </c>
      <c r="M137" s="31">
        <v>10</v>
      </c>
    </row>
    <row r="138" spans="2:13" x14ac:dyDescent="0.2">
      <c r="B138">
        <v>137</v>
      </c>
      <c r="C138" t="s">
        <v>46</v>
      </c>
      <c r="D138" t="s">
        <v>78</v>
      </c>
      <c r="E138" t="s">
        <v>188</v>
      </c>
      <c r="F138" t="s">
        <v>10</v>
      </c>
      <c r="H138" t="s">
        <v>10</v>
      </c>
      <c r="I138" t="s">
        <v>389</v>
      </c>
      <c r="M138">
        <v>1</v>
      </c>
    </row>
    <row r="139" spans="2:13" x14ac:dyDescent="0.2">
      <c r="B139">
        <v>138</v>
      </c>
      <c r="C139" t="s">
        <v>46</v>
      </c>
      <c r="D139" t="s">
        <v>78</v>
      </c>
      <c r="E139" t="s">
        <v>189</v>
      </c>
      <c r="F139" t="s">
        <v>10</v>
      </c>
      <c r="H139" t="s">
        <v>10</v>
      </c>
      <c r="M139">
        <v>2</v>
      </c>
    </row>
    <row r="140" spans="2:13" x14ac:dyDescent="0.2">
      <c r="B140">
        <v>139</v>
      </c>
      <c r="C140" t="s">
        <v>46</v>
      </c>
      <c r="D140" t="s">
        <v>78</v>
      </c>
      <c r="E140" t="s">
        <v>190</v>
      </c>
      <c r="F140" t="s">
        <v>263</v>
      </c>
      <c r="M140">
        <v>3</v>
      </c>
    </row>
    <row r="141" spans="2:13" x14ac:dyDescent="0.2">
      <c r="B141">
        <v>140</v>
      </c>
      <c r="C141" t="s">
        <v>46</v>
      </c>
      <c r="D141" t="s">
        <v>78</v>
      </c>
      <c r="E141" t="s">
        <v>191</v>
      </c>
      <c r="F141" t="s">
        <v>10</v>
      </c>
      <c r="H141" t="s">
        <v>10</v>
      </c>
      <c r="M141">
        <v>4</v>
      </c>
    </row>
    <row r="142" spans="2:13" x14ac:dyDescent="0.2">
      <c r="B142">
        <v>141</v>
      </c>
      <c r="C142" t="s">
        <v>46</v>
      </c>
      <c r="D142" t="s">
        <v>78</v>
      </c>
      <c r="E142" t="s">
        <v>192</v>
      </c>
      <c r="F142" t="s">
        <v>10</v>
      </c>
      <c r="H142" t="s">
        <v>10</v>
      </c>
      <c r="M142">
        <v>5</v>
      </c>
    </row>
    <row r="143" spans="2:13" x14ac:dyDescent="0.2">
      <c r="B143">
        <v>142</v>
      </c>
      <c r="C143" t="s">
        <v>46</v>
      </c>
      <c r="D143" t="s">
        <v>78</v>
      </c>
      <c r="E143" t="s">
        <v>193</v>
      </c>
      <c r="F143" t="s">
        <v>349</v>
      </c>
      <c r="M143">
        <v>6</v>
      </c>
    </row>
    <row r="144" spans="2:13" x14ac:dyDescent="0.2">
      <c r="B144">
        <v>143</v>
      </c>
      <c r="C144" t="s">
        <v>46</v>
      </c>
      <c r="D144" t="s">
        <v>78</v>
      </c>
      <c r="E144" t="s">
        <v>194</v>
      </c>
      <c r="F144" t="s">
        <v>388</v>
      </c>
      <c r="M144">
        <v>7</v>
      </c>
    </row>
    <row r="145" spans="2:13" x14ac:dyDescent="0.2">
      <c r="B145">
        <v>144</v>
      </c>
      <c r="C145" t="s">
        <v>46</v>
      </c>
      <c r="D145" t="s">
        <v>78</v>
      </c>
      <c r="E145" t="s">
        <v>195</v>
      </c>
      <c r="F145" t="s">
        <v>9</v>
      </c>
      <c r="M145">
        <v>8</v>
      </c>
    </row>
    <row r="146" spans="2:13" x14ac:dyDescent="0.2">
      <c r="B146">
        <v>145</v>
      </c>
      <c r="C146" t="s">
        <v>46</v>
      </c>
      <c r="D146" t="s">
        <v>78</v>
      </c>
      <c r="E146" t="s">
        <v>196</v>
      </c>
      <c r="F146" t="s">
        <v>13</v>
      </c>
      <c r="M146">
        <v>9</v>
      </c>
    </row>
    <row r="147" spans="2:13" x14ac:dyDescent="0.2">
      <c r="B147">
        <v>146</v>
      </c>
      <c r="C147" t="s">
        <v>46</v>
      </c>
      <c r="D147" t="s">
        <v>78</v>
      </c>
      <c r="E147" t="s">
        <v>197</v>
      </c>
      <c r="F147" t="s">
        <v>10</v>
      </c>
      <c r="H147" t="s">
        <v>10</v>
      </c>
      <c r="M147" s="31">
        <v>10</v>
      </c>
    </row>
    <row r="148" spans="2:13" x14ac:dyDescent="0.2">
      <c r="B148">
        <v>147</v>
      </c>
      <c r="C148" t="s">
        <v>46</v>
      </c>
      <c r="D148" t="s">
        <v>78</v>
      </c>
      <c r="E148" t="s">
        <v>198</v>
      </c>
      <c r="F148" t="s">
        <v>10</v>
      </c>
      <c r="H148" t="s">
        <v>10</v>
      </c>
      <c r="M148">
        <v>1</v>
      </c>
    </row>
    <row r="149" spans="2:13" x14ac:dyDescent="0.2">
      <c r="B149">
        <v>148</v>
      </c>
      <c r="C149" t="s">
        <v>46</v>
      </c>
      <c r="D149" t="s">
        <v>78</v>
      </c>
      <c r="E149" t="s">
        <v>199</v>
      </c>
      <c r="F149" t="s">
        <v>9</v>
      </c>
      <c r="M149">
        <v>2</v>
      </c>
    </row>
    <row r="150" spans="2:13" x14ac:dyDescent="0.2">
      <c r="B150">
        <v>149</v>
      </c>
      <c r="C150" t="s">
        <v>46</v>
      </c>
      <c r="D150" t="s">
        <v>78</v>
      </c>
      <c r="E150" t="s">
        <v>200</v>
      </c>
      <c r="F150" t="s">
        <v>13</v>
      </c>
      <c r="M150">
        <v>3</v>
      </c>
    </row>
    <row r="151" spans="2:13" x14ac:dyDescent="0.2">
      <c r="B151">
        <v>150</v>
      </c>
      <c r="C151" t="s">
        <v>46</v>
      </c>
      <c r="D151" t="s">
        <v>78</v>
      </c>
      <c r="E151" t="s">
        <v>201</v>
      </c>
      <c r="F151" t="s">
        <v>10</v>
      </c>
      <c r="H151" t="s">
        <v>10</v>
      </c>
      <c r="M151" s="31">
        <v>4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25BEE-D1B9-442B-BDAD-B12BBAA09D26}">
  <dimension ref="A1:BH268"/>
  <sheetViews>
    <sheetView tabSelected="1" zoomScale="80" zoomScaleNormal="80" workbookViewId="0">
      <pane xSplit="3" ySplit="2" topLeftCell="Y201" activePane="bottomRight" state="frozen"/>
      <selection pane="topRight" activeCell="D1" sqref="D1"/>
      <selection pane="bottomLeft" activeCell="A3" sqref="A3"/>
      <selection pane="bottomRight" activeCell="AL1" sqref="AL1:AL1048576"/>
    </sheetView>
  </sheetViews>
  <sheetFormatPr defaultRowHeight="14.25" x14ac:dyDescent="0.2"/>
  <cols>
    <col min="5" max="5" width="9" customWidth="1"/>
    <col min="8" max="8" width="9.75" customWidth="1"/>
    <col min="11" max="11" width="4.5" customWidth="1"/>
    <col min="13" max="13" width="11.875" bestFit="1" customWidth="1"/>
    <col min="17" max="17" width="8.5" customWidth="1"/>
    <col min="21" max="23" width="9" customWidth="1"/>
    <col min="24" max="24" width="2.5" customWidth="1"/>
    <col min="25" max="25" width="14.875" customWidth="1"/>
    <col min="26" max="26" width="11.625" customWidth="1"/>
    <col min="27" max="27" width="17.5" customWidth="1"/>
    <col min="28" max="28" width="15.5" customWidth="1"/>
    <col min="29" max="29" width="13.125" customWidth="1"/>
    <col min="30" max="30" width="23.375" customWidth="1"/>
    <col min="31" max="31" width="14.625" customWidth="1"/>
    <col min="32" max="32" width="2" customWidth="1"/>
    <col min="33" max="33" width="13.5" customWidth="1"/>
    <col min="34" max="34" width="15.125" customWidth="1"/>
    <col min="35" max="35" width="10.875" customWidth="1"/>
    <col min="36" max="36" width="11.875" customWidth="1"/>
    <col min="37" max="37" width="1.5" customWidth="1"/>
    <col min="38" max="38" width="14.875" customWidth="1"/>
    <col min="41" max="43" width="0" hidden="1" customWidth="1"/>
    <col min="44" max="44" width="11.875" hidden="1" customWidth="1"/>
  </cols>
  <sheetData>
    <row r="1" spans="1:52" x14ac:dyDescent="0.2">
      <c r="AO1" t="s">
        <v>425</v>
      </c>
      <c r="AT1" t="s">
        <v>426</v>
      </c>
    </row>
    <row r="2" spans="1:52" ht="45.75" customHeight="1" x14ac:dyDescent="0.2">
      <c r="B2" s="33" t="s">
        <v>14</v>
      </c>
      <c r="C2" s="33"/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428</v>
      </c>
      <c r="W2" t="s">
        <v>429</v>
      </c>
      <c r="Y2" t="s">
        <v>309</v>
      </c>
      <c r="Z2" s="4" t="s">
        <v>32</v>
      </c>
      <c r="AA2" s="4" t="s">
        <v>33</v>
      </c>
      <c r="AB2" s="4" t="s">
        <v>34</v>
      </c>
      <c r="AC2" s="4" t="s">
        <v>35</v>
      </c>
      <c r="AD2" s="4" t="s">
        <v>36</v>
      </c>
      <c r="AE2" s="4" t="s">
        <v>37</v>
      </c>
      <c r="AG2" s="4" t="s">
        <v>268</v>
      </c>
      <c r="AH2" s="4" t="s">
        <v>39</v>
      </c>
      <c r="AI2" s="4" t="s">
        <v>40</v>
      </c>
      <c r="AJ2" s="4" t="s">
        <v>41</v>
      </c>
      <c r="AL2" s="4" t="s">
        <v>42</v>
      </c>
      <c r="AO2" t="s">
        <v>422</v>
      </c>
      <c r="AP2" t="s">
        <v>423</v>
      </c>
      <c r="AR2" t="s">
        <v>424</v>
      </c>
      <c r="AT2" t="s">
        <v>422</v>
      </c>
      <c r="AU2" t="s">
        <v>423</v>
      </c>
      <c r="AV2" t="s">
        <v>427</v>
      </c>
      <c r="AX2" t="s">
        <v>424</v>
      </c>
    </row>
    <row r="3" spans="1:52" ht="15" x14ac:dyDescent="0.25">
      <c r="B3" s="33" t="s">
        <v>46</v>
      </c>
      <c r="C3" s="33"/>
      <c r="D3" t="s">
        <v>7</v>
      </c>
      <c r="E3">
        <f>1.1*(PI()*(0.105/2)^2)</f>
        <v>9.524916226602554E-3</v>
      </c>
      <c r="F3">
        <v>20</v>
      </c>
      <c r="H3">
        <v>0.18</v>
      </c>
      <c r="L3" s="9">
        <v>53.63</v>
      </c>
      <c r="M3" s="9">
        <v>475.66</v>
      </c>
      <c r="N3" s="9">
        <v>22.75</v>
      </c>
      <c r="O3" s="9">
        <v>58</v>
      </c>
      <c r="P3" s="9">
        <v>7.79</v>
      </c>
      <c r="Q3" s="9">
        <f>((14-P3)/14)*100</f>
        <v>44.357142857142854</v>
      </c>
      <c r="R3" s="9">
        <v>52.53</v>
      </c>
      <c r="S3" s="9">
        <f>((M3-R3)/M3)*100</f>
        <v>88.956397426733375</v>
      </c>
      <c r="T3" t="s">
        <v>43</v>
      </c>
      <c r="U3" t="s">
        <v>43</v>
      </c>
      <c r="Z3" s="3"/>
      <c r="AA3" s="3" t="s">
        <v>43</v>
      </c>
      <c r="AB3" s="3" t="s">
        <v>43</v>
      </c>
      <c r="AC3" s="3"/>
      <c r="AD3" s="5" t="s">
        <v>43</v>
      </c>
      <c r="AE3" s="3" t="s">
        <v>43</v>
      </c>
      <c r="AG3" s="3" t="s">
        <v>43</v>
      </c>
      <c r="AH3" s="3" t="s">
        <v>43</v>
      </c>
      <c r="AI3" s="3" t="s">
        <v>43</v>
      </c>
      <c r="AJ3" s="3" t="s">
        <v>43</v>
      </c>
      <c r="AL3" s="3" t="s">
        <v>56</v>
      </c>
      <c r="AO3">
        <v>10</v>
      </c>
      <c r="AP3">
        <v>4</v>
      </c>
      <c r="AR3">
        <f>(AP3+AO3)*LN((AP3+2))</f>
        <v>25.08463256919277</v>
      </c>
      <c r="AT3">
        <v>6</v>
      </c>
      <c r="AU3">
        <v>4</v>
      </c>
      <c r="AV3">
        <v>1</v>
      </c>
      <c r="AX3">
        <f>(AU3+AT3)*LN((AU3+2))</f>
        <v>17.917594692280549</v>
      </c>
      <c r="AZ3">
        <f>(AT3+AU3)*LN(AV3+2)</f>
        <v>10.986122886681098</v>
      </c>
    </row>
    <row r="4" spans="1:52" ht="15" x14ac:dyDescent="0.25">
      <c r="A4" s="3"/>
      <c r="B4" s="33" t="s">
        <v>46</v>
      </c>
      <c r="C4" s="33"/>
      <c r="D4" t="s">
        <v>7</v>
      </c>
      <c r="E4" s="3">
        <v>0.25</v>
      </c>
      <c r="F4" s="3">
        <v>17</v>
      </c>
      <c r="G4" s="3">
        <v>60</v>
      </c>
      <c r="H4" s="10"/>
      <c r="I4" s="3">
        <v>18</v>
      </c>
      <c r="J4" s="3">
        <v>1</v>
      </c>
      <c r="K4" s="3"/>
      <c r="L4" s="3">
        <v>335</v>
      </c>
      <c r="M4" s="6">
        <f>(J4*E4)/(E4/(I4*24))</f>
        <v>432</v>
      </c>
      <c r="N4" s="6"/>
      <c r="O4" s="7">
        <v>66.268656716417908</v>
      </c>
      <c r="P4" s="7"/>
      <c r="Q4" s="3" t="s">
        <v>43</v>
      </c>
      <c r="R4" s="3"/>
      <c r="S4" s="7">
        <v>56.8</v>
      </c>
      <c r="T4" s="44"/>
      <c r="U4" s="7">
        <v>72</v>
      </c>
      <c r="V4" s="12">
        <v>149</v>
      </c>
      <c r="W4" s="7">
        <v>35</v>
      </c>
      <c r="X4" s="3"/>
      <c r="Y4" s="3"/>
      <c r="Z4" s="3"/>
      <c r="AA4" s="3" t="s">
        <v>43</v>
      </c>
      <c r="AB4" s="3" t="s">
        <v>43</v>
      </c>
      <c r="AC4" s="3"/>
      <c r="AD4" s="5" t="s">
        <v>43</v>
      </c>
      <c r="AE4" s="3" t="s">
        <v>43</v>
      </c>
      <c r="AF4" s="3"/>
      <c r="AG4" s="3" t="s">
        <v>43</v>
      </c>
      <c r="AH4" s="3" t="s">
        <v>43</v>
      </c>
      <c r="AI4" s="3" t="s">
        <v>43</v>
      </c>
      <c r="AJ4" s="3" t="s">
        <v>43</v>
      </c>
      <c r="AK4" s="3"/>
      <c r="AL4" s="34" t="s">
        <v>44</v>
      </c>
      <c r="AO4">
        <v>11</v>
      </c>
      <c r="AP4">
        <v>4</v>
      </c>
      <c r="AR4">
        <f t="shared" ref="AR4:AR14" si="0">(AP4+AO4)*LN((AP4+2))</f>
        <v>26.876392038420825</v>
      </c>
      <c r="AT4">
        <v>7</v>
      </c>
      <c r="AU4">
        <v>4</v>
      </c>
      <c r="AV4">
        <v>1</v>
      </c>
      <c r="AX4">
        <f>(AU4+AT4)*LN((AU4+2))</f>
        <v>19.709354161508603</v>
      </c>
      <c r="AZ4">
        <f t="shared" ref="AZ4:AZ67" si="1">(AT4+AU4)*LN(AV4+2)</f>
        <v>12.084735175349207</v>
      </c>
    </row>
    <row r="5" spans="1:52" ht="15" x14ac:dyDescent="0.25">
      <c r="A5" s="3"/>
      <c r="B5" s="33" t="s">
        <v>46</v>
      </c>
      <c r="C5" s="33"/>
      <c r="D5" t="s">
        <v>7</v>
      </c>
      <c r="E5" s="3">
        <v>0.25</v>
      </c>
      <c r="F5" s="3">
        <v>9</v>
      </c>
      <c r="G5" s="3">
        <v>30</v>
      </c>
      <c r="H5" s="10"/>
      <c r="I5" s="3">
        <v>12</v>
      </c>
      <c r="J5" s="3">
        <v>1.7</v>
      </c>
      <c r="K5" s="3"/>
      <c r="L5" s="3">
        <v>491</v>
      </c>
      <c r="M5" s="6">
        <f>(J5*E5)/(E5/(I5*24))</f>
        <v>489.6</v>
      </c>
      <c r="N5" s="6"/>
      <c r="O5" s="7">
        <v>59.063136456211815</v>
      </c>
      <c r="P5" s="7"/>
      <c r="Q5" s="3" t="s">
        <v>43</v>
      </c>
      <c r="R5" s="3"/>
      <c r="S5" s="7">
        <v>43.916570104287374</v>
      </c>
      <c r="T5" s="44"/>
      <c r="U5" s="7">
        <v>23</v>
      </c>
      <c r="V5" s="12"/>
      <c r="W5" s="7">
        <v>52</v>
      </c>
      <c r="X5" s="3"/>
      <c r="Y5" s="3"/>
      <c r="Z5" s="3"/>
      <c r="AA5" s="3" t="s">
        <v>43</v>
      </c>
      <c r="AB5" s="3" t="s">
        <v>43</v>
      </c>
      <c r="AC5" s="3"/>
      <c r="AD5" s="5" t="s">
        <v>43</v>
      </c>
      <c r="AE5" s="3" t="s">
        <v>43</v>
      </c>
      <c r="AF5" s="3"/>
      <c r="AG5" s="3" t="s">
        <v>43</v>
      </c>
      <c r="AH5" s="3" t="s">
        <v>43</v>
      </c>
      <c r="AI5" s="3" t="s">
        <v>43</v>
      </c>
      <c r="AJ5" s="3" t="s">
        <v>43</v>
      </c>
      <c r="AK5" s="3"/>
      <c r="AL5" s="34"/>
      <c r="AM5" t="s">
        <v>251</v>
      </c>
      <c r="AO5">
        <v>11</v>
      </c>
      <c r="AP5">
        <v>4</v>
      </c>
      <c r="AR5">
        <f t="shared" si="0"/>
        <v>26.876392038420825</v>
      </c>
      <c r="AT5">
        <v>7</v>
      </c>
      <c r="AU5">
        <v>4</v>
      </c>
      <c r="AV5">
        <v>1</v>
      </c>
      <c r="AX5">
        <f t="shared" ref="AX5:AX24" si="2">(AU5+AT5)*LN((AU5+2))</f>
        <v>19.709354161508603</v>
      </c>
      <c r="AZ5">
        <f t="shared" si="1"/>
        <v>12.084735175349207</v>
      </c>
    </row>
    <row r="6" spans="1:52" ht="15" x14ac:dyDescent="0.25">
      <c r="A6" s="3"/>
      <c r="B6" s="33" t="s">
        <v>46</v>
      </c>
      <c r="C6" s="33"/>
      <c r="D6" t="s">
        <v>7</v>
      </c>
      <c r="E6" s="3">
        <v>0.25</v>
      </c>
      <c r="F6" s="3">
        <v>13</v>
      </c>
      <c r="G6" s="3">
        <v>60</v>
      </c>
      <c r="H6" s="10"/>
      <c r="I6" s="3">
        <v>8</v>
      </c>
      <c r="J6" s="3">
        <v>2.2000000000000002</v>
      </c>
      <c r="K6" s="3"/>
      <c r="L6" s="3">
        <v>349</v>
      </c>
      <c r="M6" s="6">
        <f>(J6*E6)/(E6/(I6*24))</f>
        <v>422.40000000000003</v>
      </c>
      <c r="N6" s="6"/>
      <c r="O6" s="7">
        <v>55.300859598853869</v>
      </c>
      <c r="P6" s="7"/>
      <c r="Q6" s="3" t="s">
        <v>43</v>
      </c>
      <c r="R6" s="3"/>
      <c r="S6" s="7">
        <v>48.113207547169814</v>
      </c>
      <c r="T6" s="44"/>
      <c r="U6" s="7">
        <v>62</v>
      </c>
      <c r="V6" s="12"/>
      <c r="W6" s="7">
        <v>32</v>
      </c>
      <c r="X6" s="3"/>
      <c r="Y6" s="3"/>
      <c r="Z6" s="3"/>
      <c r="AA6" s="3" t="s">
        <v>43</v>
      </c>
      <c r="AB6" s="3" t="s">
        <v>43</v>
      </c>
      <c r="AC6" s="3"/>
      <c r="AD6" s="5" t="s">
        <v>43</v>
      </c>
      <c r="AE6" s="3" t="s">
        <v>43</v>
      </c>
      <c r="AF6" s="3"/>
      <c r="AG6" s="3" t="s">
        <v>43</v>
      </c>
      <c r="AH6" s="3" t="s">
        <v>43</v>
      </c>
      <c r="AI6" s="3" t="s">
        <v>43</v>
      </c>
      <c r="AJ6" s="3" t="s">
        <v>43</v>
      </c>
      <c r="AK6" s="3"/>
      <c r="AL6" s="34"/>
      <c r="AO6">
        <v>11</v>
      </c>
      <c r="AP6">
        <v>4</v>
      </c>
      <c r="AR6">
        <f t="shared" si="0"/>
        <v>26.876392038420825</v>
      </c>
      <c r="AT6">
        <v>7</v>
      </c>
      <c r="AU6">
        <v>4</v>
      </c>
      <c r="AV6">
        <v>1</v>
      </c>
      <c r="AX6">
        <f t="shared" si="2"/>
        <v>19.709354161508603</v>
      </c>
      <c r="AZ6">
        <f t="shared" si="1"/>
        <v>12.084735175349207</v>
      </c>
    </row>
    <row r="7" spans="1:52" ht="15" x14ac:dyDescent="0.25">
      <c r="A7" s="3"/>
      <c r="B7" s="33" t="s">
        <v>46</v>
      </c>
      <c r="C7" s="33"/>
      <c r="D7" t="s">
        <v>7</v>
      </c>
      <c r="E7" s="3">
        <v>0.25</v>
      </c>
      <c r="F7" s="3">
        <v>19</v>
      </c>
      <c r="G7" s="3">
        <v>90</v>
      </c>
      <c r="H7" s="10"/>
      <c r="I7" s="3">
        <v>6</v>
      </c>
      <c r="J7" s="3">
        <v>3.3</v>
      </c>
      <c r="K7" s="3"/>
      <c r="L7" s="3">
        <v>343</v>
      </c>
      <c r="M7" s="6">
        <f>(J7*E7)/(E7/(I7*24))</f>
        <v>475.2</v>
      </c>
      <c r="N7" s="6"/>
      <c r="O7" s="7">
        <v>41.982507288629741</v>
      </c>
      <c r="P7" s="7"/>
      <c r="Q7" s="3" t="s">
        <v>43</v>
      </c>
      <c r="R7" s="3"/>
      <c r="S7" s="7">
        <v>38.356164383561641</v>
      </c>
      <c r="T7" s="44"/>
      <c r="U7" s="7">
        <v>46</v>
      </c>
      <c r="V7" s="12"/>
      <c r="W7" s="7">
        <v>31</v>
      </c>
      <c r="X7" s="3"/>
      <c r="Y7" s="3"/>
      <c r="Z7" s="3"/>
      <c r="AA7" s="3" t="s">
        <v>43</v>
      </c>
      <c r="AB7" s="3" t="s">
        <v>43</v>
      </c>
      <c r="AC7" s="3"/>
      <c r="AD7" s="5" t="s">
        <v>43</v>
      </c>
      <c r="AE7" s="3" t="s">
        <v>43</v>
      </c>
      <c r="AF7" s="3"/>
      <c r="AG7" s="3" t="s">
        <v>43</v>
      </c>
      <c r="AH7" s="3" t="s">
        <v>43</v>
      </c>
      <c r="AI7" s="3" t="s">
        <v>43</v>
      </c>
      <c r="AJ7" s="3" t="s">
        <v>43</v>
      </c>
      <c r="AK7" s="3"/>
      <c r="AL7" s="34"/>
      <c r="AO7">
        <v>11</v>
      </c>
      <c r="AP7">
        <v>4</v>
      </c>
      <c r="AR7">
        <f t="shared" si="0"/>
        <v>26.876392038420825</v>
      </c>
      <c r="AT7">
        <v>7</v>
      </c>
      <c r="AU7">
        <v>4</v>
      </c>
      <c r="AV7">
        <v>1</v>
      </c>
      <c r="AX7">
        <f t="shared" si="2"/>
        <v>19.709354161508603</v>
      </c>
      <c r="AZ7">
        <f t="shared" si="1"/>
        <v>12.084735175349207</v>
      </c>
    </row>
    <row r="8" spans="1:52" ht="15" x14ac:dyDescent="0.25">
      <c r="A8" s="3"/>
      <c r="B8" s="33" t="s">
        <v>46</v>
      </c>
      <c r="C8" s="33"/>
      <c r="D8" t="s">
        <v>7</v>
      </c>
      <c r="E8" s="3">
        <v>0.25</v>
      </c>
      <c r="F8" s="3">
        <v>22</v>
      </c>
      <c r="G8" s="3"/>
      <c r="H8" s="10"/>
      <c r="I8" s="3">
        <v>5</v>
      </c>
      <c r="J8" s="3">
        <v>3</v>
      </c>
      <c r="K8" s="3"/>
      <c r="L8" s="3">
        <v>342</v>
      </c>
      <c r="M8" s="6">
        <v>618</v>
      </c>
      <c r="N8" s="6">
        <v>224</v>
      </c>
      <c r="O8" s="7">
        <v>35</v>
      </c>
      <c r="P8" s="7"/>
      <c r="Q8" s="3"/>
      <c r="R8" s="3">
        <v>495</v>
      </c>
      <c r="S8" s="7">
        <v>39</v>
      </c>
      <c r="T8" s="7"/>
      <c r="U8" s="7">
        <v>37</v>
      </c>
      <c r="V8" s="12"/>
      <c r="W8" s="7">
        <v>15</v>
      </c>
      <c r="X8" s="3"/>
      <c r="Y8" s="3"/>
      <c r="Z8" s="3"/>
      <c r="AA8" s="3" t="s">
        <v>43</v>
      </c>
      <c r="AB8" s="3" t="s">
        <v>43</v>
      </c>
      <c r="AC8" s="3"/>
      <c r="AD8" s="5" t="s">
        <v>43</v>
      </c>
      <c r="AE8" s="3" t="s">
        <v>43</v>
      </c>
      <c r="AF8" s="3"/>
      <c r="AG8" s="3" t="s">
        <v>43</v>
      </c>
      <c r="AH8" s="3" t="s">
        <v>43</v>
      </c>
      <c r="AI8" s="3" t="s">
        <v>43</v>
      </c>
      <c r="AJ8" s="3" t="s">
        <v>43</v>
      </c>
      <c r="AK8" s="3"/>
      <c r="AL8" s="34"/>
      <c r="AO8">
        <v>11</v>
      </c>
      <c r="AP8">
        <v>4</v>
      </c>
      <c r="AR8">
        <f t="shared" si="0"/>
        <v>26.876392038420825</v>
      </c>
      <c r="AT8">
        <v>7</v>
      </c>
      <c r="AU8">
        <v>4</v>
      </c>
      <c r="AV8">
        <v>1</v>
      </c>
      <c r="AX8">
        <f t="shared" si="2"/>
        <v>19.709354161508603</v>
      </c>
      <c r="AZ8">
        <f t="shared" si="1"/>
        <v>12.084735175349207</v>
      </c>
    </row>
    <row r="9" spans="1:52" ht="15" x14ac:dyDescent="0.25">
      <c r="A9" s="3"/>
      <c r="B9" s="33" t="s">
        <v>46</v>
      </c>
      <c r="C9" s="33"/>
      <c r="D9" t="s">
        <v>7</v>
      </c>
      <c r="E9" s="3">
        <v>0.25</v>
      </c>
      <c r="F9" s="3">
        <v>22</v>
      </c>
      <c r="G9" s="3"/>
      <c r="H9" s="10"/>
      <c r="I9" s="3">
        <v>4</v>
      </c>
      <c r="J9" s="3">
        <v>4</v>
      </c>
      <c r="K9" s="3"/>
      <c r="L9" s="3">
        <v>398</v>
      </c>
      <c r="M9" s="6">
        <v>686</v>
      </c>
      <c r="N9" s="6">
        <v>318</v>
      </c>
      <c r="O9" s="7">
        <v>20</v>
      </c>
      <c r="P9" s="7"/>
      <c r="Q9" s="3"/>
      <c r="R9" s="3">
        <v>584</v>
      </c>
      <c r="S9" s="7">
        <v>15</v>
      </c>
      <c r="T9" s="7"/>
      <c r="U9" s="7">
        <v>22</v>
      </c>
      <c r="V9" s="12"/>
      <c r="W9" s="7">
        <v>8</v>
      </c>
      <c r="X9" s="3"/>
      <c r="Y9" s="3"/>
      <c r="Z9" s="3"/>
      <c r="AA9" s="3" t="s">
        <v>43</v>
      </c>
      <c r="AB9" s="3" t="s">
        <v>43</v>
      </c>
      <c r="AC9" s="3"/>
      <c r="AD9" s="5" t="s">
        <v>43</v>
      </c>
      <c r="AE9" s="3" t="s">
        <v>43</v>
      </c>
      <c r="AF9" s="3"/>
      <c r="AG9" s="3" t="s">
        <v>43</v>
      </c>
      <c r="AH9" s="3" t="s">
        <v>43</v>
      </c>
      <c r="AI9" s="3" t="s">
        <v>43</v>
      </c>
      <c r="AJ9" s="3" t="s">
        <v>43</v>
      </c>
      <c r="AK9" s="3"/>
      <c r="AL9" s="34"/>
      <c r="AO9">
        <v>11</v>
      </c>
      <c r="AP9">
        <v>4</v>
      </c>
      <c r="AR9">
        <f t="shared" si="0"/>
        <v>26.876392038420825</v>
      </c>
      <c r="AT9">
        <v>7</v>
      </c>
      <c r="AU9">
        <v>4</v>
      </c>
      <c r="AV9">
        <v>1</v>
      </c>
      <c r="AX9">
        <f t="shared" si="2"/>
        <v>19.709354161508603</v>
      </c>
      <c r="AZ9">
        <f t="shared" si="1"/>
        <v>12.084735175349207</v>
      </c>
    </row>
    <row r="10" spans="1:52" ht="15" x14ac:dyDescent="0.25">
      <c r="A10" s="3"/>
      <c r="B10" s="34" t="s">
        <v>46</v>
      </c>
      <c r="C10" s="34"/>
      <c r="D10" s="3" t="s">
        <v>43</v>
      </c>
      <c r="E10" s="3">
        <v>0.8</v>
      </c>
      <c r="F10" s="3">
        <v>16</v>
      </c>
      <c r="G10" s="3">
        <v>93</v>
      </c>
      <c r="H10" s="10"/>
      <c r="I10" s="3">
        <v>48</v>
      </c>
      <c r="J10" s="3">
        <v>0.52</v>
      </c>
      <c r="K10" s="3"/>
      <c r="L10" s="3" t="s">
        <v>43</v>
      </c>
      <c r="M10" s="6">
        <v>1042</v>
      </c>
      <c r="N10" s="6"/>
      <c r="O10" s="7" t="s">
        <v>43</v>
      </c>
      <c r="P10" s="7"/>
      <c r="Q10" s="3" t="s">
        <v>43</v>
      </c>
      <c r="R10" s="3">
        <v>520</v>
      </c>
      <c r="S10" s="7">
        <v>50</v>
      </c>
      <c r="T10" s="7"/>
      <c r="U10" s="3"/>
      <c r="V10" s="3"/>
      <c r="W10" s="3"/>
      <c r="X10" s="3"/>
      <c r="Y10" s="3"/>
      <c r="Z10" s="3" t="s">
        <v>43</v>
      </c>
      <c r="AA10" s="3" t="s">
        <v>43</v>
      </c>
      <c r="AB10" s="3" t="s">
        <v>43</v>
      </c>
      <c r="AC10" s="3" t="s">
        <v>43</v>
      </c>
      <c r="AD10" s="5" t="s">
        <v>43</v>
      </c>
      <c r="AE10" s="3" t="s">
        <v>43</v>
      </c>
      <c r="AF10" s="3"/>
      <c r="AG10" s="3" t="s">
        <v>43</v>
      </c>
      <c r="AH10" s="3" t="s">
        <v>43</v>
      </c>
      <c r="AI10" s="3" t="s">
        <v>43</v>
      </c>
      <c r="AJ10" s="3" t="s">
        <v>43</v>
      </c>
      <c r="AK10" s="3"/>
      <c r="AL10" s="34" t="s">
        <v>59</v>
      </c>
      <c r="AO10">
        <v>12</v>
      </c>
      <c r="AP10">
        <v>4</v>
      </c>
      <c r="AR10">
        <f t="shared" si="0"/>
        <v>28.668151507648879</v>
      </c>
      <c r="AT10">
        <f>AO10-8</f>
        <v>4</v>
      </c>
      <c r="AU10">
        <v>4</v>
      </c>
      <c r="AV10">
        <v>1</v>
      </c>
      <c r="AX10">
        <f t="shared" si="2"/>
        <v>14.33407575382444</v>
      </c>
      <c r="AZ10">
        <f t="shared" si="1"/>
        <v>8.7888983093448783</v>
      </c>
    </row>
    <row r="11" spans="1:52" ht="15" x14ac:dyDescent="0.25">
      <c r="A11" s="3"/>
      <c r="B11" s="34" t="s">
        <v>46</v>
      </c>
      <c r="C11" s="34"/>
      <c r="D11" s="3" t="s">
        <v>43</v>
      </c>
      <c r="E11" s="3">
        <v>0.8</v>
      </c>
      <c r="F11" s="3">
        <v>27</v>
      </c>
      <c r="G11" s="3">
        <f>227-108</f>
        <v>119</v>
      </c>
      <c r="H11" s="10"/>
      <c r="I11" s="3">
        <v>48</v>
      </c>
      <c r="J11" s="8">
        <f>((M11*(E11/I11)*24)/1000)/E11</f>
        <v>0.5704999999999999</v>
      </c>
      <c r="K11" s="3"/>
      <c r="L11" s="10"/>
      <c r="M11" s="6">
        <v>1141</v>
      </c>
      <c r="N11" s="6">
        <v>1125</v>
      </c>
      <c r="O11" s="7">
        <v>45</v>
      </c>
      <c r="P11" s="7">
        <v>94</v>
      </c>
      <c r="Q11" s="3"/>
      <c r="R11" s="3">
        <v>385</v>
      </c>
      <c r="S11" s="7">
        <v>66</v>
      </c>
      <c r="T11" s="7">
        <v>209</v>
      </c>
      <c r="U11" s="3">
        <v>72</v>
      </c>
      <c r="V11" s="3"/>
      <c r="W11" s="3"/>
      <c r="X11" s="3"/>
      <c r="Y11" s="3"/>
      <c r="Z11" s="3" t="s">
        <v>43</v>
      </c>
      <c r="AA11" s="3" t="s">
        <v>43</v>
      </c>
      <c r="AB11" s="3" t="s">
        <v>43</v>
      </c>
      <c r="AC11" s="3" t="s">
        <v>43</v>
      </c>
      <c r="AD11" s="5" t="s">
        <v>43</v>
      </c>
      <c r="AE11" s="3" t="s">
        <v>43</v>
      </c>
      <c r="AF11" s="3"/>
      <c r="AG11" s="3" t="s">
        <v>43</v>
      </c>
      <c r="AH11" s="3" t="s">
        <v>43</v>
      </c>
      <c r="AI11" s="3" t="s">
        <v>43</v>
      </c>
      <c r="AJ11" s="3" t="s">
        <v>43</v>
      </c>
      <c r="AK11" s="3"/>
      <c r="AL11" s="34"/>
      <c r="AO11">
        <v>12</v>
      </c>
      <c r="AP11">
        <v>4</v>
      </c>
      <c r="AR11">
        <f t="shared" si="0"/>
        <v>28.668151507648879</v>
      </c>
      <c r="AT11">
        <f>AO11-8</f>
        <v>4</v>
      </c>
      <c r="AU11">
        <v>4</v>
      </c>
      <c r="AV11">
        <v>1</v>
      </c>
      <c r="AX11">
        <f t="shared" si="2"/>
        <v>14.33407575382444</v>
      </c>
      <c r="AZ11">
        <f t="shared" si="1"/>
        <v>8.7888983093448783</v>
      </c>
    </row>
    <row r="12" spans="1:52" ht="15" x14ac:dyDescent="0.25">
      <c r="B12" s="34" t="s">
        <v>46</v>
      </c>
      <c r="C12" s="34"/>
      <c r="D12" t="s">
        <v>43</v>
      </c>
      <c r="E12" s="3">
        <v>0.25</v>
      </c>
      <c r="F12" s="5">
        <v>26</v>
      </c>
      <c r="G12" t="s">
        <v>43</v>
      </c>
      <c r="H12" s="13">
        <f>(0.25/24)/(0.5^2)</f>
        <v>4.1666666666666664E-2</v>
      </c>
      <c r="I12" s="3">
        <v>24</v>
      </c>
      <c r="J12" s="8">
        <f>((M12*(E12/I12)*24)/1000)/E12</f>
        <v>0.24299999999999999</v>
      </c>
      <c r="L12" s="3">
        <v>400</v>
      </c>
      <c r="M12" s="6">
        <v>243</v>
      </c>
      <c r="N12" s="6">
        <v>55</v>
      </c>
      <c r="O12" s="7">
        <v>86</v>
      </c>
      <c r="P12" t="s">
        <v>43</v>
      </c>
      <c r="Q12" t="s">
        <v>43</v>
      </c>
      <c r="R12" s="3">
        <v>58</v>
      </c>
      <c r="S12" s="7">
        <v>77</v>
      </c>
      <c r="T12" t="s">
        <v>43</v>
      </c>
      <c r="U12" t="s">
        <v>43</v>
      </c>
      <c r="Z12" s="3" t="s">
        <v>43</v>
      </c>
      <c r="AA12" s="3" t="s">
        <v>43</v>
      </c>
      <c r="AB12" s="3" t="s">
        <v>43</v>
      </c>
      <c r="AC12" s="3" t="s">
        <v>43</v>
      </c>
      <c r="AD12" s="5" t="s">
        <v>43</v>
      </c>
      <c r="AE12" s="3" t="s">
        <v>43</v>
      </c>
      <c r="AF12" s="3"/>
      <c r="AG12" s="3" t="s">
        <v>43</v>
      </c>
      <c r="AH12" s="3" t="s">
        <v>43</v>
      </c>
      <c r="AI12" s="3" t="s">
        <v>43</v>
      </c>
      <c r="AJ12" s="3" t="s">
        <v>43</v>
      </c>
      <c r="AL12" s="33" t="s">
        <v>60</v>
      </c>
      <c r="AO12">
        <v>8</v>
      </c>
      <c r="AP12">
        <v>4</v>
      </c>
      <c r="AR12">
        <f t="shared" si="0"/>
        <v>21.501113630736661</v>
      </c>
      <c r="AT12">
        <v>5</v>
      </c>
      <c r="AU12">
        <v>4</v>
      </c>
      <c r="AV12">
        <v>1</v>
      </c>
      <c r="AX12">
        <f t="shared" si="2"/>
        <v>16.125835223052494</v>
      </c>
      <c r="AZ12">
        <f t="shared" si="1"/>
        <v>9.8875105980129874</v>
      </c>
    </row>
    <row r="13" spans="1:52" ht="15" x14ac:dyDescent="0.25">
      <c r="B13" s="34" t="s">
        <v>46</v>
      </c>
      <c r="C13" s="34"/>
      <c r="D13" t="s">
        <v>43</v>
      </c>
      <c r="E13" s="3">
        <v>0.25</v>
      </c>
      <c r="F13" s="5">
        <v>19</v>
      </c>
      <c r="G13" t="s">
        <v>43</v>
      </c>
      <c r="H13" s="13">
        <f>(0.5/24)/(0.5^2)</f>
        <v>8.3333333333333329E-2</v>
      </c>
      <c r="I13" s="3">
        <v>12</v>
      </c>
      <c r="J13" s="8">
        <f>((M13*(E13/I13)*24)/1000)/E13</f>
        <v>0.48599999999999999</v>
      </c>
      <c r="L13" s="3">
        <v>400</v>
      </c>
      <c r="M13" s="6">
        <v>243</v>
      </c>
      <c r="N13" s="6">
        <v>105</v>
      </c>
      <c r="O13" s="7">
        <v>67</v>
      </c>
      <c r="P13" t="s">
        <v>43</v>
      </c>
      <c r="Q13" t="s">
        <v>43</v>
      </c>
      <c r="R13" s="3">
        <v>76</v>
      </c>
      <c r="S13" s="7">
        <v>67</v>
      </c>
      <c r="T13" t="s">
        <v>43</v>
      </c>
      <c r="U13" t="s">
        <v>43</v>
      </c>
      <c r="Z13" s="3" t="s">
        <v>43</v>
      </c>
      <c r="AA13" s="3" t="s">
        <v>43</v>
      </c>
      <c r="AB13" s="3" t="s">
        <v>43</v>
      </c>
      <c r="AC13" s="3" t="s">
        <v>43</v>
      </c>
      <c r="AD13" s="5" t="s">
        <v>43</v>
      </c>
      <c r="AE13" s="3" t="s">
        <v>43</v>
      </c>
      <c r="AF13" s="3"/>
      <c r="AG13" s="3" t="s">
        <v>43</v>
      </c>
      <c r="AH13" s="3" t="s">
        <v>43</v>
      </c>
      <c r="AI13" s="3" t="s">
        <v>43</v>
      </c>
      <c r="AJ13" s="3" t="s">
        <v>43</v>
      </c>
      <c r="AL13" s="33"/>
      <c r="AO13">
        <v>8</v>
      </c>
      <c r="AP13">
        <v>4</v>
      </c>
      <c r="AR13">
        <f t="shared" si="0"/>
        <v>21.501113630736661</v>
      </c>
      <c r="AT13">
        <v>5</v>
      </c>
      <c r="AU13">
        <v>4</v>
      </c>
      <c r="AV13">
        <v>1</v>
      </c>
      <c r="AX13">
        <f t="shared" si="2"/>
        <v>16.125835223052494</v>
      </c>
      <c r="AZ13">
        <f t="shared" si="1"/>
        <v>9.8875105980129874</v>
      </c>
    </row>
    <row r="14" spans="1:52" ht="15" x14ac:dyDescent="0.25">
      <c r="B14" s="34" t="s">
        <v>46</v>
      </c>
      <c r="C14" s="34"/>
      <c r="D14" t="s">
        <v>43</v>
      </c>
      <c r="E14" s="3">
        <v>0.25</v>
      </c>
      <c r="F14" s="5">
        <v>21</v>
      </c>
      <c r="G14" t="s">
        <v>43</v>
      </c>
      <c r="H14" s="13">
        <f>(1/24)/(0.5^2)</f>
        <v>0.16666666666666666</v>
      </c>
      <c r="I14" s="3">
        <v>6</v>
      </c>
      <c r="J14" s="8">
        <f>((M14*(E14/I14)*24)/1000)/E14</f>
        <v>0.97199999999999998</v>
      </c>
      <c r="L14" s="3">
        <v>400</v>
      </c>
      <c r="M14" s="6">
        <v>243</v>
      </c>
      <c r="N14" s="6">
        <v>301</v>
      </c>
      <c r="O14" s="7">
        <v>33</v>
      </c>
      <c r="P14" t="s">
        <v>43</v>
      </c>
      <c r="Q14" s="3" t="s">
        <v>43</v>
      </c>
      <c r="R14" s="3">
        <v>165</v>
      </c>
      <c r="S14" s="7">
        <v>31</v>
      </c>
      <c r="T14" t="s">
        <v>43</v>
      </c>
      <c r="U14" t="s">
        <v>43</v>
      </c>
      <c r="Z14" s="3" t="s">
        <v>43</v>
      </c>
      <c r="AA14" s="3" t="s">
        <v>43</v>
      </c>
      <c r="AB14" s="3" t="s">
        <v>43</v>
      </c>
      <c r="AC14" s="3" t="s">
        <v>43</v>
      </c>
      <c r="AD14" s="5" t="s">
        <v>43</v>
      </c>
      <c r="AE14" s="3" t="s">
        <v>43</v>
      </c>
      <c r="AF14" s="3"/>
      <c r="AG14" s="3" t="s">
        <v>43</v>
      </c>
      <c r="AH14" s="3" t="s">
        <v>43</v>
      </c>
      <c r="AI14" s="3" t="s">
        <v>43</v>
      </c>
      <c r="AJ14" s="3" t="s">
        <v>43</v>
      </c>
      <c r="AL14" s="33"/>
      <c r="AO14">
        <v>8</v>
      </c>
      <c r="AP14">
        <v>4</v>
      </c>
      <c r="AR14">
        <f t="shared" si="0"/>
        <v>21.501113630736661</v>
      </c>
      <c r="AT14">
        <v>5</v>
      </c>
      <c r="AU14">
        <v>4</v>
      </c>
      <c r="AV14">
        <v>1</v>
      </c>
      <c r="AX14">
        <f t="shared" si="2"/>
        <v>16.125835223052494</v>
      </c>
      <c r="AZ14">
        <f t="shared" si="1"/>
        <v>9.8875105980129874</v>
      </c>
    </row>
    <row r="15" spans="1:52" ht="15" x14ac:dyDescent="0.25">
      <c r="B15" s="34" t="s">
        <v>46</v>
      </c>
      <c r="C15" s="34"/>
      <c r="D15" t="s">
        <v>253</v>
      </c>
      <c r="E15" s="3">
        <v>0.8</v>
      </c>
      <c r="F15" s="3">
        <v>17</v>
      </c>
      <c r="G15">
        <v>180</v>
      </c>
      <c r="H15" s="13">
        <f>(E15/I15)/(PI()*(0.638/2)^2)</f>
        <v>5.2133575433907335E-2</v>
      </c>
      <c r="I15" s="3">
        <v>48</v>
      </c>
      <c r="J15">
        <v>0.45</v>
      </c>
      <c r="L15" s="3">
        <v>371</v>
      </c>
      <c r="M15" s="6">
        <v>905</v>
      </c>
      <c r="N15" s="6">
        <v>89</v>
      </c>
      <c r="O15" s="7">
        <v>74</v>
      </c>
      <c r="P15">
        <v>75</v>
      </c>
      <c r="Q15" s="7">
        <v>74</v>
      </c>
      <c r="R15" s="3">
        <v>433</v>
      </c>
      <c r="S15" s="7">
        <v>51</v>
      </c>
      <c r="T15" s="7">
        <v>62</v>
      </c>
      <c r="U15">
        <v>83</v>
      </c>
      <c r="V15" s="38"/>
      <c r="W15" s="38">
        <v>24</v>
      </c>
      <c r="Y15">
        <v>26</v>
      </c>
      <c r="Z15">
        <f>47/1000</f>
        <v>4.7E-2</v>
      </c>
      <c r="AA15" s="3" t="s">
        <v>43</v>
      </c>
      <c r="AB15" s="3" t="s">
        <v>43</v>
      </c>
      <c r="AC15" s="3" t="s">
        <v>43</v>
      </c>
      <c r="AD15" s="5" t="s">
        <v>43</v>
      </c>
      <c r="AE15">
        <v>5.7500000000000002E-2</v>
      </c>
      <c r="AG15" s="3" t="s">
        <v>43</v>
      </c>
      <c r="AH15">
        <v>0.26</v>
      </c>
      <c r="AI15" s="3" t="s">
        <v>43</v>
      </c>
      <c r="AJ15" s="3" t="s">
        <v>43</v>
      </c>
      <c r="AL15" s="33" t="s">
        <v>252</v>
      </c>
      <c r="AO15">
        <v>12</v>
      </c>
      <c r="AP15">
        <v>4</v>
      </c>
      <c r="AR15">
        <f t="shared" ref="AR15:AR16" si="3">(AP15+AO15)*LN((AP15+2))</f>
        <v>28.668151507648879</v>
      </c>
      <c r="AT15">
        <v>4</v>
      </c>
      <c r="AU15">
        <v>4</v>
      </c>
      <c r="AV15">
        <v>1</v>
      </c>
      <c r="AX15">
        <f t="shared" si="2"/>
        <v>14.33407575382444</v>
      </c>
      <c r="AZ15">
        <f t="shared" si="1"/>
        <v>8.7888983093448783</v>
      </c>
    </row>
    <row r="16" spans="1:52" ht="15" x14ac:dyDescent="0.25">
      <c r="B16" s="34" t="s">
        <v>46</v>
      </c>
      <c r="C16" s="34"/>
      <c r="D16" t="s">
        <v>253</v>
      </c>
      <c r="E16" s="3">
        <v>0.8</v>
      </c>
      <c r="F16" s="3">
        <v>17</v>
      </c>
      <c r="G16">
        <v>180</v>
      </c>
      <c r="H16" s="13">
        <f>(E16/I16)/(PI()*(0.638/2)^2)</f>
        <v>2.6066787716953668E-2</v>
      </c>
      <c r="I16">
        <f>4*24</f>
        <v>96</v>
      </c>
      <c r="J16">
        <v>0.23</v>
      </c>
      <c r="L16" s="3">
        <v>371</v>
      </c>
      <c r="M16" s="6">
        <v>905</v>
      </c>
      <c r="N16" s="6">
        <v>73</v>
      </c>
      <c r="O16" s="7">
        <v>78</v>
      </c>
      <c r="P16">
        <v>59</v>
      </c>
      <c r="Q16" s="7">
        <v>78</v>
      </c>
      <c r="R16" s="3">
        <v>408</v>
      </c>
      <c r="S16" s="7">
        <v>54</v>
      </c>
      <c r="T16" s="7">
        <v>45</v>
      </c>
      <c r="U16">
        <v>87</v>
      </c>
      <c r="V16" s="38"/>
      <c r="W16" s="38">
        <v>28</v>
      </c>
      <c r="Y16">
        <v>22</v>
      </c>
      <c r="Z16">
        <f>77/1000</f>
        <v>7.6999999999999999E-2</v>
      </c>
      <c r="AA16" s="3" t="s">
        <v>43</v>
      </c>
      <c r="AB16" s="3" t="s">
        <v>43</v>
      </c>
      <c r="AC16" s="3" t="s">
        <v>43</v>
      </c>
      <c r="AD16" s="5" t="s">
        <v>43</v>
      </c>
      <c r="AE16">
        <v>3.5700000000000003E-2</v>
      </c>
      <c r="AG16" s="3" t="s">
        <v>43</v>
      </c>
      <c r="AH16">
        <v>0.23</v>
      </c>
      <c r="AI16" s="3" t="s">
        <v>43</v>
      </c>
      <c r="AJ16" s="3" t="s">
        <v>43</v>
      </c>
      <c r="AL16" s="33"/>
      <c r="AO16">
        <v>12</v>
      </c>
      <c r="AP16">
        <v>4</v>
      </c>
      <c r="AR16">
        <f t="shared" si="3"/>
        <v>28.668151507648879</v>
      </c>
      <c r="AT16">
        <v>4</v>
      </c>
      <c r="AU16">
        <v>4</v>
      </c>
      <c r="AV16">
        <v>1</v>
      </c>
      <c r="AX16">
        <f t="shared" si="2"/>
        <v>14.33407575382444</v>
      </c>
      <c r="AZ16">
        <f t="shared" si="1"/>
        <v>8.7888983093448783</v>
      </c>
    </row>
    <row r="17" spans="2:52" ht="15" x14ac:dyDescent="0.25">
      <c r="B17" s="34" t="s">
        <v>46</v>
      </c>
      <c r="C17" s="34"/>
      <c r="D17" t="s">
        <v>253</v>
      </c>
      <c r="E17" s="3">
        <v>0.8</v>
      </c>
      <c r="F17" s="3">
        <v>24</v>
      </c>
      <c r="G17">
        <v>180</v>
      </c>
      <c r="H17" s="13">
        <f>(E17/I17)/(PI()*(0.638/2)^2)</f>
        <v>5.2133575433907335E-2</v>
      </c>
      <c r="I17" s="3">
        <v>48</v>
      </c>
      <c r="J17" s="8">
        <f>((M17*(E17/I17)*24)/1000)/E17</f>
        <v>0.63349999999999995</v>
      </c>
      <c r="L17" s="3">
        <v>623</v>
      </c>
      <c r="M17" s="6">
        <v>1267</v>
      </c>
      <c r="N17" s="6">
        <v>116</v>
      </c>
      <c r="O17" s="7">
        <v>81</v>
      </c>
      <c r="P17">
        <v>98</v>
      </c>
      <c r="Q17">
        <v>81</v>
      </c>
      <c r="R17" s="3">
        <v>555</v>
      </c>
      <c r="S17" s="7">
        <v>56</v>
      </c>
      <c r="T17">
        <v>81</v>
      </c>
      <c r="U17">
        <v>87</v>
      </c>
      <c r="V17" s="38"/>
      <c r="W17" s="38">
        <v>20</v>
      </c>
      <c r="Z17" s="3" t="s">
        <v>43</v>
      </c>
      <c r="AA17" s="3" t="s">
        <v>43</v>
      </c>
      <c r="AB17" s="3" t="s">
        <v>43</v>
      </c>
      <c r="AC17" s="3" t="s">
        <v>43</v>
      </c>
      <c r="AD17" s="5" t="s">
        <v>43</v>
      </c>
      <c r="AE17" s="3" t="s">
        <v>43</v>
      </c>
      <c r="AG17" s="3" t="s">
        <v>43</v>
      </c>
      <c r="AH17">
        <v>0.15</v>
      </c>
      <c r="AI17" s="3" t="s">
        <v>43</v>
      </c>
      <c r="AJ17" s="3" t="s">
        <v>43</v>
      </c>
      <c r="AL17" s="33" t="s">
        <v>62</v>
      </c>
      <c r="AO17">
        <v>12</v>
      </c>
      <c r="AP17">
        <v>4</v>
      </c>
      <c r="AR17">
        <f t="shared" ref="AR17:AR22" si="4">(AP17+AO17)*LN((AP17+2))</f>
        <v>28.668151507648879</v>
      </c>
      <c r="AT17">
        <v>4</v>
      </c>
      <c r="AU17">
        <v>4</v>
      </c>
      <c r="AV17">
        <v>1</v>
      </c>
      <c r="AX17">
        <f t="shared" si="2"/>
        <v>14.33407575382444</v>
      </c>
      <c r="AZ17">
        <f t="shared" si="1"/>
        <v>8.7888983093448783</v>
      </c>
    </row>
    <row r="18" spans="2:52" ht="15" x14ac:dyDescent="0.25">
      <c r="B18" s="34" t="s">
        <v>46</v>
      </c>
      <c r="C18" s="34"/>
      <c r="D18" t="s">
        <v>253</v>
      </c>
      <c r="E18" s="3">
        <v>0.8</v>
      </c>
      <c r="F18" s="3">
        <v>24</v>
      </c>
      <c r="G18">
        <v>180</v>
      </c>
      <c r="H18" s="13">
        <f>(E18/I18)/(PI()*(0.638/2)^2)</f>
        <v>2.6066787716953668E-2</v>
      </c>
      <c r="I18">
        <f>4*24</f>
        <v>96</v>
      </c>
      <c r="J18" s="8">
        <f>((M18*(E18/I18)*24)/1000)/E18</f>
        <v>0.31674999999999998</v>
      </c>
      <c r="L18" s="3">
        <v>623</v>
      </c>
      <c r="M18" s="6">
        <v>1267</v>
      </c>
      <c r="N18" s="6">
        <v>113</v>
      </c>
      <c r="O18" s="7">
        <v>82</v>
      </c>
      <c r="P18">
        <v>98</v>
      </c>
      <c r="Q18">
        <v>81</v>
      </c>
      <c r="R18" s="3">
        <v>530</v>
      </c>
      <c r="S18" s="7">
        <v>58</v>
      </c>
      <c r="T18">
        <v>66</v>
      </c>
      <c r="U18">
        <v>90</v>
      </c>
      <c r="V18" s="38"/>
      <c r="W18" s="38">
        <v>22</v>
      </c>
      <c r="Z18" s="3" t="s">
        <v>43</v>
      </c>
      <c r="AA18" s="3" t="s">
        <v>43</v>
      </c>
      <c r="AB18" s="3" t="s">
        <v>43</v>
      </c>
      <c r="AC18" s="3" t="s">
        <v>43</v>
      </c>
      <c r="AD18" s="5" t="s">
        <v>43</v>
      </c>
      <c r="AE18" s="3" t="s">
        <v>43</v>
      </c>
      <c r="AG18" s="3" t="s">
        <v>43</v>
      </c>
      <c r="AH18">
        <v>0.17</v>
      </c>
      <c r="AI18" s="3" t="s">
        <v>43</v>
      </c>
      <c r="AJ18" s="3" t="s">
        <v>43</v>
      </c>
      <c r="AL18" s="33"/>
      <c r="AO18">
        <v>12</v>
      </c>
      <c r="AP18">
        <v>4</v>
      </c>
      <c r="AR18">
        <f t="shared" si="4"/>
        <v>28.668151507648879</v>
      </c>
      <c r="AT18">
        <v>4</v>
      </c>
      <c r="AU18">
        <v>4</v>
      </c>
      <c r="AV18">
        <v>1</v>
      </c>
      <c r="AX18">
        <f t="shared" si="2"/>
        <v>14.33407575382444</v>
      </c>
      <c r="AZ18">
        <f t="shared" si="1"/>
        <v>8.7888983093448783</v>
      </c>
    </row>
    <row r="19" spans="2:52" ht="15" x14ac:dyDescent="0.25">
      <c r="B19" s="34" t="s">
        <v>46</v>
      </c>
      <c r="C19" s="34"/>
      <c r="D19" t="s">
        <v>261</v>
      </c>
      <c r="E19" s="3">
        <v>1.2</v>
      </c>
      <c r="F19" s="5" t="s">
        <v>258</v>
      </c>
      <c r="H19" s="13"/>
      <c r="I19">
        <f>4.3*24</f>
        <v>103.19999999999999</v>
      </c>
      <c r="J19">
        <v>0.43</v>
      </c>
      <c r="L19" t="s">
        <v>43</v>
      </c>
      <c r="M19" s="6">
        <v>1716</v>
      </c>
      <c r="N19" t="s">
        <v>43</v>
      </c>
      <c r="O19" t="s">
        <v>43</v>
      </c>
      <c r="P19" t="s">
        <v>43</v>
      </c>
      <c r="Q19" t="s">
        <v>43</v>
      </c>
      <c r="R19" s="3">
        <v>602</v>
      </c>
      <c r="S19" s="7">
        <v>65</v>
      </c>
      <c r="T19" s="38" t="s">
        <v>43</v>
      </c>
      <c r="U19">
        <v>83</v>
      </c>
      <c r="V19" s="38"/>
      <c r="W19" s="38">
        <v>10</v>
      </c>
      <c r="Z19" s="3" t="s">
        <v>43</v>
      </c>
      <c r="AA19" s="3" t="s">
        <v>43</v>
      </c>
      <c r="AB19" s="3" t="s">
        <v>43</v>
      </c>
      <c r="AC19" s="3" t="s">
        <v>43</v>
      </c>
      <c r="AD19" s="5" t="s">
        <v>43</v>
      </c>
      <c r="AE19" s="3" t="s">
        <v>43</v>
      </c>
      <c r="AG19" s="3" t="s">
        <v>43</v>
      </c>
      <c r="AH19" s="3" t="s">
        <v>43</v>
      </c>
      <c r="AI19" s="3" t="s">
        <v>43</v>
      </c>
      <c r="AJ19" s="3" t="s">
        <v>43</v>
      </c>
      <c r="AL19" s="33" t="s">
        <v>256</v>
      </c>
      <c r="AO19">
        <v>12</v>
      </c>
      <c r="AP19">
        <v>4</v>
      </c>
      <c r="AR19">
        <f t="shared" si="4"/>
        <v>28.668151507648879</v>
      </c>
      <c r="AT19">
        <f>AO19-2</f>
        <v>10</v>
      </c>
      <c r="AU19">
        <v>4</v>
      </c>
      <c r="AV19">
        <v>1</v>
      </c>
      <c r="AX19">
        <f t="shared" si="2"/>
        <v>25.08463256919277</v>
      </c>
      <c r="AZ19">
        <f t="shared" si="1"/>
        <v>15.380572041353537</v>
      </c>
    </row>
    <row r="20" spans="2:52" ht="15" x14ac:dyDescent="0.25">
      <c r="B20" s="34" t="s">
        <v>46</v>
      </c>
      <c r="C20" s="34"/>
      <c r="D20" t="s">
        <v>261</v>
      </c>
      <c r="E20" s="3">
        <v>1.2</v>
      </c>
      <c r="F20" s="5" t="s">
        <v>259</v>
      </c>
      <c r="H20" s="13"/>
      <c r="I20">
        <f>4.3*24</f>
        <v>103.19999999999999</v>
      </c>
      <c r="J20">
        <v>0.43</v>
      </c>
      <c r="L20" t="s">
        <v>43</v>
      </c>
      <c r="M20" s="6">
        <v>1716</v>
      </c>
      <c r="N20" t="s">
        <v>43</v>
      </c>
      <c r="O20" t="s">
        <v>43</v>
      </c>
      <c r="P20" t="s">
        <v>43</v>
      </c>
      <c r="Q20" t="s">
        <v>43</v>
      </c>
      <c r="R20" s="3">
        <v>1155</v>
      </c>
      <c r="S20" s="7">
        <v>33</v>
      </c>
      <c r="T20" s="38" t="s">
        <v>43</v>
      </c>
      <c r="U20">
        <v>59</v>
      </c>
      <c r="W20">
        <v>-24</v>
      </c>
      <c r="Z20" s="3" t="s">
        <v>43</v>
      </c>
      <c r="AA20" s="3" t="s">
        <v>43</v>
      </c>
      <c r="AB20" s="3" t="s">
        <v>43</v>
      </c>
      <c r="AC20" s="3" t="s">
        <v>43</v>
      </c>
      <c r="AD20" s="5" t="s">
        <v>43</v>
      </c>
      <c r="AE20" s="3" t="s">
        <v>43</v>
      </c>
      <c r="AG20" s="3" t="s">
        <v>43</v>
      </c>
      <c r="AH20" s="3" t="s">
        <v>43</v>
      </c>
      <c r="AI20" s="3" t="s">
        <v>43</v>
      </c>
      <c r="AJ20" s="3" t="s">
        <v>43</v>
      </c>
      <c r="AL20" s="33"/>
      <c r="AO20">
        <v>12</v>
      </c>
      <c r="AP20">
        <v>4</v>
      </c>
      <c r="AR20">
        <f t="shared" si="4"/>
        <v>28.668151507648879</v>
      </c>
      <c r="AT20">
        <f>AO20-2</f>
        <v>10</v>
      </c>
      <c r="AU20">
        <v>4</v>
      </c>
      <c r="AV20">
        <v>1</v>
      </c>
      <c r="AX20">
        <f t="shared" si="2"/>
        <v>25.08463256919277</v>
      </c>
      <c r="AZ20">
        <f t="shared" si="1"/>
        <v>15.380572041353537</v>
      </c>
    </row>
    <row r="21" spans="2:52" ht="15" x14ac:dyDescent="0.25">
      <c r="B21" s="34" t="s">
        <v>46</v>
      </c>
      <c r="C21" s="34"/>
      <c r="D21" t="s">
        <v>261</v>
      </c>
      <c r="E21" s="3">
        <v>1.2</v>
      </c>
      <c r="F21" s="22" t="s">
        <v>257</v>
      </c>
      <c r="I21">
        <f>4.3*24</f>
        <v>103.19999999999999</v>
      </c>
      <c r="J21">
        <v>0.89</v>
      </c>
      <c r="L21" t="s">
        <v>43</v>
      </c>
      <c r="M21" s="6">
        <v>2897</v>
      </c>
      <c r="N21" t="s">
        <v>43</v>
      </c>
      <c r="O21" t="s">
        <v>43</v>
      </c>
      <c r="P21" t="s">
        <v>43</v>
      </c>
      <c r="Q21" t="s">
        <v>43</v>
      </c>
      <c r="R21" s="3">
        <v>865</v>
      </c>
      <c r="S21" s="7">
        <v>70</v>
      </c>
      <c r="T21" s="38" t="s">
        <v>43</v>
      </c>
      <c r="U21">
        <v>71</v>
      </c>
      <c r="W21">
        <v>53</v>
      </c>
      <c r="Z21" s="3" t="s">
        <v>43</v>
      </c>
      <c r="AA21" s="3" t="s">
        <v>43</v>
      </c>
      <c r="AB21" s="3" t="s">
        <v>43</v>
      </c>
      <c r="AC21" s="3" t="s">
        <v>43</v>
      </c>
      <c r="AD21" s="5" t="s">
        <v>43</v>
      </c>
      <c r="AE21" s="3" t="s">
        <v>43</v>
      </c>
      <c r="AG21" s="3" t="s">
        <v>43</v>
      </c>
      <c r="AH21" s="3" t="s">
        <v>43</v>
      </c>
      <c r="AI21" s="3" t="s">
        <v>43</v>
      </c>
      <c r="AJ21" s="3" t="s">
        <v>43</v>
      </c>
      <c r="AL21" s="33"/>
      <c r="AO21">
        <v>12</v>
      </c>
      <c r="AP21">
        <v>4</v>
      </c>
      <c r="AR21">
        <f t="shared" si="4"/>
        <v>28.668151507648879</v>
      </c>
      <c r="AT21">
        <f>AO21-2</f>
        <v>10</v>
      </c>
      <c r="AU21">
        <v>4</v>
      </c>
      <c r="AV21">
        <v>1</v>
      </c>
      <c r="AX21">
        <f t="shared" si="2"/>
        <v>25.08463256919277</v>
      </c>
      <c r="AZ21">
        <f t="shared" si="1"/>
        <v>15.380572041353537</v>
      </c>
    </row>
    <row r="22" spans="2:52" ht="15" x14ac:dyDescent="0.25">
      <c r="B22" s="34" t="s">
        <v>46</v>
      </c>
      <c r="C22" s="34"/>
      <c r="D22" t="s">
        <v>43</v>
      </c>
      <c r="E22" s="3">
        <v>380</v>
      </c>
      <c r="F22" t="s">
        <v>43</v>
      </c>
      <c r="G22">
        <f>365*2</f>
        <v>730</v>
      </c>
      <c r="H22" s="13">
        <f>(0.72/24)/(PI()*(0.25^2))</f>
        <v>0.15278874536821951</v>
      </c>
      <c r="I22">
        <v>12</v>
      </c>
      <c r="J22" t="s">
        <v>43</v>
      </c>
      <c r="L22" t="s">
        <v>43</v>
      </c>
      <c r="M22" t="s">
        <v>43</v>
      </c>
      <c r="N22" t="s">
        <v>43</v>
      </c>
      <c r="O22" t="s">
        <v>264</v>
      </c>
      <c r="P22" t="s">
        <v>43</v>
      </c>
      <c r="Q22" t="s">
        <v>43</v>
      </c>
      <c r="R22" t="s">
        <v>43</v>
      </c>
      <c r="S22" t="s">
        <v>265</v>
      </c>
      <c r="T22" t="s">
        <v>43</v>
      </c>
      <c r="U22" t="s">
        <v>43</v>
      </c>
      <c r="Z22" s="3" t="s">
        <v>43</v>
      </c>
      <c r="AA22" s="3" t="s">
        <v>43</v>
      </c>
      <c r="AB22" s="3" t="s">
        <v>43</v>
      </c>
      <c r="AC22" s="3" t="s">
        <v>43</v>
      </c>
      <c r="AD22" s="5" t="s">
        <v>43</v>
      </c>
      <c r="AE22" s="3" t="s">
        <v>43</v>
      </c>
      <c r="AG22" s="3" t="s">
        <v>43</v>
      </c>
      <c r="AH22" s="3" t="s">
        <v>43</v>
      </c>
      <c r="AI22" s="3" t="s">
        <v>43</v>
      </c>
      <c r="AJ22" s="3" t="s">
        <v>43</v>
      </c>
      <c r="AL22" t="s">
        <v>72</v>
      </c>
      <c r="AO22">
        <v>10</v>
      </c>
      <c r="AP22">
        <v>4</v>
      </c>
      <c r="AR22">
        <f t="shared" si="4"/>
        <v>25.08463256919277</v>
      </c>
      <c r="AT22">
        <v>6</v>
      </c>
      <c r="AU22">
        <v>4</v>
      </c>
      <c r="AV22">
        <v>1</v>
      </c>
      <c r="AX22">
        <f t="shared" si="2"/>
        <v>17.917594692280549</v>
      </c>
      <c r="AZ22">
        <f t="shared" si="1"/>
        <v>10.986122886681098</v>
      </c>
    </row>
    <row r="23" spans="2:52" ht="15" x14ac:dyDescent="0.25">
      <c r="B23" s="34" t="s">
        <v>46</v>
      </c>
      <c r="C23" s="34"/>
      <c r="D23" t="s">
        <v>43</v>
      </c>
      <c r="E23" s="3">
        <v>0.57499999999999996</v>
      </c>
      <c r="F23">
        <v>18</v>
      </c>
      <c r="G23">
        <f>60</f>
        <v>60</v>
      </c>
      <c r="H23" s="2" t="s">
        <v>43</v>
      </c>
      <c r="I23">
        <f>2.5*24</f>
        <v>60</v>
      </c>
      <c r="J23" s="8">
        <f t="shared" ref="J23:J34" si="5">((M23*(E23/I23)*24)/1000)/E23</f>
        <v>1.6015999999999999</v>
      </c>
      <c r="L23" t="s">
        <v>43</v>
      </c>
      <c r="M23" s="9">
        <f>(4235+3773)/2</f>
        <v>4004</v>
      </c>
      <c r="N23" t="s">
        <v>43</v>
      </c>
      <c r="O23" t="s">
        <v>43</v>
      </c>
      <c r="P23" t="s">
        <v>43</v>
      </c>
      <c r="Q23" t="s">
        <v>43</v>
      </c>
      <c r="R23" t="s">
        <v>43</v>
      </c>
      <c r="S23">
        <v>93.9</v>
      </c>
      <c r="T23" s="38" t="s">
        <v>43</v>
      </c>
      <c r="U23">
        <v>97.7</v>
      </c>
      <c r="W23">
        <v>69.3</v>
      </c>
      <c r="Z23" s="3" t="s">
        <v>43</v>
      </c>
      <c r="AA23" s="3" t="s">
        <v>43</v>
      </c>
      <c r="AB23" s="3" t="s">
        <v>43</v>
      </c>
      <c r="AC23" s="3" t="s">
        <v>43</v>
      </c>
      <c r="AD23" s="5" t="s">
        <v>43</v>
      </c>
      <c r="AE23" s="3" t="s">
        <v>43</v>
      </c>
      <c r="AG23" s="3" t="s">
        <v>43</v>
      </c>
      <c r="AH23" s="24">
        <f>((158+379)/2)/M23</f>
        <v>6.7057942057942063E-2</v>
      </c>
      <c r="AI23" s="3" t="s">
        <v>43</v>
      </c>
      <c r="AJ23" s="3" t="s">
        <v>43</v>
      </c>
      <c r="AL23" s="33" t="s">
        <v>73</v>
      </c>
      <c r="AM23" s="3" t="s">
        <v>266</v>
      </c>
      <c r="AT23">
        <v>7</v>
      </c>
      <c r="AU23">
        <v>4</v>
      </c>
      <c r="AV23">
        <v>1</v>
      </c>
      <c r="AX23">
        <f t="shared" si="2"/>
        <v>19.709354161508603</v>
      </c>
      <c r="AZ23">
        <f t="shared" si="1"/>
        <v>12.084735175349207</v>
      </c>
    </row>
    <row r="24" spans="2:52" ht="15" x14ac:dyDescent="0.25">
      <c r="B24" s="34" t="s">
        <v>46</v>
      </c>
      <c r="C24" s="34"/>
      <c r="D24" t="s">
        <v>43</v>
      </c>
      <c r="E24" s="3">
        <v>0.57499999999999996</v>
      </c>
      <c r="F24">
        <v>13</v>
      </c>
      <c r="G24">
        <v>60</v>
      </c>
      <c r="H24" s="2" t="s">
        <v>43</v>
      </c>
      <c r="I24">
        <f>2.5*24</f>
        <v>60</v>
      </c>
      <c r="J24" s="8">
        <f t="shared" si="5"/>
        <v>0.96179999999999999</v>
      </c>
      <c r="L24" t="s">
        <v>43</v>
      </c>
      <c r="M24" s="9">
        <f>(2258+2551)/2</f>
        <v>2404.5</v>
      </c>
      <c r="N24" t="s">
        <v>43</v>
      </c>
      <c r="O24" t="s">
        <v>43</v>
      </c>
      <c r="P24" t="s">
        <v>43</v>
      </c>
      <c r="Q24" t="s">
        <v>43</v>
      </c>
      <c r="R24" t="s">
        <v>43</v>
      </c>
      <c r="S24" s="7">
        <v>79.7</v>
      </c>
      <c r="T24" s="38" t="s">
        <v>43</v>
      </c>
      <c r="U24">
        <v>80.5</v>
      </c>
      <c r="W24">
        <v>65.599999999999994</v>
      </c>
      <c r="Z24" s="3" t="s">
        <v>43</v>
      </c>
      <c r="AA24" s="3" t="s">
        <v>43</v>
      </c>
      <c r="AB24" s="3" t="s">
        <v>43</v>
      </c>
      <c r="AC24" s="3" t="s">
        <v>43</v>
      </c>
      <c r="AD24" s="5" t="s">
        <v>43</v>
      </c>
      <c r="AE24" s="3" t="s">
        <v>43</v>
      </c>
      <c r="AG24" s="3" t="s">
        <v>43</v>
      </c>
      <c r="AH24" s="24">
        <f>((313+455)/2)/M24</f>
        <v>0.15970056144728634</v>
      </c>
      <c r="AI24" s="3" t="s">
        <v>43</v>
      </c>
      <c r="AJ24" s="3" t="s">
        <v>43</v>
      </c>
      <c r="AL24" s="33"/>
      <c r="AT24">
        <v>7</v>
      </c>
      <c r="AU24">
        <v>4</v>
      </c>
      <c r="AV24">
        <v>1</v>
      </c>
      <c r="AX24">
        <f t="shared" si="2"/>
        <v>19.709354161508603</v>
      </c>
      <c r="AZ24">
        <f t="shared" si="1"/>
        <v>12.084735175349207</v>
      </c>
    </row>
    <row r="25" spans="2:52" ht="15" x14ac:dyDescent="0.25">
      <c r="B25" s="34" t="s">
        <v>46</v>
      </c>
      <c r="C25" s="34"/>
      <c r="D25" t="s">
        <v>43</v>
      </c>
      <c r="E25" s="3">
        <v>1.2</v>
      </c>
      <c r="F25">
        <v>13.8</v>
      </c>
      <c r="G25" t="s">
        <v>43</v>
      </c>
      <c r="H25" t="s">
        <v>43</v>
      </c>
      <c r="I25">
        <v>44.3</v>
      </c>
      <c r="J25" s="8">
        <f t="shared" si="5"/>
        <v>0.52875846501128676</v>
      </c>
      <c r="M25">
        <v>976</v>
      </c>
      <c r="N25" t="s">
        <v>43</v>
      </c>
      <c r="O25" t="s">
        <v>43</v>
      </c>
      <c r="P25" t="s">
        <v>43</v>
      </c>
      <c r="Q25" t="s">
        <v>43</v>
      </c>
      <c r="R25">
        <v>670.6</v>
      </c>
      <c r="S25" s="9">
        <f>((M25-R25)/M25)*100</f>
        <v>31.290983606557376</v>
      </c>
      <c r="T25" t="s">
        <v>43</v>
      </c>
      <c r="U25" t="s">
        <v>43</v>
      </c>
      <c r="Z25" s="3" t="s">
        <v>43</v>
      </c>
      <c r="AA25" s="3" t="s">
        <v>43</v>
      </c>
      <c r="AB25" s="3" t="s">
        <v>43</v>
      </c>
      <c r="AC25" s="3" t="s">
        <v>43</v>
      </c>
      <c r="AD25" s="5" t="s">
        <v>43</v>
      </c>
      <c r="AE25" s="3" t="s">
        <v>43</v>
      </c>
      <c r="AG25" s="3" t="s">
        <v>43</v>
      </c>
      <c r="AH25">
        <v>0.22500000000000001</v>
      </c>
      <c r="AI25" s="3" t="s">
        <v>43</v>
      </c>
      <c r="AJ25" s="3" t="s">
        <v>43</v>
      </c>
      <c r="AL25" s="33" t="s">
        <v>75</v>
      </c>
      <c r="AT25">
        <v>10</v>
      </c>
      <c r="AU25">
        <v>4</v>
      </c>
      <c r="AV25">
        <v>1</v>
      </c>
      <c r="AX25">
        <f t="shared" ref="AX25:AX27" si="6">(AU25+AT25)*LN((AU25+2))</f>
        <v>25.08463256919277</v>
      </c>
      <c r="AZ25">
        <f t="shared" si="1"/>
        <v>15.380572041353537</v>
      </c>
    </row>
    <row r="26" spans="2:52" ht="15" x14ac:dyDescent="0.25">
      <c r="B26" s="34" t="s">
        <v>46</v>
      </c>
      <c r="C26" s="34"/>
      <c r="D26" t="s">
        <v>43</v>
      </c>
      <c r="E26" s="3">
        <v>1.2</v>
      </c>
      <c r="F26">
        <v>12.9</v>
      </c>
      <c r="G26" t="s">
        <v>43</v>
      </c>
      <c r="H26" t="s">
        <v>43</v>
      </c>
      <c r="I26">
        <v>57.2</v>
      </c>
      <c r="J26" s="8">
        <f t="shared" si="5"/>
        <v>0.34447552447552449</v>
      </c>
      <c r="M26">
        <v>821</v>
      </c>
      <c r="N26" t="s">
        <v>43</v>
      </c>
      <c r="O26" t="s">
        <v>43</v>
      </c>
      <c r="P26" t="s">
        <v>43</v>
      </c>
      <c r="Q26" t="s">
        <v>43</v>
      </c>
      <c r="R26">
        <v>789.5</v>
      </c>
      <c r="S26" s="9">
        <f>((M26-R26)/M26)*100</f>
        <v>3.8367844092570031</v>
      </c>
      <c r="T26" t="s">
        <v>43</v>
      </c>
      <c r="U26" t="s">
        <v>43</v>
      </c>
      <c r="Z26" s="3" t="s">
        <v>43</v>
      </c>
      <c r="AA26" s="3" t="s">
        <v>43</v>
      </c>
      <c r="AB26" s="3" t="s">
        <v>43</v>
      </c>
      <c r="AC26" s="3" t="s">
        <v>43</v>
      </c>
      <c r="AD26" s="5" t="s">
        <v>43</v>
      </c>
      <c r="AE26" s="3" t="s">
        <v>43</v>
      </c>
      <c r="AG26" s="3" t="s">
        <v>43</v>
      </c>
      <c r="AH26">
        <v>8.3000000000000004E-2</v>
      </c>
      <c r="AI26" s="3" t="s">
        <v>43</v>
      </c>
      <c r="AJ26" s="3" t="s">
        <v>43</v>
      </c>
      <c r="AL26" s="33"/>
      <c r="AT26">
        <v>10</v>
      </c>
      <c r="AU26">
        <v>4</v>
      </c>
      <c r="AV26">
        <v>1</v>
      </c>
      <c r="AX26">
        <f t="shared" si="6"/>
        <v>25.08463256919277</v>
      </c>
      <c r="AZ26">
        <f t="shared" si="1"/>
        <v>15.380572041353537</v>
      </c>
    </row>
    <row r="27" spans="2:52" ht="15" x14ac:dyDescent="0.25">
      <c r="B27" s="34" t="s">
        <v>46</v>
      </c>
      <c r="C27" s="34"/>
      <c r="D27" t="s">
        <v>43</v>
      </c>
      <c r="E27" s="3">
        <v>14</v>
      </c>
      <c r="F27">
        <v>27.4</v>
      </c>
      <c r="G27" t="s">
        <v>43</v>
      </c>
      <c r="H27" t="s">
        <v>43</v>
      </c>
      <c r="I27">
        <v>7.5</v>
      </c>
      <c r="J27" s="8">
        <f t="shared" si="5"/>
        <v>2.0608000000000004</v>
      </c>
      <c r="L27">
        <v>384</v>
      </c>
      <c r="M27">
        <v>644</v>
      </c>
      <c r="N27">
        <v>46</v>
      </c>
      <c r="O27" s="9">
        <f>((L27-N27)/L27)*100</f>
        <v>88.020833333333343</v>
      </c>
      <c r="P27" t="s">
        <v>43</v>
      </c>
      <c r="Q27" t="s">
        <v>43</v>
      </c>
      <c r="R27">
        <v>129</v>
      </c>
      <c r="S27" s="9">
        <f>((M27-R27)/M27)*100</f>
        <v>79.968944099378874</v>
      </c>
      <c r="T27" t="s">
        <v>43</v>
      </c>
      <c r="U27" t="s">
        <v>43</v>
      </c>
      <c r="Z27" s="3" t="s">
        <v>43</v>
      </c>
      <c r="AA27" s="3" t="s">
        <v>43</v>
      </c>
      <c r="AB27" s="3" t="s">
        <v>43</v>
      </c>
      <c r="AC27" s="3" t="s">
        <v>43</v>
      </c>
      <c r="AD27" s="5" t="s">
        <v>43</v>
      </c>
      <c r="AE27" s="3" t="s">
        <v>43</v>
      </c>
      <c r="AG27" s="3" t="s">
        <v>43</v>
      </c>
      <c r="AH27" s="3" t="s">
        <v>43</v>
      </c>
      <c r="AI27" s="3" t="s">
        <v>43</v>
      </c>
      <c r="AJ27" s="3" t="s">
        <v>43</v>
      </c>
      <c r="AL27" s="33" t="s">
        <v>83</v>
      </c>
      <c r="AT27">
        <v>5</v>
      </c>
      <c r="AU27">
        <v>4</v>
      </c>
      <c r="AV27">
        <v>1</v>
      </c>
      <c r="AX27">
        <f t="shared" si="6"/>
        <v>16.125835223052494</v>
      </c>
      <c r="AZ27">
        <f t="shared" si="1"/>
        <v>9.8875105980129874</v>
      </c>
    </row>
    <row r="28" spans="2:52" ht="15" x14ac:dyDescent="0.25">
      <c r="B28" s="34" t="s">
        <v>46</v>
      </c>
      <c r="C28" s="34"/>
      <c r="D28" t="s">
        <v>43</v>
      </c>
      <c r="E28" s="3">
        <v>14</v>
      </c>
      <c r="F28">
        <v>27.4</v>
      </c>
      <c r="G28" t="s">
        <v>43</v>
      </c>
      <c r="H28" t="s">
        <v>43</v>
      </c>
      <c r="I28">
        <v>7.5</v>
      </c>
      <c r="J28" s="8">
        <f t="shared" si="5"/>
        <v>2.5888</v>
      </c>
      <c r="L28">
        <v>692</v>
      </c>
      <c r="M28">
        <v>809</v>
      </c>
      <c r="N28">
        <v>18</v>
      </c>
      <c r="O28" s="9">
        <f>((L28-N28)/L28)*100</f>
        <v>97.398843930635834</v>
      </c>
      <c r="P28" t="s">
        <v>43</v>
      </c>
      <c r="Q28" t="s">
        <v>43</v>
      </c>
      <c r="R28">
        <v>92</v>
      </c>
      <c r="S28" s="9">
        <f>((M28-R28)/M28)*100</f>
        <v>88.627935723114959</v>
      </c>
      <c r="T28" t="s">
        <v>43</v>
      </c>
      <c r="U28" t="s">
        <v>43</v>
      </c>
      <c r="Z28" s="3" t="s">
        <v>43</v>
      </c>
      <c r="AA28" s="3" t="s">
        <v>43</v>
      </c>
      <c r="AB28" s="3" t="s">
        <v>43</v>
      </c>
      <c r="AC28" s="3" t="s">
        <v>43</v>
      </c>
      <c r="AD28" s="5" t="s">
        <v>43</v>
      </c>
      <c r="AE28" s="3" t="s">
        <v>43</v>
      </c>
      <c r="AG28" s="3" t="s">
        <v>43</v>
      </c>
      <c r="AH28" s="3" t="s">
        <v>43</v>
      </c>
      <c r="AI28" s="3" t="s">
        <v>43</v>
      </c>
      <c r="AJ28" s="3" t="s">
        <v>43</v>
      </c>
      <c r="AL28" s="33"/>
      <c r="AT28">
        <v>5</v>
      </c>
      <c r="AU28">
        <v>4</v>
      </c>
      <c r="AV28">
        <v>1</v>
      </c>
      <c r="AX28">
        <f t="shared" ref="AX28:AX29" si="7">(AU28+AT28)*LN((AU28+2))</f>
        <v>16.125835223052494</v>
      </c>
      <c r="AZ28">
        <f t="shared" si="1"/>
        <v>9.8875105980129874</v>
      </c>
    </row>
    <row r="29" spans="2:52" ht="15" x14ac:dyDescent="0.25">
      <c r="B29" s="34" t="s">
        <v>46</v>
      </c>
      <c r="C29" s="34"/>
      <c r="D29" t="s">
        <v>43</v>
      </c>
      <c r="E29" s="3">
        <v>14</v>
      </c>
      <c r="F29">
        <v>27.4</v>
      </c>
      <c r="G29" t="s">
        <v>43</v>
      </c>
      <c r="H29" t="s">
        <v>43</v>
      </c>
      <c r="I29">
        <v>7.5</v>
      </c>
      <c r="J29" s="8">
        <f t="shared" si="5"/>
        <v>1.9903999999999997</v>
      </c>
      <c r="L29">
        <v>343</v>
      </c>
      <c r="M29">
        <v>622</v>
      </c>
      <c r="N29">
        <v>29</v>
      </c>
      <c r="O29" s="9">
        <f>((L29-N29)/L29)*100</f>
        <v>91.545189504373184</v>
      </c>
      <c r="P29" t="s">
        <v>43</v>
      </c>
      <c r="Q29" t="s">
        <v>43</v>
      </c>
      <c r="R29">
        <v>102</v>
      </c>
      <c r="S29" s="9">
        <f>((M29-R29)/M29)*100</f>
        <v>83.60128617363344</v>
      </c>
      <c r="T29" t="s">
        <v>43</v>
      </c>
      <c r="U29" t="s">
        <v>43</v>
      </c>
      <c r="Z29" s="3" t="s">
        <v>43</v>
      </c>
      <c r="AA29" s="3" t="s">
        <v>43</v>
      </c>
      <c r="AB29" s="3" t="s">
        <v>43</v>
      </c>
      <c r="AC29" s="3" t="s">
        <v>43</v>
      </c>
      <c r="AD29" s="5" t="s">
        <v>43</v>
      </c>
      <c r="AE29" s="3" t="s">
        <v>43</v>
      </c>
      <c r="AG29" s="3" t="s">
        <v>43</v>
      </c>
      <c r="AH29" s="3" t="s">
        <v>43</v>
      </c>
      <c r="AI29" s="3" t="s">
        <v>43</v>
      </c>
      <c r="AJ29" s="3" t="s">
        <v>43</v>
      </c>
      <c r="AL29" s="33"/>
      <c r="AT29">
        <v>5</v>
      </c>
      <c r="AU29">
        <v>4</v>
      </c>
      <c r="AV29">
        <v>1</v>
      </c>
      <c r="AX29">
        <f t="shared" si="7"/>
        <v>16.125835223052494</v>
      </c>
      <c r="AZ29">
        <f t="shared" si="1"/>
        <v>9.8875105980129874</v>
      </c>
    </row>
    <row r="30" spans="2:52" ht="15" x14ac:dyDescent="0.25">
      <c r="B30" s="34" t="s">
        <v>46</v>
      </c>
      <c r="C30" s="34"/>
      <c r="D30" t="s">
        <v>273</v>
      </c>
      <c r="E30" s="3">
        <v>2.75</v>
      </c>
      <c r="F30">
        <v>25</v>
      </c>
      <c r="G30">
        <f>4*7</f>
        <v>28</v>
      </c>
      <c r="H30">
        <v>0.27</v>
      </c>
      <c r="I30">
        <v>11.2</v>
      </c>
      <c r="J30" s="8">
        <f t="shared" si="5"/>
        <v>1.4121428571428571</v>
      </c>
      <c r="L30">
        <v>423</v>
      </c>
      <c r="M30">
        <v>659</v>
      </c>
      <c r="N30">
        <v>255</v>
      </c>
      <c r="O30">
        <v>42</v>
      </c>
      <c r="P30" t="s">
        <v>43</v>
      </c>
      <c r="Q30" t="s">
        <v>43</v>
      </c>
      <c r="R30">
        <v>391</v>
      </c>
      <c r="S30">
        <v>41</v>
      </c>
      <c r="T30" t="s">
        <v>43</v>
      </c>
      <c r="U30" t="s">
        <v>43</v>
      </c>
      <c r="Z30" s="3" t="s">
        <v>43</v>
      </c>
      <c r="AA30" s="3" t="s">
        <v>43</v>
      </c>
      <c r="AB30" s="3" t="s">
        <v>43</v>
      </c>
      <c r="AC30" s="3" t="s">
        <v>43</v>
      </c>
      <c r="AD30" s="5" t="s">
        <v>43</v>
      </c>
      <c r="AE30" s="3" t="s">
        <v>43</v>
      </c>
      <c r="AG30" s="3" t="s">
        <v>43</v>
      </c>
      <c r="AH30">
        <v>0.31</v>
      </c>
      <c r="AL30" s="33" t="s">
        <v>272</v>
      </c>
      <c r="AT30">
        <v>5</v>
      </c>
      <c r="AU30">
        <v>4</v>
      </c>
      <c r="AV30">
        <v>1</v>
      </c>
      <c r="AX30">
        <f t="shared" ref="AX30:AX48" si="8">(AU30+AT30)*LN((AU30+2))</f>
        <v>16.125835223052494</v>
      </c>
      <c r="AZ30">
        <f t="shared" si="1"/>
        <v>9.8875105980129874</v>
      </c>
    </row>
    <row r="31" spans="2:52" ht="15" x14ac:dyDescent="0.25">
      <c r="B31" s="34" t="s">
        <v>46</v>
      </c>
      <c r="C31" s="34"/>
      <c r="D31" t="s">
        <v>273</v>
      </c>
      <c r="E31" s="3">
        <v>2.75</v>
      </c>
      <c r="F31">
        <v>25</v>
      </c>
      <c r="G31">
        <v>7</v>
      </c>
      <c r="H31">
        <v>0.28999999999999998</v>
      </c>
      <c r="I31">
        <v>10.5</v>
      </c>
      <c r="J31" s="8">
        <f t="shared" si="5"/>
        <v>1.7028571428571431</v>
      </c>
      <c r="L31">
        <v>479</v>
      </c>
      <c r="M31">
        <v>745</v>
      </c>
      <c r="N31">
        <v>209</v>
      </c>
      <c r="O31">
        <v>55</v>
      </c>
      <c r="P31" t="s">
        <v>43</v>
      </c>
      <c r="Q31" t="s">
        <v>43</v>
      </c>
      <c r="R31">
        <v>506</v>
      </c>
      <c r="S31">
        <v>31</v>
      </c>
      <c r="T31" t="s">
        <v>43</v>
      </c>
      <c r="U31" t="s">
        <v>43</v>
      </c>
      <c r="Z31" s="3" t="s">
        <v>43</v>
      </c>
      <c r="AA31" s="3" t="s">
        <v>43</v>
      </c>
      <c r="AB31" s="3" t="s">
        <v>43</v>
      </c>
      <c r="AC31" s="3" t="s">
        <v>43</v>
      </c>
      <c r="AD31" s="5" t="s">
        <v>43</v>
      </c>
      <c r="AE31" s="3" t="s">
        <v>43</v>
      </c>
      <c r="AG31" s="3" t="s">
        <v>43</v>
      </c>
      <c r="AH31">
        <v>0.28000000000000003</v>
      </c>
      <c r="AL31" s="33"/>
      <c r="AT31">
        <v>5</v>
      </c>
      <c r="AU31">
        <v>4</v>
      </c>
      <c r="AV31">
        <v>1</v>
      </c>
      <c r="AX31">
        <f t="shared" si="8"/>
        <v>16.125835223052494</v>
      </c>
      <c r="AZ31">
        <f t="shared" si="1"/>
        <v>9.8875105980129874</v>
      </c>
    </row>
    <row r="32" spans="2:52" ht="15" x14ac:dyDescent="0.25">
      <c r="B32" s="34" t="s">
        <v>46</v>
      </c>
      <c r="C32" s="34"/>
      <c r="D32" t="s">
        <v>273</v>
      </c>
      <c r="E32" s="3">
        <v>2.75</v>
      </c>
      <c r="F32">
        <v>25</v>
      </c>
      <c r="G32">
        <v>7</v>
      </c>
      <c r="H32">
        <v>0.32</v>
      </c>
      <c r="I32">
        <v>9.5</v>
      </c>
      <c r="J32" s="8">
        <f t="shared" si="5"/>
        <v>2.0715789473684212</v>
      </c>
      <c r="L32">
        <v>562</v>
      </c>
      <c r="M32">
        <v>820</v>
      </c>
      <c r="N32">
        <v>516</v>
      </c>
      <c r="O32">
        <v>8.1999999999999993</v>
      </c>
      <c r="P32" t="s">
        <v>43</v>
      </c>
      <c r="Q32" t="s">
        <v>43</v>
      </c>
      <c r="R32">
        <v>631</v>
      </c>
      <c r="S32">
        <v>23</v>
      </c>
      <c r="T32" t="s">
        <v>43</v>
      </c>
      <c r="U32" t="s">
        <v>43</v>
      </c>
      <c r="Z32" s="3" t="s">
        <v>43</v>
      </c>
      <c r="AA32" s="3" t="s">
        <v>43</v>
      </c>
      <c r="AB32" s="3" t="s">
        <v>43</v>
      </c>
      <c r="AC32" s="3" t="s">
        <v>43</v>
      </c>
      <c r="AD32" s="5" t="s">
        <v>43</v>
      </c>
      <c r="AE32" s="3" t="s">
        <v>43</v>
      </c>
      <c r="AG32" s="3" t="s">
        <v>43</v>
      </c>
      <c r="AH32">
        <v>0.26</v>
      </c>
      <c r="AL32" s="33"/>
      <c r="AT32">
        <v>5</v>
      </c>
      <c r="AU32">
        <v>4</v>
      </c>
      <c r="AV32">
        <v>1</v>
      </c>
      <c r="AX32">
        <f t="shared" si="8"/>
        <v>16.125835223052494</v>
      </c>
      <c r="AZ32">
        <f t="shared" si="1"/>
        <v>9.8875105980129874</v>
      </c>
    </row>
    <row r="33" spans="2:52" ht="15" x14ac:dyDescent="0.25">
      <c r="B33" s="34" t="s">
        <v>46</v>
      </c>
      <c r="C33" s="34"/>
      <c r="D33" t="s">
        <v>273</v>
      </c>
      <c r="E33" s="3">
        <v>2.75</v>
      </c>
      <c r="F33">
        <v>25</v>
      </c>
      <c r="G33">
        <v>14</v>
      </c>
      <c r="H33">
        <v>0.35</v>
      </c>
      <c r="I33">
        <v>8.8000000000000007</v>
      </c>
      <c r="J33" s="8">
        <f t="shared" si="5"/>
        <v>1.780909090909091</v>
      </c>
      <c r="L33">
        <v>425</v>
      </c>
      <c r="M33">
        <v>653</v>
      </c>
      <c r="N33">
        <v>326</v>
      </c>
      <c r="O33">
        <v>27</v>
      </c>
      <c r="P33" t="s">
        <v>43</v>
      </c>
      <c r="Q33" t="s">
        <v>43</v>
      </c>
      <c r="R33">
        <v>518</v>
      </c>
      <c r="S33">
        <v>22</v>
      </c>
      <c r="T33" t="s">
        <v>43</v>
      </c>
      <c r="U33" t="s">
        <v>43</v>
      </c>
      <c r="Z33" s="3" t="s">
        <v>43</v>
      </c>
      <c r="AA33" s="3" t="s">
        <v>43</v>
      </c>
      <c r="AB33" s="3" t="s">
        <v>43</v>
      </c>
      <c r="AC33" s="3" t="s">
        <v>43</v>
      </c>
      <c r="AD33" s="5" t="s">
        <v>43</v>
      </c>
      <c r="AE33" s="3" t="s">
        <v>43</v>
      </c>
      <c r="AG33" s="3" t="s">
        <v>43</v>
      </c>
      <c r="AH33">
        <v>0.25</v>
      </c>
      <c r="AL33" s="33"/>
      <c r="AT33">
        <v>5</v>
      </c>
      <c r="AU33">
        <v>4</v>
      </c>
      <c r="AV33">
        <v>1</v>
      </c>
      <c r="AX33">
        <f t="shared" si="8"/>
        <v>16.125835223052494</v>
      </c>
      <c r="AZ33">
        <f t="shared" si="1"/>
        <v>9.8875105980129874</v>
      </c>
    </row>
    <row r="34" spans="2:52" ht="15" x14ac:dyDescent="0.25">
      <c r="B34" s="34" t="s">
        <v>46</v>
      </c>
      <c r="C34" s="34"/>
      <c r="D34" t="s">
        <v>273</v>
      </c>
      <c r="E34" s="3">
        <v>2.75</v>
      </c>
      <c r="F34">
        <v>25</v>
      </c>
      <c r="G34">
        <f>14*7</f>
        <v>98</v>
      </c>
      <c r="H34">
        <v>0.33</v>
      </c>
      <c r="I34">
        <v>13</v>
      </c>
      <c r="J34" s="8">
        <f t="shared" si="5"/>
        <v>1.3956923076923078</v>
      </c>
      <c r="L34">
        <v>458</v>
      </c>
      <c r="M34">
        <v>756</v>
      </c>
      <c r="N34">
        <v>142</v>
      </c>
      <c r="O34">
        <v>67</v>
      </c>
      <c r="P34" t="s">
        <v>43</v>
      </c>
      <c r="Q34" t="s">
        <v>43</v>
      </c>
      <c r="R34">
        <v>234</v>
      </c>
      <c r="S34">
        <v>66</v>
      </c>
      <c r="T34" t="s">
        <v>43</v>
      </c>
      <c r="U34" t="s">
        <v>43</v>
      </c>
      <c r="Z34" s="3" t="s">
        <v>43</v>
      </c>
      <c r="AA34" s="3" t="s">
        <v>43</v>
      </c>
      <c r="AB34" s="3" t="s">
        <v>43</v>
      </c>
      <c r="AC34" s="3" t="s">
        <v>43</v>
      </c>
      <c r="AD34" s="5" t="s">
        <v>43</v>
      </c>
      <c r="AE34" s="3" t="s">
        <v>43</v>
      </c>
      <c r="AG34" s="3" t="s">
        <v>43</v>
      </c>
      <c r="AH34">
        <v>0.28000000000000003</v>
      </c>
      <c r="AL34" s="33"/>
      <c r="AT34">
        <v>5</v>
      </c>
      <c r="AU34">
        <v>4</v>
      </c>
      <c r="AV34">
        <v>1</v>
      </c>
      <c r="AX34">
        <f t="shared" si="8"/>
        <v>16.125835223052494</v>
      </c>
      <c r="AZ34">
        <f t="shared" si="1"/>
        <v>9.8875105980129874</v>
      </c>
    </row>
    <row r="35" spans="2:52" ht="15" x14ac:dyDescent="0.25">
      <c r="B35" s="34" t="s">
        <v>46</v>
      </c>
      <c r="C35" s="34"/>
      <c r="D35" t="s">
        <v>273</v>
      </c>
      <c r="E35">
        <f>40*24*5.85</f>
        <v>5616</v>
      </c>
      <c r="F35">
        <v>30</v>
      </c>
      <c r="G35" t="s">
        <v>43</v>
      </c>
      <c r="H35">
        <v>0.52</v>
      </c>
      <c r="I35">
        <v>32</v>
      </c>
      <c r="J35">
        <v>1.52</v>
      </c>
      <c r="L35">
        <v>481</v>
      </c>
      <c r="M35">
        <v>589</v>
      </c>
      <c r="N35">
        <v>116</v>
      </c>
      <c r="O35" s="9">
        <f t="shared" ref="O35:O47" si="9">((L35-N35)/L35)*100</f>
        <v>75.883575883575887</v>
      </c>
      <c r="P35">
        <v>79</v>
      </c>
      <c r="Q35" s="9">
        <f>((284-79)/284)*100</f>
        <v>72.183098591549296</v>
      </c>
      <c r="R35">
        <v>226</v>
      </c>
      <c r="S35" s="9">
        <f t="shared" ref="S35:S47" si="10">((M35-R35)/M35)*100</f>
        <v>61.629881154499152</v>
      </c>
      <c r="T35" t="s">
        <v>43</v>
      </c>
      <c r="U35" t="s">
        <v>43</v>
      </c>
      <c r="Z35" s="3" t="s">
        <v>43</v>
      </c>
      <c r="AA35" s="3" t="s">
        <v>43</v>
      </c>
      <c r="AB35" s="3" t="s">
        <v>43</v>
      </c>
      <c r="AC35" s="3" t="s">
        <v>43</v>
      </c>
      <c r="AD35" s="5" t="s">
        <v>43</v>
      </c>
      <c r="AE35" s="3" t="s">
        <v>43</v>
      </c>
      <c r="AG35" s="3" t="s">
        <v>43</v>
      </c>
      <c r="AH35" s="3" t="s">
        <v>43</v>
      </c>
      <c r="AI35" s="3" t="s">
        <v>43</v>
      </c>
      <c r="AJ35" s="3" t="s">
        <v>43</v>
      </c>
      <c r="AL35" t="s">
        <v>88</v>
      </c>
      <c r="AT35">
        <v>10</v>
      </c>
      <c r="AU35">
        <v>4</v>
      </c>
      <c r="AV35">
        <v>1</v>
      </c>
      <c r="AX35">
        <f t="shared" si="8"/>
        <v>25.08463256919277</v>
      </c>
      <c r="AZ35">
        <f t="shared" si="1"/>
        <v>15.380572041353537</v>
      </c>
    </row>
    <row r="36" spans="2:52" ht="15" x14ac:dyDescent="0.25">
      <c r="B36" s="34" t="s">
        <v>46</v>
      </c>
      <c r="C36" s="34"/>
      <c r="D36" t="s">
        <v>43</v>
      </c>
      <c r="E36" s="3">
        <v>0.46500000000000002</v>
      </c>
      <c r="F36">
        <v>12</v>
      </c>
      <c r="G36" t="s">
        <v>43</v>
      </c>
      <c r="H36" t="s">
        <v>43</v>
      </c>
      <c r="I36">
        <v>7</v>
      </c>
      <c r="J36" s="8">
        <f t="shared" ref="J36:J50" si="11">((M36*(E36/I36)*24)/1000)/E36</f>
        <v>2.4000000000000004</v>
      </c>
      <c r="L36">
        <v>311</v>
      </c>
      <c r="M36">
        <v>700</v>
      </c>
      <c r="N36">
        <v>164</v>
      </c>
      <c r="O36" s="9">
        <f t="shared" si="9"/>
        <v>47.266881028938904</v>
      </c>
      <c r="P36" t="s">
        <v>43</v>
      </c>
      <c r="Q36" t="s">
        <v>43</v>
      </c>
      <c r="R36">
        <v>207</v>
      </c>
      <c r="S36" s="9">
        <f t="shared" si="10"/>
        <v>70.428571428571431</v>
      </c>
      <c r="T36" t="s">
        <v>43</v>
      </c>
      <c r="U36" t="s">
        <v>43</v>
      </c>
      <c r="Z36" s="3" t="s">
        <v>43</v>
      </c>
      <c r="AA36" s="3" t="s">
        <v>43</v>
      </c>
      <c r="AB36" s="3" t="s">
        <v>43</v>
      </c>
      <c r="AC36" s="3" t="s">
        <v>43</v>
      </c>
      <c r="AD36" s="5" t="s">
        <v>43</v>
      </c>
      <c r="AE36" s="3" t="s">
        <v>43</v>
      </c>
      <c r="AG36" s="3" t="s">
        <v>43</v>
      </c>
      <c r="AH36" s="3" t="s">
        <v>43</v>
      </c>
      <c r="AI36" s="3" t="s">
        <v>43</v>
      </c>
      <c r="AJ36" s="3" t="s">
        <v>43</v>
      </c>
      <c r="AL36" s="33" t="s">
        <v>89</v>
      </c>
      <c r="AT36">
        <v>6</v>
      </c>
      <c r="AU36">
        <v>5</v>
      </c>
      <c r="AV36">
        <v>1</v>
      </c>
      <c r="AX36">
        <f t="shared" si="8"/>
        <v>21.405011639608446</v>
      </c>
      <c r="AZ36">
        <f t="shared" si="1"/>
        <v>12.084735175349207</v>
      </c>
    </row>
    <row r="37" spans="2:52" ht="15" x14ac:dyDescent="0.25">
      <c r="B37" s="34" t="s">
        <v>46</v>
      </c>
      <c r="C37" s="34"/>
      <c r="D37" t="s">
        <v>43</v>
      </c>
      <c r="E37" s="3">
        <v>0.46500000000000002</v>
      </c>
      <c r="F37">
        <v>17</v>
      </c>
      <c r="G37" t="s">
        <v>43</v>
      </c>
      <c r="H37" t="s">
        <v>43</v>
      </c>
      <c r="I37">
        <v>5.5</v>
      </c>
      <c r="J37" s="8">
        <f t="shared" si="11"/>
        <v>2.474181818181818</v>
      </c>
      <c r="L37">
        <v>289</v>
      </c>
      <c r="M37">
        <v>567</v>
      </c>
      <c r="N37">
        <v>167</v>
      </c>
      <c r="O37" s="9">
        <f t="shared" si="9"/>
        <v>42.214532871972317</v>
      </c>
      <c r="P37" t="s">
        <v>43</v>
      </c>
      <c r="Q37" t="s">
        <v>43</v>
      </c>
      <c r="R37">
        <v>175</v>
      </c>
      <c r="S37" s="9">
        <f t="shared" si="10"/>
        <v>69.135802469135797</v>
      </c>
      <c r="T37" t="s">
        <v>43</v>
      </c>
      <c r="U37" t="s">
        <v>43</v>
      </c>
      <c r="Z37" s="3" t="s">
        <v>43</v>
      </c>
      <c r="AA37" s="3" t="s">
        <v>43</v>
      </c>
      <c r="AB37" s="3" t="s">
        <v>43</v>
      </c>
      <c r="AC37" s="3" t="s">
        <v>43</v>
      </c>
      <c r="AD37" s="5" t="s">
        <v>43</v>
      </c>
      <c r="AE37" s="3" t="s">
        <v>43</v>
      </c>
      <c r="AG37" s="3" t="s">
        <v>43</v>
      </c>
      <c r="AH37" s="3" t="s">
        <v>43</v>
      </c>
      <c r="AI37" s="3" t="s">
        <v>43</v>
      </c>
      <c r="AJ37" s="3" t="s">
        <v>43</v>
      </c>
      <c r="AL37" s="33"/>
      <c r="AT37">
        <v>6</v>
      </c>
      <c r="AU37">
        <v>5</v>
      </c>
      <c r="AV37">
        <v>1</v>
      </c>
      <c r="AX37">
        <f t="shared" si="8"/>
        <v>21.405011639608446</v>
      </c>
      <c r="AZ37">
        <f t="shared" si="1"/>
        <v>12.084735175349207</v>
      </c>
    </row>
    <row r="38" spans="2:52" ht="15" x14ac:dyDescent="0.25">
      <c r="B38" s="34" t="s">
        <v>46</v>
      </c>
      <c r="C38" s="34"/>
      <c r="D38" t="s">
        <v>43</v>
      </c>
      <c r="E38" s="3">
        <v>0.46500000000000002</v>
      </c>
      <c r="F38">
        <v>25</v>
      </c>
      <c r="G38" t="s">
        <v>43</v>
      </c>
      <c r="H38" t="s">
        <v>43</v>
      </c>
      <c r="I38">
        <v>4</v>
      </c>
      <c r="J38" s="8">
        <f t="shared" si="11"/>
        <v>3.516</v>
      </c>
      <c r="L38">
        <v>258</v>
      </c>
      <c r="M38">
        <v>586</v>
      </c>
      <c r="N38">
        <v>143</v>
      </c>
      <c r="O38" s="9">
        <f t="shared" si="9"/>
        <v>44.573643410852718</v>
      </c>
      <c r="P38" t="s">
        <v>43</v>
      </c>
      <c r="Q38" t="s">
        <v>43</v>
      </c>
      <c r="R38">
        <v>195</v>
      </c>
      <c r="S38" s="9">
        <f t="shared" si="10"/>
        <v>66.723549488054616</v>
      </c>
      <c r="T38" t="s">
        <v>43</v>
      </c>
      <c r="U38" t="s">
        <v>43</v>
      </c>
      <c r="Z38" s="3" t="s">
        <v>43</v>
      </c>
      <c r="AA38" s="3" t="s">
        <v>43</v>
      </c>
      <c r="AB38" s="3" t="s">
        <v>43</v>
      </c>
      <c r="AC38" s="3" t="s">
        <v>43</v>
      </c>
      <c r="AD38" s="5" t="s">
        <v>43</v>
      </c>
      <c r="AE38" s="3" t="s">
        <v>43</v>
      </c>
      <c r="AG38" s="3" t="s">
        <v>43</v>
      </c>
      <c r="AH38" s="3" t="s">
        <v>43</v>
      </c>
      <c r="AI38" s="3" t="s">
        <v>43</v>
      </c>
      <c r="AJ38" s="3" t="s">
        <v>43</v>
      </c>
      <c r="AL38" s="33"/>
      <c r="AT38">
        <v>6</v>
      </c>
      <c r="AU38">
        <v>5</v>
      </c>
      <c r="AV38">
        <v>1</v>
      </c>
      <c r="AX38">
        <f t="shared" si="8"/>
        <v>21.405011639608446</v>
      </c>
      <c r="AZ38">
        <f t="shared" si="1"/>
        <v>12.084735175349207</v>
      </c>
    </row>
    <row r="39" spans="2:52" ht="15" x14ac:dyDescent="0.25">
      <c r="B39" s="34" t="s">
        <v>46</v>
      </c>
      <c r="C39" s="34"/>
      <c r="D39" t="s">
        <v>43</v>
      </c>
      <c r="E39" s="3">
        <v>0.46500000000000002</v>
      </c>
      <c r="F39">
        <v>26</v>
      </c>
      <c r="G39" t="s">
        <v>43</v>
      </c>
      <c r="H39" t="s">
        <v>43</v>
      </c>
      <c r="I39">
        <v>2.7</v>
      </c>
      <c r="J39" s="8">
        <f t="shared" si="11"/>
        <v>5.0844444444444434</v>
      </c>
      <c r="L39">
        <v>280</v>
      </c>
      <c r="M39">
        <v>572</v>
      </c>
      <c r="N39">
        <v>147</v>
      </c>
      <c r="O39" s="9">
        <f t="shared" si="9"/>
        <v>47.5</v>
      </c>
      <c r="P39" t="s">
        <v>43</v>
      </c>
      <c r="Q39" t="s">
        <v>43</v>
      </c>
      <c r="R39">
        <v>211</v>
      </c>
      <c r="S39" s="9">
        <f t="shared" si="10"/>
        <v>63.111888111888113</v>
      </c>
      <c r="T39" t="s">
        <v>43</v>
      </c>
      <c r="U39" t="s">
        <v>43</v>
      </c>
      <c r="Z39" s="3" t="s">
        <v>43</v>
      </c>
      <c r="AA39" s="3" t="s">
        <v>43</v>
      </c>
      <c r="AB39" s="3" t="s">
        <v>43</v>
      </c>
      <c r="AC39" s="3" t="s">
        <v>43</v>
      </c>
      <c r="AD39" s="5" t="s">
        <v>43</v>
      </c>
      <c r="AE39" s="3" t="s">
        <v>43</v>
      </c>
      <c r="AG39" s="3" t="s">
        <v>43</v>
      </c>
      <c r="AH39" s="3" t="s">
        <v>43</v>
      </c>
      <c r="AI39" s="3" t="s">
        <v>43</v>
      </c>
      <c r="AJ39" s="3" t="s">
        <v>43</v>
      </c>
      <c r="AL39" s="33"/>
      <c r="AM39" t="s">
        <v>276</v>
      </c>
      <c r="AT39">
        <v>6</v>
      </c>
      <c r="AU39">
        <v>5</v>
      </c>
      <c r="AV39">
        <v>1</v>
      </c>
      <c r="AX39">
        <f t="shared" si="8"/>
        <v>21.405011639608446</v>
      </c>
      <c r="AZ39">
        <f t="shared" si="1"/>
        <v>12.084735175349207</v>
      </c>
    </row>
    <row r="40" spans="2:52" ht="15" x14ac:dyDescent="0.25">
      <c r="B40" s="34" t="s">
        <v>46</v>
      </c>
      <c r="C40" s="34"/>
      <c r="D40" t="s">
        <v>43</v>
      </c>
      <c r="E40" s="3">
        <v>0.46500000000000002</v>
      </c>
      <c r="F40">
        <v>31</v>
      </c>
      <c r="G40" t="s">
        <v>43</v>
      </c>
      <c r="H40" t="s">
        <v>43</v>
      </c>
      <c r="I40">
        <v>1.4</v>
      </c>
      <c r="J40" s="8">
        <f t="shared" si="11"/>
        <v>10.491428571428571</v>
      </c>
      <c r="L40">
        <v>296</v>
      </c>
      <c r="M40">
        <v>612</v>
      </c>
      <c r="N40">
        <v>151</v>
      </c>
      <c r="O40" s="9">
        <f t="shared" si="9"/>
        <v>48.986486486486484</v>
      </c>
      <c r="P40" t="s">
        <v>43</v>
      </c>
      <c r="Q40" t="s">
        <v>43</v>
      </c>
      <c r="R40">
        <v>255</v>
      </c>
      <c r="S40" s="9">
        <f t="shared" si="10"/>
        <v>58.333333333333336</v>
      </c>
      <c r="T40" t="s">
        <v>43</v>
      </c>
      <c r="U40" t="s">
        <v>43</v>
      </c>
      <c r="Z40" s="3" t="s">
        <v>43</v>
      </c>
      <c r="AA40" s="3" t="s">
        <v>43</v>
      </c>
      <c r="AB40" s="3" t="s">
        <v>43</v>
      </c>
      <c r="AC40" s="3" t="s">
        <v>43</v>
      </c>
      <c r="AD40" s="5" t="s">
        <v>43</v>
      </c>
      <c r="AE40" s="3" t="s">
        <v>43</v>
      </c>
      <c r="AG40" s="3" t="s">
        <v>43</v>
      </c>
      <c r="AH40" s="3" t="s">
        <v>43</v>
      </c>
      <c r="AI40" s="3" t="s">
        <v>43</v>
      </c>
      <c r="AJ40" s="3" t="s">
        <v>43</v>
      </c>
      <c r="AL40" s="33"/>
      <c r="AT40">
        <v>6</v>
      </c>
      <c r="AU40">
        <v>5</v>
      </c>
      <c r="AV40">
        <v>1</v>
      </c>
      <c r="AX40">
        <f t="shared" si="8"/>
        <v>21.405011639608446</v>
      </c>
      <c r="AZ40">
        <f t="shared" si="1"/>
        <v>12.084735175349207</v>
      </c>
    </row>
    <row r="41" spans="2:52" ht="15" x14ac:dyDescent="0.25">
      <c r="B41" s="33" t="s">
        <v>275</v>
      </c>
      <c r="C41" s="33"/>
      <c r="D41" t="s">
        <v>43</v>
      </c>
      <c r="E41" s="3">
        <v>0.46500000000000002</v>
      </c>
      <c r="F41">
        <v>12</v>
      </c>
      <c r="G41" t="s">
        <v>43</v>
      </c>
      <c r="H41" t="s">
        <v>43</v>
      </c>
      <c r="I41">
        <v>7</v>
      </c>
      <c r="J41" s="8">
        <f t="shared" si="11"/>
        <v>2.4000000000000004</v>
      </c>
      <c r="L41">
        <v>311</v>
      </c>
      <c r="M41">
        <v>700</v>
      </c>
      <c r="N41">
        <v>157</v>
      </c>
      <c r="O41" s="9">
        <f t="shared" si="9"/>
        <v>49.517684887459808</v>
      </c>
      <c r="P41" t="s">
        <v>43</v>
      </c>
      <c r="Q41" t="s">
        <v>43</v>
      </c>
      <c r="R41">
        <v>202</v>
      </c>
      <c r="S41" s="9">
        <f t="shared" si="10"/>
        <v>71.142857142857139</v>
      </c>
      <c r="T41" t="s">
        <v>43</v>
      </c>
      <c r="U41" t="s">
        <v>43</v>
      </c>
      <c r="Z41" s="3" t="s">
        <v>43</v>
      </c>
      <c r="AA41" s="3" t="s">
        <v>43</v>
      </c>
      <c r="AB41" s="3" t="s">
        <v>43</v>
      </c>
      <c r="AC41" s="3" t="s">
        <v>43</v>
      </c>
      <c r="AD41" s="5" t="s">
        <v>43</v>
      </c>
      <c r="AE41" s="3" t="s">
        <v>43</v>
      </c>
      <c r="AG41" s="3" t="s">
        <v>43</v>
      </c>
      <c r="AH41" s="3" t="s">
        <v>43</v>
      </c>
      <c r="AI41" s="3" t="s">
        <v>43</v>
      </c>
      <c r="AJ41" s="3" t="s">
        <v>43</v>
      </c>
      <c r="AL41" s="33"/>
      <c r="AT41">
        <v>7</v>
      </c>
      <c r="AU41">
        <v>5</v>
      </c>
      <c r="AV41">
        <v>1</v>
      </c>
      <c r="AX41">
        <f t="shared" si="8"/>
        <v>23.350921788663758</v>
      </c>
      <c r="AZ41">
        <f t="shared" si="1"/>
        <v>13.183347464017316</v>
      </c>
    </row>
    <row r="42" spans="2:52" ht="15" x14ac:dyDescent="0.25">
      <c r="B42" s="33" t="s">
        <v>275</v>
      </c>
      <c r="C42" s="33"/>
      <c r="D42" t="s">
        <v>43</v>
      </c>
      <c r="E42" s="3">
        <v>0.46500000000000002</v>
      </c>
      <c r="F42">
        <v>17</v>
      </c>
      <c r="G42" t="s">
        <v>43</v>
      </c>
      <c r="H42" t="s">
        <v>43</v>
      </c>
      <c r="I42">
        <v>5.5</v>
      </c>
      <c r="J42" s="8">
        <f t="shared" si="11"/>
        <v>2.474181818181818</v>
      </c>
      <c r="L42">
        <v>289</v>
      </c>
      <c r="M42">
        <v>567</v>
      </c>
      <c r="N42">
        <v>162</v>
      </c>
      <c r="O42" s="9">
        <f t="shared" si="9"/>
        <v>43.944636678200695</v>
      </c>
      <c r="P42" t="s">
        <v>43</v>
      </c>
      <c r="Q42" t="s">
        <v>43</v>
      </c>
      <c r="R42">
        <v>155</v>
      </c>
      <c r="S42" s="9">
        <f t="shared" si="10"/>
        <v>72.663139329805986</v>
      </c>
      <c r="T42" t="s">
        <v>43</v>
      </c>
      <c r="U42" t="s">
        <v>43</v>
      </c>
      <c r="Z42" s="3" t="s">
        <v>43</v>
      </c>
      <c r="AA42" s="3" t="s">
        <v>43</v>
      </c>
      <c r="AB42" s="3" t="s">
        <v>43</v>
      </c>
      <c r="AC42" s="3" t="s">
        <v>43</v>
      </c>
      <c r="AD42" s="5" t="s">
        <v>43</v>
      </c>
      <c r="AE42" s="3" t="s">
        <v>43</v>
      </c>
      <c r="AG42" s="3" t="s">
        <v>43</v>
      </c>
      <c r="AH42" s="3" t="s">
        <v>43</v>
      </c>
      <c r="AI42" s="3" t="s">
        <v>43</v>
      </c>
      <c r="AJ42" s="3" t="s">
        <v>43</v>
      </c>
      <c r="AL42" s="33"/>
      <c r="AT42">
        <v>7</v>
      </c>
      <c r="AU42">
        <v>5</v>
      </c>
      <c r="AV42">
        <v>1</v>
      </c>
      <c r="AX42">
        <f t="shared" si="8"/>
        <v>23.350921788663758</v>
      </c>
      <c r="AZ42">
        <f t="shared" si="1"/>
        <v>13.183347464017316</v>
      </c>
    </row>
    <row r="43" spans="2:52" ht="15" x14ac:dyDescent="0.25">
      <c r="B43" s="33" t="s">
        <v>275</v>
      </c>
      <c r="C43" s="33"/>
      <c r="D43" t="s">
        <v>43</v>
      </c>
      <c r="E43" s="3">
        <v>0.46500000000000002</v>
      </c>
      <c r="F43">
        <v>25</v>
      </c>
      <c r="G43" t="s">
        <v>43</v>
      </c>
      <c r="H43" t="s">
        <v>43</v>
      </c>
      <c r="I43">
        <v>4</v>
      </c>
      <c r="J43" s="8">
        <f t="shared" si="11"/>
        <v>3.516</v>
      </c>
      <c r="L43">
        <v>258</v>
      </c>
      <c r="M43">
        <v>586</v>
      </c>
      <c r="N43">
        <v>142</v>
      </c>
      <c r="O43" s="9">
        <f t="shared" si="9"/>
        <v>44.961240310077521</v>
      </c>
      <c r="P43" t="s">
        <v>43</v>
      </c>
      <c r="Q43" t="s">
        <v>43</v>
      </c>
      <c r="R43">
        <v>184</v>
      </c>
      <c r="S43" s="9">
        <f t="shared" si="10"/>
        <v>68.600682593856661</v>
      </c>
      <c r="T43" t="s">
        <v>43</v>
      </c>
      <c r="U43" t="s">
        <v>43</v>
      </c>
      <c r="Z43" s="3" t="s">
        <v>43</v>
      </c>
      <c r="AA43" s="3" t="s">
        <v>43</v>
      </c>
      <c r="AB43" s="3" t="s">
        <v>43</v>
      </c>
      <c r="AC43" s="3" t="s">
        <v>43</v>
      </c>
      <c r="AD43" s="5" t="s">
        <v>43</v>
      </c>
      <c r="AE43" s="3" t="s">
        <v>43</v>
      </c>
      <c r="AG43" s="3" t="s">
        <v>43</v>
      </c>
      <c r="AH43" s="3" t="s">
        <v>43</v>
      </c>
      <c r="AI43" s="3" t="s">
        <v>43</v>
      </c>
      <c r="AJ43" s="3" t="s">
        <v>43</v>
      </c>
      <c r="AL43" s="33"/>
      <c r="AT43">
        <v>7</v>
      </c>
      <c r="AU43">
        <v>5</v>
      </c>
      <c r="AV43">
        <v>1</v>
      </c>
      <c r="AX43">
        <f t="shared" si="8"/>
        <v>23.350921788663758</v>
      </c>
      <c r="AZ43">
        <f t="shared" si="1"/>
        <v>13.183347464017316</v>
      </c>
    </row>
    <row r="44" spans="2:52" ht="15" x14ac:dyDescent="0.25">
      <c r="B44" s="33" t="s">
        <v>275</v>
      </c>
      <c r="C44" s="33"/>
      <c r="D44" t="s">
        <v>43</v>
      </c>
      <c r="E44" s="3">
        <v>0.46500000000000002</v>
      </c>
      <c r="F44">
        <v>26</v>
      </c>
      <c r="G44" t="s">
        <v>43</v>
      </c>
      <c r="H44" t="s">
        <v>43</v>
      </c>
      <c r="I44">
        <v>2.7</v>
      </c>
      <c r="J44" s="8">
        <f t="shared" si="11"/>
        <v>5.0844444444444434</v>
      </c>
      <c r="L44">
        <v>280</v>
      </c>
      <c r="M44">
        <v>572</v>
      </c>
      <c r="N44">
        <v>150</v>
      </c>
      <c r="O44" s="9">
        <f t="shared" si="9"/>
        <v>46.428571428571431</v>
      </c>
      <c r="P44" t="s">
        <v>43</v>
      </c>
      <c r="Q44" t="s">
        <v>43</v>
      </c>
      <c r="R44">
        <v>190</v>
      </c>
      <c r="S44" s="9">
        <f t="shared" si="10"/>
        <v>66.783216783216787</v>
      </c>
      <c r="T44" t="s">
        <v>43</v>
      </c>
      <c r="U44" t="s">
        <v>43</v>
      </c>
      <c r="Z44" s="3" t="s">
        <v>43</v>
      </c>
      <c r="AA44" s="3" t="s">
        <v>43</v>
      </c>
      <c r="AB44" s="3" t="s">
        <v>43</v>
      </c>
      <c r="AC44" s="3" t="s">
        <v>43</v>
      </c>
      <c r="AD44" s="5" t="s">
        <v>43</v>
      </c>
      <c r="AE44" s="3" t="s">
        <v>43</v>
      </c>
      <c r="AG44" s="3" t="s">
        <v>43</v>
      </c>
      <c r="AH44" s="3" t="s">
        <v>43</v>
      </c>
      <c r="AI44" s="3" t="s">
        <v>43</v>
      </c>
      <c r="AJ44" s="3" t="s">
        <v>43</v>
      </c>
      <c r="AL44" s="33"/>
      <c r="AT44">
        <v>7</v>
      </c>
      <c r="AU44">
        <v>5</v>
      </c>
      <c r="AV44">
        <v>1</v>
      </c>
      <c r="AX44">
        <f t="shared" si="8"/>
        <v>23.350921788663758</v>
      </c>
      <c r="AZ44">
        <f t="shared" si="1"/>
        <v>13.183347464017316</v>
      </c>
    </row>
    <row r="45" spans="2:52" ht="15" x14ac:dyDescent="0.25">
      <c r="B45" s="33" t="s">
        <v>275</v>
      </c>
      <c r="C45" s="33"/>
      <c r="D45" t="s">
        <v>43</v>
      </c>
      <c r="E45" s="3">
        <v>0.46500000000000002</v>
      </c>
      <c r="F45">
        <v>31</v>
      </c>
      <c r="G45" t="s">
        <v>43</v>
      </c>
      <c r="H45" t="s">
        <v>43</v>
      </c>
      <c r="I45">
        <v>1.4</v>
      </c>
      <c r="J45" s="8">
        <f t="shared" si="11"/>
        <v>10.491428571428571</v>
      </c>
      <c r="L45">
        <v>296</v>
      </c>
      <c r="M45">
        <v>612</v>
      </c>
      <c r="N45">
        <v>146</v>
      </c>
      <c r="O45" s="9">
        <f t="shared" si="9"/>
        <v>50.675675675675677</v>
      </c>
      <c r="P45" t="s">
        <v>43</v>
      </c>
      <c r="Q45" t="s">
        <v>43</v>
      </c>
      <c r="R45">
        <v>254</v>
      </c>
      <c r="S45" s="9">
        <f t="shared" si="10"/>
        <v>58.496732026143796</v>
      </c>
      <c r="T45" t="s">
        <v>43</v>
      </c>
      <c r="U45" t="s">
        <v>43</v>
      </c>
      <c r="Z45" s="3" t="s">
        <v>43</v>
      </c>
      <c r="AA45" s="3" t="s">
        <v>43</v>
      </c>
      <c r="AB45" s="3" t="s">
        <v>43</v>
      </c>
      <c r="AC45" s="3" t="s">
        <v>43</v>
      </c>
      <c r="AD45" s="5" t="s">
        <v>43</v>
      </c>
      <c r="AE45" s="3" t="s">
        <v>43</v>
      </c>
      <c r="AG45" s="3" t="s">
        <v>43</v>
      </c>
      <c r="AH45" s="3" t="s">
        <v>43</v>
      </c>
      <c r="AI45" s="3" t="s">
        <v>43</v>
      </c>
      <c r="AJ45" s="3" t="s">
        <v>43</v>
      </c>
      <c r="AL45" s="33"/>
      <c r="AT45">
        <v>7</v>
      </c>
      <c r="AU45">
        <v>5</v>
      </c>
      <c r="AV45">
        <v>1</v>
      </c>
      <c r="AX45">
        <f t="shared" si="8"/>
        <v>23.350921788663758</v>
      </c>
      <c r="AZ45">
        <f t="shared" si="1"/>
        <v>13.183347464017316</v>
      </c>
    </row>
    <row r="46" spans="2:52" ht="15" x14ac:dyDescent="0.25">
      <c r="B46" s="34" t="s">
        <v>46</v>
      </c>
      <c r="C46" s="34"/>
      <c r="D46" t="s">
        <v>43</v>
      </c>
      <c r="E46" s="3">
        <v>7.0000000000000007E-2</v>
      </c>
      <c r="F46">
        <v>7.1</v>
      </c>
      <c r="G46">
        <v>16</v>
      </c>
      <c r="H46">
        <v>0.4</v>
      </c>
      <c r="I46">
        <v>8</v>
      </c>
      <c r="J46" s="8">
        <f t="shared" si="11"/>
        <v>0.41459999999999997</v>
      </c>
      <c r="L46">
        <v>48</v>
      </c>
      <c r="M46">
        <f>54.1+84.1</f>
        <v>138.19999999999999</v>
      </c>
      <c r="N46">
        <v>13.1</v>
      </c>
      <c r="O46" s="9">
        <f t="shared" si="9"/>
        <v>72.708333333333329</v>
      </c>
      <c r="R46">
        <f>42.6+49.8</f>
        <v>92.4</v>
      </c>
      <c r="S46" s="9">
        <f t="shared" si="10"/>
        <v>33.14037626628074</v>
      </c>
      <c r="T46">
        <v>49.8</v>
      </c>
      <c r="U46" s="39">
        <f>((84.1-T46)/84.1)*100</f>
        <v>40.784780023781217</v>
      </c>
      <c r="V46" s="38">
        <v>42.6</v>
      </c>
      <c r="W46" s="39">
        <f>((54.1-V46)/54.1)*100</f>
        <v>21.256931608133087</v>
      </c>
      <c r="AG46" s="3" t="s">
        <v>43</v>
      </c>
      <c r="AH46" s="3" t="s">
        <v>43</v>
      </c>
      <c r="AI46" s="3" t="s">
        <v>43</v>
      </c>
      <c r="AJ46">
        <v>0.13</v>
      </c>
      <c r="AL46" s="33" t="s">
        <v>91</v>
      </c>
      <c r="AM46" t="s">
        <v>288</v>
      </c>
      <c r="AT46">
        <v>8</v>
      </c>
      <c r="AU46">
        <v>5</v>
      </c>
      <c r="AV46">
        <v>1</v>
      </c>
      <c r="AX46">
        <f t="shared" si="8"/>
        <v>25.296831937719073</v>
      </c>
      <c r="AZ46">
        <f t="shared" si="1"/>
        <v>14.281959752685427</v>
      </c>
    </row>
    <row r="47" spans="2:52" ht="15" x14ac:dyDescent="0.25">
      <c r="B47" s="34" t="s">
        <v>46</v>
      </c>
      <c r="C47" s="34"/>
      <c r="D47" t="s">
        <v>43</v>
      </c>
      <c r="E47" s="3">
        <v>7.0000000000000007E-2</v>
      </c>
      <c r="F47">
        <v>10.3</v>
      </c>
      <c r="G47">
        <f>45-17</f>
        <v>28</v>
      </c>
      <c r="H47">
        <v>0.4</v>
      </c>
      <c r="I47">
        <v>8</v>
      </c>
      <c r="J47" s="8">
        <f t="shared" si="11"/>
        <v>0.41459999999999997</v>
      </c>
      <c r="L47">
        <v>48</v>
      </c>
      <c r="M47">
        <f>M46</f>
        <v>138.19999999999999</v>
      </c>
      <c r="N47">
        <v>27.2</v>
      </c>
      <c r="O47" s="9">
        <f t="shared" si="9"/>
        <v>43.333333333333336</v>
      </c>
      <c r="R47">
        <f>36+53.4</f>
        <v>89.4</v>
      </c>
      <c r="S47" s="9">
        <f t="shared" si="10"/>
        <v>35.311143270622274</v>
      </c>
      <c r="T47">
        <v>36</v>
      </c>
      <c r="U47" s="39">
        <f>((84.1-T47)/84.1)*100</f>
        <v>57.193816884661118</v>
      </c>
      <c r="V47" s="38">
        <v>53.4</v>
      </c>
      <c r="W47" s="39">
        <f>((54.1-V47)/54.1)*100</f>
        <v>1.2939001848428888</v>
      </c>
      <c r="AG47" s="3" t="s">
        <v>43</v>
      </c>
      <c r="AH47">
        <v>0.28000000000000003</v>
      </c>
      <c r="AI47" s="3" t="s">
        <v>43</v>
      </c>
      <c r="AJ47">
        <v>0.13</v>
      </c>
      <c r="AL47" s="33"/>
      <c r="AT47">
        <v>8</v>
      </c>
      <c r="AU47">
        <v>5</v>
      </c>
      <c r="AV47">
        <v>1</v>
      </c>
      <c r="AX47">
        <f t="shared" si="8"/>
        <v>25.296831937719073</v>
      </c>
      <c r="AZ47">
        <f t="shared" si="1"/>
        <v>14.281959752685427</v>
      </c>
    </row>
    <row r="48" spans="2:52" ht="15" x14ac:dyDescent="0.25">
      <c r="B48" s="33" t="s">
        <v>46</v>
      </c>
      <c r="C48" s="33"/>
      <c r="D48" t="s">
        <v>263</v>
      </c>
      <c r="E48" s="3">
        <v>0.59499999999999997</v>
      </c>
      <c r="F48" t="s">
        <v>277</v>
      </c>
      <c r="G48" s="3">
        <v>262</v>
      </c>
      <c r="H48">
        <f>(0.2/24)/(PI()*0.3^2)</f>
        <v>2.9473137609610248E-2</v>
      </c>
      <c r="I48">
        <f>2*24</f>
        <v>48</v>
      </c>
      <c r="J48" s="8">
        <f t="shared" si="11"/>
        <v>0.26950000000000002</v>
      </c>
      <c r="L48">
        <v>612</v>
      </c>
      <c r="M48">
        <v>539</v>
      </c>
      <c r="N48">
        <v>125</v>
      </c>
      <c r="O48" s="9">
        <v>80</v>
      </c>
      <c r="P48" s="9"/>
      <c r="Q48" s="9"/>
      <c r="R48" s="9">
        <v>71</v>
      </c>
      <c r="S48" s="9">
        <v>63</v>
      </c>
      <c r="T48" s="9"/>
      <c r="U48" s="9"/>
      <c r="V48" s="9"/>
      <c r="W48" s="9"/>
      <c r="Z48" s="3" t="s">
        <v>43</v>
      </c>
      <c r="AA48" s="3" t="s">
        <v>43</v>
      </c>
      <c r="AB48" s="3" t="s">
        <v>43</v>
      </c>
      <c r="AC48" s="3"/>
      <c r="AD48" s="5" t="s">
        <v>43</v>
      </c>
      <c r="AE48" s="3" t="s">
        <v>43</v>
      </c>
      <c r="AG48" s="3" t="s">
        <v>43</v>
      </c>
      <c r="AH48" s="3" t="s">
        <v>43</v>
      </c>
      <c r="AI48" s="2"/>
      <c r="AJ48">
        <v>0.128</v>
      </c>
      <c r="AL48" s="33" t="s">
        <v>47</v>
      </c>
      <c r="AT48">
        <v>4</v>
      </c>
      <c r="AU48">
        <v>4</v>
      </c>
      <c r="AV48">
        <v>1</v>
      </c>
      <c r="AX48">
        <f t="shared" si="8"/>
        <v>14.33407575382444</v>
      </c>
      <c r="AZ48">
        <f t="shared" si="1"/>
        <v>8.7888983093448783</v>
      </c>
    </row>
    <row r="49" spans="2:52" ht="15" x14ac:dyDescent="0.25">
      <c r="B49" s="33" t="s">
        <v>46</v>
      </c>
      <c r="C49" s="33"/>
      <c r="D49" t="s">
        <v>263</v>
      </c>
      <c r="E49" s="3">
        <v>0.59499999999999997</v>
      </c>
      <c r="F49" t="s">
        <v>277</v>
      </c>
      <c r="G49" t="s">
        <v>43</v>
      </c>
      <c r="H49" s="13">
        <f>H48*1.5</f>
        <v>4.4209706414415371E-2</v>
      </c>
      <c r="I49">
        <v>36</v>
      </c>
      <c r="J49" s="8">
        <f t="shared" si="11"/>
        <v>0.35933333333333328</v>
      </c>
      <c r="L49">
        <v>612</v>
      </c>
      <c r="M49">
        <v>539</v>
      </c>
      <c r="N49">
        <v>148</v>
      </c>
      <c r="O49" s="9">
        <v>78</v>
      </c>
      <c r="P49" s="9"/>
      <c r="Q49" s="9"/>
      <c r="R49" s="9">
        <v>71</v>
      </c>
      <c r="S49" s="9">
        <v>63</v>
      </c>
      <c r="T49" s="9"/>
      <c r="U49" s="9"/>
      <c r="V49" s="9"/>
      <c r="W49" s="9"/>
      <c r="Z49" s="3" t="s">
        <v>43</v>
      </c>
      <c r="AA49" s="3" t="s">
        <v>43</v>
      </c>
      <c r="AB49" s="3" t="s">
        <v>43</v>
      </c>
      <c r="AC49" s="3"/>
      <c r="AD49" s="5" t="s">
        <v>43</v>
      </c>
      <c r="AE49" s="3" t="s">
        <v>43</v>
      </c>
      <c r="AG49" s="3" t="s">
        <v>43</v>
      </c>
      <c r="AH49" s="3" t="s">
        <v>43</v>
      </c>
      <c r="AI49" s="2"/>
      <c r="AJ49">
        <v>0.128</v>
      </c>
      <c r="AL49" s="33"/>
      <c r="AT49">
        <v>4</v>
      </c>
      <c r="AU49">
        <v>4</v>
      </c>
      <c r="AV49">
        <v>1</v>
      </c>
      <c r="AX49">
        <f t="shared" ref="AX49:AX50" si="12">(AU49+AT49)*LN((AU49+2))</f>
        <v>14.33407575382444</v>
      </c>
      <c r="AZ49">
        <f t="shared" si="1"/>
        <v>8.7888983093448783</v>
      </c>
    </row>
    <row r="50" spans="2:52" ht="15" x14ac:dyDescent="0.25">
      <c r="B50" s="33" t="s">
        <v>46</v>
      </c>
      <c r="C50" s="33"/>
      <c r="D50" t="s">
        <v>263</v>
      </c>
      <c r="E50" s="3">
        <v>0.59499999999999997</v>
      </c>
      <c r="F50" t="s">
        <v>277</v>
      </c>
      <c r="G50" t="s">
        <v>43</v>
      </c>
      <c r="H50" s="13">
        <f>H48*2</f>
        <v>5.8946275219220495E-2</v>
      </c>
      <c r="I50">
        <v>24</v>
      </c>
      <c r="J50" s="8">
        <f t="shared" si="11"/>
        <v>0.53900000000000003</v>
      </c>
      <c r="L50">
        <v>612</v>
      </c>
      <c r="M50">
        <v>539</v>
      </c>
      <c r="N50">
        <v>157</v>
      </c>
      <c r="O50" s="9">
        <v>73</v>
      </c>
      <c r="P50" s="9"/>
      <c r="Q50" s="9"/>
      <c r="R50" s="9">
        <v>50</v>
      </c>
      <c r="S50" s="9">
        <v>70</v>
      </c>
      <c r="T50" s="9"/>
      <c r="U50" s="9"/>
      <c r="V50" s="9"/>
      <c r="W50" s="9"/>
      <c r="Y50" s="3" t="s">
        <v>43</v>
      </c>
      <c r="Z50" s="5" t="s">
        <v>43</v>
      </c>
      <c r="AA50" s="3" t="s">
        <v>43</v>
      </c>
      <c r="AB50" s="5" t="s">
        <v>43</v>
      </c>
      <c r="AC50" s="3" t="s">
        <v>43</v>
      </c>
      <c r="AD50" s="5" t="s">
        <v>43</v>
      </c>
      <c r="AE50" s="3" t="s">
        <v>43</v>
      </c>
      <c r="AG50" s="3" t="s">
        <v>43</v>
      </c>
      <c r="AH50" s="3" t="s">
        <v>43</v>
      </c>
      <c r="AI50" s="2"/>
      <c r="AJ50">
        <v>0.128</v>
      </c>
      <c r="AL50" s="33"/>
      <c r="AT50">
        <v>4</v>
      </c>
      <c r="AU50">
        <v>4</v>
      </c>
      <c r="AV50">
        <v>1</v>
      </c>
      <c r="AX50">
        <f t="shared" si="12"/>
        <v>14.33407575382444</v>
      </c>
      <c r="AZ50">
        <f t="shared" si="1"/>
        <v>8.7888983093448783</v>
      </c>
    </row>
    <row r="51" spans="2:52" ht="15" x14ac:dyDescent="0.25">
      <c r="B51" s="33" t="s">
        <v>46</v>
      </c>
      <c r="C51" s="33"/>
      <c r="D51" t="s">
        <v>43</v>
      </c>
      <c r="E51" s="3">
        <v>42</v>
      </c>
      <c r="F51" t="s">
        <v>292</v>
      </c>
      <c r="G51">
        <v>145</v>
      </c>
      <c r="H51" s="17" t="s">
        <v>291</v>
      </c>
      <c r="I51" s="28" t="s">
        <v>290</v>
      </c>
      <c r="J51" s="3" t="s">
        <v>293</v>
      </c>
      <c r="L51" t="s">
        <v>43</v>
      </c>
      <c r="M51" s="9">
        <v>749</v>
      </c>
      <c r="N51" t="s">
        <v>43</v>
      </c>
      <c r="O51" t="s">
        <v>43</v>
      </c>
      <c r="P51" t="s">
        <v>43</v>
      </c>
      <c r="Q51" t="s">
        <v>43</v>
      </c>
      <c r="R51" t="s">
        <v>43</v>
      </c>
      <c r="S51" s="7">
        <v>50</v>
      </c>
      <c r="T51" t="s">
        <v>43</v>
      </c>
      <c r="U51" t="s">
        <v>43</v>
      </c>
      <c r="Y51" s="3" t="s">
        <v>43</v>
      </c>
      <c r="Z51" s="5" t="s">
        <v>43</v>
      </c>
      <c r="AA51" s="3" t="s">
        <v>43</v>
      </c>
      <c r="AB51" s="5" t="s">
        <v>43</v>
      </c>
      <c r="AC51" s="3" t="s">
        <v>43</v>
      </c>
      <c r="AD51" s="5" t="s">
        <v>43</v>
      </c>
      <c r="AE51" s="3" t="s">
        <v>43</v>
      </c>
      <c r="AG51" t="s">
        <v>43</v>
      </c>
      <c r="AH51" t="s">
        <v>43</v>
      </c>
      <c r="AI51" t="s">
        <v>43</v>
      </c>
      <c r="AJ51" t="s">
        <v>43</v>
      </c>
      <c r="AL51" t="s">
        <v>294</v>
      </c>
      <c r="AT51" t="s">
        <v>43</v>
      </c>
      <c r="AU51" t="s">
        <v>43</v>
      </c>
      <c r="AV51">
        <v>1</v>
      </c>
      <c r="AX51" t="s">
        <v>43</v>
      </c>
      <c r="AZ51" t="s">
        <v>43</v>
      </c>
    </row>
    <row r="52" spans="2:52" ht="15" x14ac:dyDescent="0.25">
      <c r="B52" s="33" t="s">
        <v>46</v>
      </c>
      <c r="C52" s="33"/>
      <c r="D52" t="s">
        <v>263</v>
      </c>
      <c r="E52">
        <f>4.2/1000</f>
        <v>4.2000000000000006E-3</v>
      </c>
      <c r="F52">
        <v>35</v>
      </c>
      <c r="G52">
        <v>27</v>
      </c>
      <c r="H52" t="s">
        <v>43</v>
      </c>
      <c r="I52">
        <f>2.2*24</f>
        <v>52.800000000000004</v>
      </c>
      <c r="J52">
        <v>0.45</v>
      </c>
      <c r="L52">
        <v>430</v>
      </c>
      <c r="M52" s="9">
        <v>1026</v>
      </c>
      <c r="N52" t="s">
        <v>43</v>
      </c>
      <c r="O52" t="s">
        <v>43</v>
      </c>
      <c r="P52" t="s">
        <v>43</v>
      </c>
      <c r="Q52" t="s">
        <v>43</v>
      </c>
      <c r="R52" s="3">
        <v>167</v>
      </c>
      <c r="S52" s="7">
        <v>82.4</v>
      </c>
      <c r="T52" t="s">
        <v>43</v>
      </c>
      <c r="U52" t="s">
        <v>43</v>
      </c>
      <c r="Z52" t="s">
        <v>43</v>
      </c>
      <c r="AA52" t="s">
        <v>43</v>
      </c>
      <c r="AB52" t="s">
        <v>43</v>
      </c>
      <c r="AC52" t="s">
        <v>43</v>
      </c>
      <c r="AD52" t="s">
        <v>43</v>
      </c>
      <c r="AE52" t="s">
        <v>43</v>
      </c>
      <c r="AG52">
        <v>58</v>
      </c>
      <c r="AH52">
        <v>0.32</v>
      </c>
      <c r="AI52" t="s">
        <v>43</v>
      </c>
      <c r="AJ52" t="s">
        <v>43</v>
      </c>
      <c r="AL52" s="33" t="s">
        <v>96</v>
      </c>
      <c r="AT52" t="s">
        <v>43</v>
      </c>
      <c r="AU52" t="s">
        <v>43</v>
      </c>
      <c r="AV52">
        <v>1</v>
      </c>
      <c r="AX52" t="s">
        <v>43</v>
      </c>
      <c r="AZ52" t="s">
        <v>43</v>
      </c>
    </row>
    <row r="53" spans="2:52" ht="15" x14ac:dyDescent="0.25">
      <c r="B53" s="33" t="s">
        <v>46</v>
      </c>
      <c r="C53" s="33"/>
      <c r="D53" t="s">
        <v>263</v>
      </c>
      <c r="E53">
        <f>4.2/1000</f>
        <v>4.2000000000000006E-3</v>
      </c>
      <c r="F53">
        <v>35</v>
      </c>
      <c r="G53">
        <f>61-28</f>
        <v>33</v>
      </c>
      <c r="H53" t="s">
        <v>43</v>
      </c>
      <c r="I53">
        <f>2.2*24</f>
        <v>52.800000000000004</v>
      </c>
      <c r="J53">
        <v>0.45</v>
      </c>
      <c r="L53">
        <v>360</v>
      </c>
      <c r="M53" s="9">
        <v>1021</v>
      </c>
      <c r="N53" t="s">
        <v>43</v>
      </c>
      <c r="O53" t="s">
        <v>43</v>
      </c>
      <c r="P53" t="s">
        <v>43</v>
      </c>
      <c r="Q53" t="s">
        <v>43</v>
      </c>
      <c r="R53" t="s">
        <v>43</v>
      </c>
      <c r="S53" s="7">
        <v>85</v>
      </c>
      <c r="T53" t="s">
        <v>43</v>
      </c>
      <c r="U53" t="s">
        <v>43</v>
      </c>
      <c r="Z53" t="s">
        <v>43</v>
      </c>
      <c r="AA53" t="s">
        <v>43</v>
      </c>
      <c r="AB53" t="s">
        <v>43</v>
      </c>
      <c r="AC53" t="s">
        <v>43</v>
      </c>
      <c r="AD53" t="s">
        <v>43</v>
      </c>
      <c r="AE53" t="s">
        <v>43</v>
      </c>
      <c r="AG53">
        <v>73.5</v>
      </c>
      <c r="AH53">
        <v>0.42</v>
      </c>
      <c r="AI53" t="s">
        <v>43</v>
      </c>
      <c r="AJ53" t="s">
        <v>43</v>
      </c>
      <c r="AL53" s="33"/>
      <c r="AT53" t="s">
        <v>43</v>
      </c>
      <c r="AU53" t="s">
        <v>43</v>
      </c>
      <c r="AV53">
        <v>1</v>
      </c>
      <c r="AX53" t="s">
        <v>43</v>
      </c>
      <c r="AZ53" t="s">
        <v>43</v>
      </c>
    </row>
    <row r="54" spans="2:52" ht="15" x14ac:dyDescent="0.25">
      <c r="B54" s="33" t="s">
        <v>46</v>
      </c>
      <c r="C54" s="33"/>
      <c r="D54" t="s">
        <v>263</v>
      </c>
      <c r="E54">
        <f>4.2/1000</f>
        <v>4.2000000000000006E-3</v>
      </c>
      <c r="F54">
        <v>35</v>
      </c>
      <c r="G54">
        <f>105-62</f>
        <v>43</v>
      </c>
      <c r="H54" t="s">
        <v>43</v>
      </c>
      <c r="I54">
        <f>2.2*24</f>
        <v>52.800000000000004</v>
      </c>
      <c r="J54">
        <v>0.45</v>
      </c>
      <c r="L54">
        <v>320</v>
      </c>
      <c r="M54" s="9">
        <v>980</v>
      </c>
      <c r="N54" t="s">
        <v>43</v>
      </c>
      <c r="O54" t="s">
        <v>43</v>
      </c>
      <c r="P54" t="s">
        <v>43</v>
      </c>
      <c r="Q54" t="s">
        <v>43</v>
      </c>
      <c r="R54" t="s">
        <v>43</v>
      </c>
      <c r="S54" s="7">
        <v>84.6</v>
      </c>
      <c r="T54" t="s">
        <v>43</v>
      </c>
      <c r="U54" t="s">
        <v>43</v>
      </c>
      <c r="Z54" t="s">
        <v>43</v>
      </c>
      <c r="AA54" t="s">
        <v>43</v>
      </c>
      <c r="AB54" t="s">
        <v>43</v>
      </c>
      <c r="AC54" t="s">
        <v>43</v>
      </c>
      <c r="AD54" t="s">
        <v>43</v>
      </c>
      <c r="AE54" t="s">
        <v>43</v>
      </c>
      <c r="AG54">
        <v>62</v>
      </c>
      <c r="AH54">
        <v>0.34</v>
      </c>
      <c r="AI54" t="s">
        <v>43</v>
      </c>
      <c r="AJ54" t="s">
        <v>43</v>
      </c>
      <c r="AL54" s="33"/>
      <c r="AT54" t="s">
        <v>43</v>
      </c>
      <c r="AU54" t="s">
        <v>43</v>
      </c>
      <c r="AV54">
        <v>1</v>
      </c>
      <c r="AX54" t="s">
        <v>43</v>
      </c>
      <c r="AZ54" t="s">
        <v>43</v>
      </c>
    </row>
    <row r="55" spans="2:52" x14ac:dyDescent="0.2">
      <c r="B55" s="33" t="s">
        <v>46</v>
      </c>
      <c r="C55" s="33"/>
      <c r="D55" t="s">
        <v>43</v>
      </c>
      <c r="E55">
        <v>24.5</v>
      </c>
      <c r="F55" s="22" t="s">
        <v>295</v>
      </c>
      <c r="G55" t="s">
        <v>43</v>
      </c>
      <c r="H55" s="13">
        <f>3/(PI()*1.25^2)</f>
        <v>0.61115498147287806</v>
      </c>
      <c r="I55">
        <v>8</v>
      </c>
      <c r="J55">
        <v>2</v>
      </c>
      <c r="L55">
        <v>303</v>
      </c>
      <c r="M55" s="9">
        <v>687</v>
      </c>
      <c r="N55">
        <v>95</v>
      </c>
      <c r="O55" s="9">
        <f>((L55-N55)/L55)*100</f>
        <v>68.646864686468646</v>
      </c>
      <c r="P55" t="s">
        <v>43</v>
      </c>
      <c r="Q55" t="s">
        <v>43</v>
      </c>
      <c r="R55">
        <v>234</v>
      </c>
      <c r="S55" s="9">
        <f>((M55-R55)/M55)*100</f>
        <v>65.938864628820966</v>
      </c>
      <c r="T55" t="s">
        <v>43</v>
      </c>
      <c r="U55" t="s">
        <v>43</v>
      </c>
      <c r="Z55" t="s">
        <v>43</v>
      </c>
      <c r="AA55" t="s">
        <v>43</v>
      </c>
      <c r="AB55" t="s">
        <v>43</v>
      </c>
      <c r="AC55" t="s">
        <v>43</v>
      </c>
      <c r="AD55" t="s">
        <v>43</v>
      </c>
      <c r="AE55" t="s">
        <v>43</v>
      </c>
      <c r="AG55" t="s">
        <v>43</v>
      </c>
      <c r="AH55" t="s">
        <v>43</v>
      </c>
      <c r="AI55" t="s">
        <v>43</v>
      </c>
      <c r="AJ55" t="s">
        <v>43</v>
      </c>
      <c r="AL55" t="s">
        <v>97</v>
      </c>
      <c r="AT55" t="s">
        <v>43</v>
      </c>
      <c r="AU55" t="s">
        <v>43</v>
      </c>
      <c r="AV55">
        <v>1</v>
      </c>
      <c r="AX55" t="s">
        <v>43</v>
      </c>
      <c r="AZ55" t="s">
        <v>43</v>
      </c>
    </row>
    <row r="56" spans="2:52" ht="15" x14ac:dyDescent="0.25">
      <c r="B56" s="33" t="s">
        <v>46</v>
      </c>
      <c r="C56" s="33"/>
      <c r="D56" t="s">
        <v>296</v>
      </c>
      <c r="E56">
        <v>30</v>
      </c>
      <c r="F56">
        <v>22.7</v>
      </c>
      <c r="G56" t="s">
        <v>43</v>
      </c>
      <c r="H56">
        <v>0.16</v>
      </c>
      <c r="I56">
        <v>9.1</v>
      </c>
      <c r="J56" s="12">
        <f>((M56*(E56/I56)*24)/1000)/E56</f>
        <v>3.4285714285714293</v>
      </c>
      <c r="L56">
        <v>833</v>
      </c>
      <c r="M56" s="9">
        <v>1300</v>
      </c>
      <c r="N56">
        <v>569</v>
      </c>
      <c r="O56" s="9">
        <f>((L56-N56)/L56)*100</f>
        <v>31.692677070828328</v>
      </c>
      <c r="P56" t="s">
        <v>43</v>
      </c>
      <c r="Q56" t="s">
        <v>43</v>
      </c>
      <c r="R56">
        <v>752</v>
      </c>
      <c r="S56" s="9">
        <f>((M56-R56)/M56)*100</f>
        <v>42.153846153846153</v>
      </c>
      <c r="T56" t="s">
        <v>43</v>
      </c>
      <c r="U56" t="s">
        <v>43</v>
      </c>
      <c r="Z56" t="s">
        <v>43</v>
      </c>
      <c r="AA56" t="s">
        <v>43</v>
      </c>
      <c r="AB56" t="s">
        <v>43</v>
      </c>
      <c r="AC56" t="s">
        <v>43</v>
      </c>
      <c r="AD56" t="s">
        <v>43</v>
      </c>
      <c r="AE56" t="s">
        <v>43</v>
      </c>
      <c r="AG56" t="s">
        <v>43</v>
      </c>
      <c r="AH56" t="s">
        <v>43</v>
      </c>
      <c r="AI56" t="s">
        <v>43</v>
      </c>
      <c r="AJ56" t="s">
        <v>43</v>
      </c>
      <c r="AL56" t="s">
        <v>98</v>
      </c>
      <c r="AT56">
        <v>9</v>
      </c>
      <c r="AU56">
        <v>4</v>
      </c>
      <c r="AV56">
        <v>1</v>
      </c>
      <c r="AX56">
        <f t="shared" ref="AX56:AX61" si="13">(AU56+AT56)*LN((AU56+2))</f>
        <v>23.292873099964716</v>
      </c>
      <c r="AZ56">
        <f t="shared" si="1"/>
        <v>14.281959752685427</v>
      </c>
    </row>
    <row r="57" spans="2:52" ht="15" x14ac:dyDescent="0.25">
      <c r="B57" s="33" t="s">
        <v>46</v>
      </c>
      <c r="C57" s="33"/>
      <c r="D57" t="s">
        <v>297</v>
      </c>
      <c r="E57">
        <v>0.64</v>
      </c>
      <c r="F57">
        <v>25.5</v>
      </c>
      <c r="G57">
        <f>14*7</f>
        <v>98</v>
      </c>
      <c r="H57" s="20">
        <f>(0.216/24)/(PI()*(0.45/2)^2)</f>
        <v>5.6588424210451668E-2</v>
      </c>
      <c r="I57">
        <f>3*24</f>
        <v>72</v>
      </c>
      <c r="J57" s="12">
        <f>((M57*(E57/I57)*24)/1000)/E57</f>
        <v>0.14466666666666669</v>
      </c>
      <c r="L57">
        <v>267</v>
      </c>
      <c r="M57" s="9">
        <v>434</v>
      </c>
      <c r="N57">
        <v>131</v>
      </c>
      <c r="O57" s="9">
        <f>((L57-N57)/L57)*100</f>
        <v>50.936329588014985</v>
      </c>
      <c r="P57" t="s">
        <v>43</v>
      </c>
      <c r="Q57" t="s">
        <v>43</v>
      </c>
      <c r="R57">
        <v>172</v>
      </c>
      <c r="S57" s="9">
        <f>((M57-R57)/M57)*100</f>
        <v>60.36866359447005</v>
      </c>
      <c r="T57" t="s">
        <v>43</v>
      </c>
      <c r="U57" t="s">
        <v>43</v>
      </c>
      <c r="Z57" t="s">
        <v>43</v>
      </c>
      <c r="AA57" t="s">
        <v>43</v>
      </c>
      <c r="AB57" t="s">
        <v>43</v>
      </c>
      <c r="AC57" t="s">
        <v>43</v>
      </c>
      <c r="AD57" t="s">
        <v>43</v>
      </c>
      <c r="AE57" t="s">
        <v>43</v>
      </c>
      <c r="AG57" t="s">
        <v>43</v>
      </c>
      <c r="AH57" t="s">
        <v>43</v>
      </c>
      <c r="AI57" t="s">
        <v>43</v>
      </c>
      <c r="AJ57" t="s">
        <v>43</v>
      </c>
      <c r="AL57" t="s">
        <v>99</v>
      </c>
      <c r="AM57" t="s">
        <v>298</v>
      </c>
      <c r="AT57">
        <v>8</v>
      </c>
      <c r="AU57">
        <v>4</v>
      </c>
      <c r="AV57">
        <v>1</v>
      </c>
      <c r="AX57">
        <f t="shared" si="13"/>
        <v>21.501113630736661</v>
      </c>
      <c r="AZ57">
        <f t="shared" si="1"/>
        <v>13.183347464017316</v>
      </c>
    </row>
    <row r="58" spans="2:52" x14ac:dyDescent="0.2">
      <c r="B58" s="33" t="s">
        <v>46</v>
      </c>
      <c r="C58" s="33"/>
      <c r="D58" t="s">
        <v>43</v>
      </c>
      <c r="E58" s="13">
        <f>2*(PI()*(0.125^2))</f>
        <v>9.8174770424681035E-2</v>
      </c>
      <c r="F58" t="s">
        <v>43</v>
      </c>
      <c r="G58" t="s">
        <v>43</v>
      </c>
      <c r="H58" t="s">
        <v>43</v>
      </c>
      <c r="I58">
        <v>6</v>
      </c>
      <c r="J58">
        <v>1.76</v>
      </c>
      <c r="L58">
        <v>187</v>
      </c>
      <c r="M58">
        <v>441</v>
      </c>
      <c r="N58">
        <v>62</v>
      </c>
      <c r="O58">
        <v>67</v>
      </c>
      <c r="P58" t="s">
        <v>43</v>
      </c>
      <c r="Q58" t="s">
        <v>43</v>
      </c>
      <c r="R58">
        <v>182</v>
      </c>
      <c r="S58">
        <v>59</v>
      </c>
      <c r="T58" t="s">
        <v>43</v>
      </c>
      <c r="U58" t="s">
        <v>43</v>
      </c>
      <c r="Z58" t="s">
        <v>43</v>
      </c>
      <c r="AA58" t="s">
        <v>43</v>
      </c>
      <c r="AB58" t="s">
        <v>43</v>
      </c>
      <c r="AC58" t="s">
        <v>43</v>
      </c>
      <c r="AD58" t="s">
        <v>43</v>
      </c>
      <c r="AE58" t="s">
        <v>43</v>
      </c>
      <c r="AG58" t="s">
        <v>43</v>
      </c>
      <c r="AH58" t="s">
        <v>43</v>
      </c>
      <c r="AI58" t="s">
        <v>43</v>
      </c>
      <c r="AJ58" t="s">
        <v>43</v>
      </c>
      <c r="AL58" s="33" t="s">
        <v>100</v>
      </c>
      <c r="AT58">
        <v>4</v>
      </c>
      <c r="AU58">
        <v>4</v>
      </c>
      <c r="AV58">
        <v>1</v>
      </c>
      <c r="AX58">
        <f t="shared" si="13"/>
        <v>14.33407575382444</v>
      </c>
      <c r="AZ58">
        <f t="shared" si="1"/>
        <v>8.7888983093448783</v>
      </c>
    </row>
    <row r="59" spans="2:52" x14ac:dyDescent="0.2">
      <c r="B59" s="33" t="s">
        <v>46</v>
      </c>
      <c r="C59" s="33"/>
      <c r="D59" t="s">
        <v>43</v>
      </c>
      <c r="E59" s="13">
        <f>2*(PI()*(0.125^2))</f>
        <v>9.8174770424681035E-2</v>
      </c>
      <c r="F59" t="s">
        <v>43</v>
      </c>
      <c r="G59" t="s">
        <v>43</v>
      </c>
      <c r="H59" t="s">
        <v>43</v>
      </c>
      <c r="I59">
        <v>5</v>
      </c>
      <c r="J59">
        <v>1.85</v>
      </c>
      <c r="L59">
        <v>192</v>
      </c>
      <c r="M59" s="9">
        <v>386</v>
      </c>
      <c r="N59">
        <v>69</v>
      </c>
      <c r="O59">
        <v>64</v>
      </c>
      <c r="P59" t="s">
        <v>43</v>
      </c>
      <c r="Q59" t="s">
        <v>43</v>
      </c>
      <c r="R59">
        <v>166</v>
      </c>
      <c r="S59">
        <v>57</v>
      </c>
      <c r="T59" t="s">
        <v>43</v>
      </c>
      <c r="U59" t="s">
        <v>43</v>
      </c>
      <c r="Z59" t="s">
        <v>43</v>
      </c>
      <c r="AA59" t="s">
        <v>43</v>
      </c>
      <c r="AB59" t="s">
        <v>43</v>
      </c>
      <c r="AC59" t="s">
        <v>43</v>
      </c>
      <c r="AD59" t="s">
        <v>43</v>
      </c>
      <c r="AE59" t="s">
        <v>43</v>
      </c>
      <c r="AG59" t="s">
        <v>43</v>
      </c>
      <c r="AH59" t="s">
        <v>43</v>
      </c>
      <c r="AI59" t="s">
        <v>43</v>
      </c>
      <c r="AJ59" t="s">
        <v>43</v>
      </c>
      <c r="AL59" s="33"/>
      <c r="AT59">
        <v>4</v>
      </c>
      <c r="AU59">
        <v>4</v>
      </c>
      <c r="AV59">
        <v>1</v>
      </c>
      <c r="AX59">
        <f t="shared" si="13"/>
        <v>14.33407575382444</v>
      </c>
      <c r="AZ59">
        <f t="shared" si="1"/>
        <v>8.7888983093448783</v>
      </c>
    </row>
    <row r="60" spans="2:52" x14ac:dyDescent="0.2">
      <c r="B60" s="33" t="s">
        <v>299</v>
      </c>
      <c r="C60" s="33"/>
      <c r="D60" t="s">
        <v>43</v>
      </c>
      <c r="E60" s="13">
        <f t="shared" ref="E60:E61" si="14">2*(PI()*(0.125^2))</f>
        <v>9.8174770424681035E-2</v>
      </c>
      <c r="F60" t="s">
        <v>43</v>
      </c>
      <c r="G60" t="s">
        <v>43</v>
      </c>
      <c r="H60" t="s">
        <v>43</v>
      </c>
      <c r="I60">
        <v>6</v>
      </c>
      <c r="J60">
        <v>1.76</v>
      </c>
      <c r="L60">
        <v>187</v>
      </c>
      <c r="M60">
        <v>441</v>
      </c>
      <c r="N60">
        <v>48</v>
      </c>
      <c r="O60">
        <v>75</v>
      </c>
      <c r="P60" t="s">
        <v>43</v>
      </c>
      <c r="Q60" t="s">
        <v>43</v>
      </c>
      <c r="R60">
        <v>141</v>
      </c>
      <c r="S60">
        <v>68</v>
      </c>
      <c r="T60" t="s">
        <v>43</v>
      </c>
      <c r="U60" t="s">
        <v>43</v>
      </c>
      <c r="Z60" t="s">
        <v>43</v>
      </c>
      <c r="AA60" t="s">
        <v>43</v>
      </c>
      <c r="AB60" t="s">
        <v>43</v>
      </c>
      <c r="AC60" t="s">
        <v>43</v>
      </c>
      <c r="AD60" t="s">
        <v>43</v>
      </c>
      <c r="AE60" t="s">
        <v>43</v>
      </c>
      <c r="AG60" t="s">
        <v>43</v>
      </c>
      <c r="AH60" t="s">
        <v>43</v>
      </c>
      <c r="AI60" t="s">
        <v>43</v>
      </c>
      <c r="AJ60" t="s">
        <v>43</v>
      </c>
      <c r="AL60" s="33"/>
      <c r="AT60">
        <v>5</v>
      </c>
      <c r="AU60">
        <v>4</v>
      </c>
      <c r="AV60">
        <v>1</v>
      </c>
      <c r="AX60">
        <f t="shared" si="13"/>
        <v>16.125835223052494</v>
      </c>
      <c r="AZ60">
        <f t="shared" si="1"/>
        <v>9.8875105980129874</v>
      </c>
    </row>
    <row r="61" spans="2:52" x14ac:dyDescent="0.2">
      <c r="B61" s="33" t="s">
        <v>299</v>
      </c>
      <c r="C61" s="33"/>
      <c r="D61" t="s">
        <v>43</v>
      </c>
      <c r="E61" s="13">
        <f t="shared" si="14"/>
        <v>9.8174770424681035E-2</v>
      </c>
      <c r="F61" t="s">
        <v>43</v>
      </c>
      <c r="G61" t="s">
        <v>43</v>
      </c>
      <c r="H61" t="s">
        <v>43</v>
      </c>
      <c r="I61">
        <v>5</v>
      </c>
      <c r="J61">
        <v>1.85</v>
      </c>
      <c r="L61">
        <v>192</v>
      </c>
      <c r="M61" s="9">
        <v>386</v>
      </c>
      <c r="N61">
        <v>61</v>
      </c>
      <c r="O61">
        <v>68</v>
      </c>
      <c r="P61" t="s">
        <v>43</v>
      </c>
      <c r="Q61" t="s">
        <v>43</v>
      </c>
      <c r="R61">
        <v>150</v>
      </c>
      <c r="S61">
        <v>61</v>
      </c>
      <c r="T61" t="s">
        <v>43</v>
      </c>
      <c r="U61" t="s">
        <v>43</v>
      </c>
      <c r="Z61" t="s">
        <v>43</v>
      </c>
      <c r="AA61" t="s">
        <v>43</v>
      </c>
      <c r="AB61" t="s">
        <v>43</v>
      </c>
      <c r="AC61" t="s">
        <v>43</v>
      </c>
      <c r="AD61" t="s">
        <v>43</v>
      </c>
      <c r="AE61" t="s">
        <v>43</v>
      </c>
      <c r="AG61" t="s">
        <v>43</v>
      </c>
      <c r="AH61" t="s">
        <v>43</v>
      </c>
      <c r="AI61" t="s">
        <v>43</v>
      </c>
      <c r="AJ61" t="s">
        <v>43</v>
      </c>
      <c r="AL61" s="33"/>
      <c r="AT61">
        <v>5</v>
      </c>
      <c r="AU61">
        <v>4</v>
      </c>
      <c r="AV61">
        <v>1</v>
      </c>
      <c r="AX61">
        <f t="shared" si="13"/>
        <v>16.125835223052494</v>
      </c>
      <c r="AZ61">
        <f t="shared" si="1"/>
        <v>9.8875105980129874</v>
      </c>
    </row>
    <row r="62" spans="2:52" x14ac:dyDescent="0.2">
      <c r="B62" s="33" t="s">
        <v>46</v>
      </c>
      <c r="C62" s="33"/>
      <c r="D62" t="s">
        <v>263</v>
      </c>
      <c r="E62" s="29">
        <f>4.7/1000</f>
        <v>4.7000000000000002E-3</v>
      </c>
      <c r="F62">
        <v>35</v>
      </c>
      <c r="G62">
        <v>64</v>
      </c>
      <c r="H62" t="s">
        <v>43</v>
      </c>
      <c r="I62">
        <f>5.5*24</f>
        <v>132</v>
      </c>
      <c r="J62">
        <v>0.18</v>
      </c>
      <c r="L62" t="s">
        <v>43</v>
      </c>
      <c r="M62">
        <v>990</v>
      </c>
      <c r="N62" t="s">
        <v>43</v>
      </c>
      <c r="O62" t="s">
        <v>43</v>
      </c>
      <c r="P62" t="s">
        <v>43</v>
      </c>
      <c r="Q62" t="s">
        <v>43</v>
      </c>
      <c r="R62">
        <v>270</v>
      </c>
      <c r="S62" s="9">
        <f>((M62-R62)/M62)*100</f>
        <v>72.727272727272734</v>
      </c>
      <c r="T62" t="s">
        <v>43</v>
      </c>
      <c r="U62" t="s">
        <v>43</v>
      </c>
      <c r="Z62" t="s">
        <v>43</v>
      </c>
      <c r="AA62" t="s">
        <v>43</v>
      </c>
      <c r="AB62" t="s">
        <v>43</v>
      </c>
      <c r="AC62" t="s">
        <v>43</v>
      </c>
      <c r="AD62" t="s">
        <v>43</v>
      </c>
      <c r="AE62" t="s">
        <v>43</v>
      </c>
      <c r="AG62" t="s">
        <v>43</v>
      </c>
      <c r="AH62">
        <v>0.23</v>
      </c>
      <c r="AI62" t="s">
        <v>43</v>
      </c>
      <c r="AJ62" t="s">
        <v>43</v>
      </c>
      <c r="AL62" s="33" t="s">
        <v>101</v>
      </c>
      <c r="AT62" t="s">
        <v>43</v>
      </c>
      <c r="AU62" t="s">
        <v>43</v>
      </c>
      <c r="AV62">
        <v>1</v>
      </c>
      <c r="AX62" t="s">
        <v>43</v>
      </c>
      <c r="AZ62" t="s">
        <v>43</v>
      </c>
    </row>
    <row r="63" spans="2:52" x14ac:dyDescent="0.2">
      <c r="B63" s="33" t="s">
        <v>46</v>
      </c>
      <c r="C63" s="33"/>
      <c r="D63" t="s">
        <v>263</v>
      </c>
      <c r="E63" s="29">
        <f>4.7/1000</f>
        <v>4.7000000000000002E-3</v>
      </c>
      <c r="F63">
        <v>35</v>
      </c>
      <c r="G63">
        <f>92-64</f>
        <v>28</v>
      </c>
      <c r="H63" t="s">
        <v>43</v>
      </c>
      <c r="I63">
        <f>3*24</f>
        <v>72</v>
      </c>
      <c r="J63">
        <v>0.36</v>
      </c>
      <c r="L63" t="s">
        <v>43</v>
      </c>
      <c r="M63" s="9">
        <v>1076</v>
      </c>
      <c r="N63" t="s">
        <v>43</v>
      </c>
      <c r="O63" t="s">
        <v>43</v>
      </c>
      <c r="P63" t="s">
        <v>43</v>
      </c>
      <c r="Q63" t="s">
        <v>43</v>
      </c>
      <c r="R63">
        <v>209</v>
      </c>
      <c r="S63" s="9">
        <f>((M63-R63)/M63)*100</f>
        <v>80.576208178438662</v>
      </c>
      <c r="T63" t="s">
        <v>43</v>
      </c>
      <c r="U63" t="s">
        <v>43</v>
      </c>
      <c r="Z63" t="s">
        <v>43</v>
      </c>
      <c r="AA63" t="s">
        <v>43</v>
      </c>
      <c r="AB63" t="s">
        <v>43</v>
      </c>
      <c r="AC63" t="s">
        <v>43</v>
      </c>
      <c r="AD63" t="s">
        <v>43</v>
      </c>
      <c r="AE63" t="s">
        <v>43</v>
      </c>
      <c r="AG63" t="s">
        <v>43</v>
      </c>
      <c r="AH63">
        <v>0.28999999999999998</v>
      </c>
      <c r="AI63" t="s">
        <v>43</v>
      </c>
      <c r="AJ63" t="s">
        <v>43</v>
      </c>
      <c r="AL63" s="33"/>
      <c r="AT63" t="s">
        <v>43</v>
      </c>
      <c r="AU63" t="s">
        <v>43</v>
      </c>
      <c r="AV63">
        <v>1</v>
      </c>
      <c r="AX63" t="s">
        <v>43</v>
      </c>
      <c r="AZ63" t="s">
        <v>43</v>
      </c>
    </row>
    <row r="64" spans="2:52" x14ac:dyDescent="0.2">
      <c r="B64" s="33" t="s">
        <v>46</v>
      </c>
      <c r="C64" s="33"/>
      <c r="D64" t="s">
        <v>263</v>
      </c>
      <c r="E64" s="29">
        <f>4.7/1000</f>
        <v>4.7000000000000002E-3</v>
      </c>
      <c r="F64">
        <v>35</v>
      </c>
      <c r="G64">
        <f>120-93</f>
        <v>27</v>
      </c>
      <c r="H64" t="s">
        <v>43</v>
      </c>
      <c r="I64">
        <f>1.4*24</f>
        <v>33.599999999999994</v>
      </c>
      <c r="J64">
        <v>0.76</v>
      </c>
      <c r="L64" t="s">
        <v>43</v>
      </c>
      <c r="M64">
        <v>1050</v>
      </c>
      <c r="N64" t="s">
        <v>43</v>
      </c>
      <c r="O64" t="s">
        <v>43</v>
      </c>
      <c r="P64" t="s">
        <v>43</v>
      </c>
      <c r="Q64" t="s">
        <v>43</v>
      </c>
      <c r="R64">
        <v>281</v>
      </c>
      <c r="S64" s="9">
        <f>((M64-R64)/M64)*100</f>
        <v>73.238095238095241</v>
      </c>
      <c r="T64" t="s">
        <v>43</v>
      </c>
      <c r="U64" t="s">
        <v>43</v>
      </c>
      <c r="Z64" t="s">
        <v>43</v>
      </c>
      <c r="AA64" t="s">
        <v>43</v>
      </c>
      <c r="AB64" t="s">
        <v>43</v>
      </c>
      <c r="AC64" t="s">
        <v>43</v>
      </c>
      <c r="AD64" t="s">
        <v>43</v>
      </c>
      <c r="AE64" t="s">
        <v>43</v>
      </c>
      <c r="AG64" t="s">
        <v>43</v>
      </c>
      <c r="AH64">
        <v>0.26</v>
      </c>
      <c r="AI64" t="s">
        <v>43</v>
      </c>
      <c r="AJ64" t="s">
        <v>43</v>
      </c>
      <c r="AL64" s="33"/>
      <c r="AT64" t="s">
        <v>43</v>
      </c>
      <c r="AU64" t="s">
        <v>43</v>
      </c>
      <c r="AV64">
        <v>1</v>
      </c>
      <c r="AX64" t="s">
        <v>43</v>
      </c>
      <c r="AZ64" t="s">
        <v>43</v>
      </c>
    </row>
    <row r="65" spans="1:52" ht="15" x14ac:dyDescent="0.25">
      <c r="B65" s="33" t="s">
        <v>300</v>
      </c>
      <c r="C65" s="33"/>
      <c r="D65" t="s">
        <v>43</v>
      </c>
      <c r="E65">
        <v>14.6</v>
      </c>
      <c r="F65">
        <v>25</v>
      </c>
      <c r="G65">
        <f>10*30</f>
        <v>300</v>
      </c>
      <c r="H65">
        <v>0.2</v>
      </c>
      <c r="I65">
        <v>16</v>
      </c>
      <c r="J65" s="12">
        <f t="shared" ref="J65:J79" si="15">((M65*(E65/I65)*24)/1000)/E65</f>
        <v>1.3884000000000001</v>
      </c>
      <c r="L65">
        <v>334</v>
      </c>
      <c r="M65">
        <v>925.6</v>
      </c>
      <c r="N65">
        <v>66.8</v>
      </c>
      <c r="O65">
        <v>76</v>
      </c>
      <c r="Q65">
        <v>76.599999999999994</v>
      </c>
      <c r="R65">
        <v>280.39999999999998</v>
      </c>
      <c r="S65">
        <v>67.8</v>
      </c>
      <c r="T65" t="s">
        <v>43</v>
      </c>
      <c r="U65" t="s">
        <v>43</v>
      </c>
      <c r="Z65" t="s">
        <v>43</v>
      </c>
      <c r="AA65" t="s">
        <v>43</v>
      </c>
      <c r="AB65" t="s">
        <v>43</v>
      </c>
      <c r="AC65" t="s">
        <v>43</v>
      </c>
      <c r="AD65" t="s">
        <v>43</v>
      </c>
      <c r="AE65" t="s">
        <v>43</v>
      </c>
      <c r="AG65" t="s">
        <v>43</v>
      </c>
      <c r="AH65" t="s">
        <v>43</v>
      </c>
      <c r="AI65" t="s">
        <v>43</v>
      </c>
      <c r="AJ65" t="s">
        <v>43</v>
      </c>
      <c r="AL65" s="33" t="s">
        <v>103</v>
      </c>
      <c r="AT65">
        <v>6</v>
      </c>
      <c r="AU65">
        <v>4</v>
      </c>
      <c r="AV65">
        <v>1</v>
      </c>
      <c r="AX65">
        <f t="shared" ref="AX65:AX80" si="16">(AU65+AT65)*LN((AU65+2))</f>
        <v>17.917594692280549</v>
      </c>
      <c r="AZ65">
        <f t="shared" si="1"/>
        <v>10.986122886681098</v>
      </c>
    </row>
    <row r="66" spans="1:52" ht="15" x14ac:dyDescent="0.25">
      <c r="B66" s="33" t="s">
        <v>300</v>
      </c>
      <c r="C66" s="33"/>
      <c r="D66" t="s">
        <v>43</v>
      </c>
      <c r="E66">
        <v>14.6</v>
      </c>
      <c r="F66">
        <v>25</v>
      </c>
      <c r="G66">
        <f>10*30</f>
        <v>300</v>
      </c>
      <c r="H66">
        <v>0.2</v>
      </c>
      <c r="I66">
        <v>16</v>
      </c>
      <c r="J66" s="12">
        <f t="shared" si="15"/>
        <v>1.3884000000000001</v>
      </c>
      <c r="L66">
        <v>334</v>
      </c>
      <c r="M66">
        <v>925.6</v>
      </c>
      <c r="N66">
        <v>57.8</v>
      </c>
      <c r="O66">
        <v>79</v>
      </c>
      <c r="Q66">
        <v>79.599999999999994</v>
      </c>
      <c r="R66">
        <v>263.89999999999998</v>
      </c>
      <c r="S66">
        <v>68.5</v>
      </c>
      <c r="T66" t="s">
        <v>43</v>
      </c>
      <c r="U66" t="s">
        <v>43</v>
      </c>
      <c r="Z66" t="s">
        <v>43</v>
      </c>
      <c r="AA66" t="s">
        <v>43</v>
      </c>
      <c r="AB66" t="s">
        <v>43</v>
      </c>
      <c r="AC66" t="s">
        <v>43</v>
      </c>
      <c r="AD66" t="s">
        <v>43</v>
      </c>
      <c r="AE66" t="s">
        <v>43</v>
      </c>
      <c r="AG66" t="s">
        <v>43</v>
      </c>
      <c r="AH66" t="s">
        <v>43</v>
      </c>
      <c r="AI66" t="s">
        <v>43</v>
      </c>
      <c r="AJ66" t="s">
        <v>43</v>
      </c>
      <c r="AL66" s="33"/>
      <c r="AM66" t="s">
        <v>301</v>
      </c>
      <c r="AT66">
        <v>6</v>
      </c>
      <c r="AU66">
        <v>4</v>
      </c>
      <c r="AV66">
        <v>1</v>
      </c>
      <c r="AX66">
        <f t="shared" si="16"/>
        <v>17.917594692280549</v>
      </c>
      <c r="AZ66">
        <f t="shared" si="1"/>
        <v>10.986122886681098</v>
      </c>
    </row>
    <row r="67" spans="1:52" ht="15" x14ac:dyDescent="0.25">
      <c r="B67" s="33" t="s">
        <v>46</v>
      </c>
      <c r="C67" s="33"/>
      <c r="D67" t="s">
        <v>43</v>
      </c>
      <c r="E67">
        <f>50/1000</f>
        <v>0.05</v>
      </c>
      <c r="F67" s="22" t="s">
        <v>304</v>
      </c>
      <c r="G67" t="s">
        <v>43</v>
      </c>
      <c r="H67" t="s">
        <v>43</v>
      </c>
      <c r="I67">
        <v>2.8</v>
      </c>
      <c r="J67" s="12">
        <f t="shared" si="15"/>
        <v>4.74</v>
      </c>
      <c r="L67">
        <v>293</v>
      </c>
      <c r="M67">
        <v>553</v>
      </c>
      <c r="N67" t="s">
        <v>43</v>
      </c>
      <c r="O67" t="s">
        <v>43</v>
      </c>
      <c r="P67" t="s">
        <v>43</v>
      </c>
      <c r="Q67" t="s">
        <v>43</v>
      </c>
      <c r="R67" t="s">
        <v>43</v>
      </c>
      <c r="S67">
        <v>50</v>
      </c>
      <c r="T67" t="s">
        <v>43</v>
      </c>
      <c r="U67" t="s">
        <v>43</v>
      </c>
      <c r="Z67" t="s">
        <v>43</v>
      </c>
      <c r="AA67" t="s">
        <v>43</v>
      </c>
      <c r="AB67" t="s">
        <v>43</v>
      </c>
      <c r="AC67" t="s">
        <v>43</v>
      </c>
      <c r="AD67" t="s">
        <v>43</v>
      </c>
      <c r="AE67" t="s">
        <v>43</v>
      </c>
      <c r="AG67" t="s">
        <v>43</v>
      </c>
      <c r="AH67" t="s">
        <v>43</v>
      </c>
      <c r="AI67" t="s">
        <v>43</v>
      </c>
      <c r="AJ67" t="s">
        <v>43</v>
      </c>
      <c r="AL67" s="33" t="s">
        <v>305</v>
      </c>
      <c r="AT67">
        <v>4</v>
      </c>
      <c r="AU67">
        <v>4</v>
      </c>
      <c r="AV67">
        <v>1</v>
      </c>
      <c r="AX67">
        <f t="shared" si="16"/>
        <v>14.33407575382444</v>
      </c>
      <c r="AZ67">
        <f t="shared" si="1"/>
        <v>8.7888983093448783</v>
      </c>
    </row>
    <row r="68" spans="1:52" ht="15" x14ac:dyDescent="0.25">
      <c r="B68" s="33" t="s">
        <v>46</v>
      </c>
      <c r="C68" s="33"/>
      <c r="D68" t="s">
        <v>43</v>
      </c>
      <c r="E68">
        <f>50/1000</f>
        <v>0.05</v>
      </c>
      <c r="F68" s="22" t="s">
        <v>304</v>
      </c>
      <c r="G68" t="s">
        <v>43</v>
      </c>
      <c r="H68" t="s">
        <v>43</v>
      </c>
      <c r="I68">
        <v>4.4000000000000004</v>
      </c>
      <c r="J68" s="12">
        <f t="shared" si="15"/>
        <v>3.0163636363636361</v>
      </c>
      <c r="L68">
        <v>293</v>
      </c>
      <c r="M68">
        <v>553</v>
      </c>
      <c r="N68" t="s">
        <v>43</v>
      </c>
      <c r="O68" t="s">
        <v>43</v>
      </c>
      <c r="P68" t="s">
        <v>43</v>
      </c>
      <c r="Q68" t="s">
        <v>43</v>
      </c>
      <c r="R68" t="s">
        <v>43</v>
      </c>
      <c r="S68">
        <v>47</v>
      </c>
      <c r="T68" t="s">
        <v>43</v>
      </c>
      <c r="U68" t="s">
        <v>43</v>
      </c>
      <c r="Z68" t="s">
        <v>43</v>
      </c>
      <c r="AA68" t="s">
        <v>43</v>
      </c>
      <c r="AB68" t="s">
        <v>43</v>
      </c>
      <c r="AC68" t="s">
        <v>43</v>
      </c>
      <c r="AD68" t="s">
        <v>43</v>
      </c>
      <c r="AE68" t="s">
        <v>43</v>
      </c>
      <c r="AG68" t="s">
        <v>43</v>
      </c>
      <c r="AH68" t="s">
        <v>43</v>
      </c>
      <c r="AI68" t="s">
        <v>43</v>
      </c>
      <c r="AJ68" t="s">
        <v>43</v>
      </c>
      <c r="AL68" s="33"/>
      <c r="AT68">
        <v>4</v>
      </c>
      <c r="AU68">
        <v>4</v>
      </c>
      <c r="AV68">
        <v>1</v>
      </c>
      <c r="AX68">
        <f t="shared" si="16"/>
        <v>14.33407575382444</v>
      </c>
      <c r="AZ68">
        <f t="shared" ref="AZ68:AZ131" si="17">(AT68+AU68)*LN(AV68+2)</f>
        <v>8.7888983093448783</v>
      </c>
    </row>
    <row r="69" spans="1:52" ht="15" x14ac:dyDescent="0.25">
      <c r="B69" s="33" t="s">
        <v>46</v>
      </c>
      <c r="C69" s="33"/>
      <c r="D69" t="s">
        <v>43</v>
      </c>
      <c r="E69">
        <f>50/1000</f>
        <v>0.05</v>
      </c>
      <c r="F69" s="22" t="s">
        <v>304</v>
      </c>
      <c r="G69" t="s">
        <v>43</v>
      </c>
      <c r="H69" t="s">
        <v>43</v>
      </c>
      <c r="I69">
        <v>5.7</v>
      </c>
      <c r="J69" s="12">
        <f t="shared" si="15"/>
        <v>2.3284210526315783</v>
      </c>
      <c r="L69">
        <v>293</v>
      </c>
      <c r="M69">
        <v>553</v>
      </c>
      <c r="N69" t="s">
        <v>43</v>
      </c>
      <c r="O69" t="s">
        <v>43</v>
      </c>
      <c r="P69" t="s">
        <v>43</v>
      </c>
      <c r="Q69" t="s">
        <v>43</v>
      </c>
      <c r="R69" t="s">
        <v>43</v>
      </c>
      <c r="S69">
        <v>56</v>
      </c>
      <c r="T69" t="s">
        <v>43</v>
      </c>
      <c r="U69" t="s">
        <v>43</v>
      </c>
      <c r="Z69" t="s">
        <v>43</v>
      </c>
      <c r="AA69" t="s">
        <v>43</v>
      </c>
      <c r="AB69" t="s">
        <v>43</v>
      </c>
      <c r="AC69" t="s">
        <v>43</v>
      </c>
      <c r="AD69" t="s">
        <v>43</v>
      </c>
      <c r="AE69" t="s">
        <v>43</v>
      </c>
      <c r="AG69" t="s">
        <v>43</v>
      </c>
      <c r="AH69" t="s">
        <v>43</v>
      </c>
      <c r="AI69" t="s">
        <v>43</v>
      </c>
      <c r="AJ69" t="s">
        <v>43</v>
      </c>
      <c r="AL69" s="33"/>
      <c r="AT69">
        <v>4</v>
      </c>
      <c r="AU69">
        <v>4</v>
      </c>
      <c r="AV69">
        <v>1</v>
      </c>
      <c r="AX69">
        <f t="shared" si="16"/>
        <v>14.33407575382444</v>
      </c>
      <c r="AZ69">
        <f t="shared" si="17"/>
        <v>8.7888983093448783</v>
      </c>
    </row>
    <row r="70" spans="1:52" ht="15" x14ac:dyDescent="0.25">
      <c r="A70" t="s">
        <v>308</v>
      </c>
      <c r="B70" s="33" t="s">
        <v>46</v>
      </c>
      <c r="C70" s="33"/>
      <c r="D70" t="s">
        <v>43</v>
      </c>
      <c r="E70" s="20">
        <f>0.6*0.12*0.08</f>
        <v>5.7599999999999995E-3</v>
      </c>
      <c r="F70">
        <v>19</v>
      </c>
      <c r="G70" t="s">
        <v>43</v>
      </c>
      <c r="H70" t="s">
        <v>307</v>
      </c>
      <c r="I70">
        <v>36</v>
      </c>
      <c r="J70" s="12">
        <f t="shared" si="15"/>
        <v>0.42466666666666669</v>
      </c>
      <c r="L70">
        <v>221</v>
      </c>
      <c r="M70">
        <v>637</v>
      </c>
      <c r="N70" t="s">
        <v>43</v>
      </c>
      <c r="O70" t="s">
        <v>43</v>
      </c>
      <c r="P70" t="s">
        <v>43</v>
      </c>
      <c r="Q70" t="s">
        <v>43</v>
      </c>
      <c r="R70" t="s">
        <v>43</v>
      </c>
      <c r="S70">
        <v>68</v>
      </c>
      <c r="T70" t="s">
        <v>43</v>
      </c>
      <c r="U70" t="s">
        <v>43</v>
      </c>
      <c r="Y70">
        <v>39</v>
      </c>
      <c r="Z70" t="s">
        <v>43</v>
      </c>
      <c r="AA70" t="s">
        <v>43</v>
      </c>
      <c r="AB70" t="s">
        <v>43</v>
      </c>
      <c r="AC70" t="s">
        <v>43</v>
      </c>
      <c r="AD70" t="s">
        <v>43</v>
      </c>
      <c r="AE70" t="s">
        <v>43</v>
      </c>
      <c r="AG70">
        <v>42</v>
      </c>
      <c r="AH70" t="s">
        <v>43</v>
      </c>
      <c r="AI70" t="s">
        <v>43</v>
      </c>
      <c r="AJ70">
        <v>0.14799999999999999</v>
      </c>
      <c r="AL70" s="33" t="s">
        <v>106</v>
      </c>
      <c r="AT70">
        <v>6</v>
      </c>
      <c r="AU70">
        <v>4</v>
      </c>
      <c r="AV70">
        <v>1</v>
      </c>
      <c r="AX70">
        <f t="shared" si="16"/>
        <v>17.917594692280549</v>
      </c>
      <c r="AZ70">
        <f t="shared" si="17"/>
        <v>10.986122886681098</v>
      </c>
    </row>
    <row r="71" spans="1:52" ht="15" x14ac:dyDescent="0.25">
      <c r="B71" s="33" t="s">
        <v>46</v>
      </c>
      <c r="C71" s="33"/>
      <c r="D71" t="s">
        <v>43</v>
      </c>
      <c r="E71" s="20">
        <f t="shared" ref="E71:E79" si="18">0.6*0.12*0.08</f>
        <v>5.7599999999999995E-3</v>
      </c>
      <c r="F71">
        <v>19</v>
      </c>
      <c r="G71" t="s">
        <v>43</v>
      </c>
      <c r="H71" t="s">
        <v>307</v>
      </c>
      <c r="I71">
        <v>24</v>
      </c>
      <c r="J71" s="12">
        <f t="shared" si="15"/>
        <v>0.63700000000000001</v>
      </c>
      <c r="L71">
        <v>221</v>
      </c>
      <c r="M71">
        <v>637</v>
      </c>
      <c r="N71" t="s">
        <v>43</v>
      </c>
      <c r="O71" t="s">
        <v>43</v>
      </c>
      <c r="P71" t="s">
        <v>43</v>
      </c>
      <c r="Q71" t="s">
        <v>43</v>
      </c>
      <c r="R71" t="s">
        <v>43</v>
      </c>
      <c r="S71">
        <v>64</v>
      </c>
      <c r="T71" t="s">
        <v>43</v>
      </c>
      <c r="U71" t="s">
        <v>43</v>
      </c>
      <c r="Y71">
        <v>38</v>
      </c>
      <c r="Z71" t="s">
        <v>43</v>
      </c>
      <c r="AA71" t="s">
        <v>43</v>
      </c>
      <c r="AB71" t="s">
        <v>43</v>
      </c>
      <c r="AC71" t="s">
        <v>43</v>
      </c>
      <c r="AD71" t="s">
        <v>43</v>
      </c>
      <c r="AE71" t="s">
        <v>43</v>
      </c>
      <c r="AG71">
        <v>58</v>
      </c>
      <c r="AH71" t="s">
        <v>43</v>
      </c>
      <c r="AI71" t="s">
        <v>43</v>
      </c>
      <c r="AJ71">
        <v>0.14299999999999999</v>
      </c>
      <c r="AL71" s="33"/>
      <c r="AT71">
        <v>6</v>
      </c>
      <c r="AU71">
        <v>4</v>
      </c>
      <c r="AV71">
        <v>1</v>
      </c>
      <c r="AX71">
        <f t="shared" si="16"/>
        <v>17.917594692280549</v>
      </c>
      <c r="AZ71">
        <f t="shared" si="17"/>
        <v>10.986122886681098</v>
      </c>
    </row>
    <row r="72" spans="1:52" ht="15" x14ac:dyDescent="0.25">
      <c r="B72" s="33" t="s">
        <v>46</v>
      </c>
      <c r="C72" s="33"/>
      <c r="D72" t="s">
        <v>43</v>
      </c>
      <c r="E72" s="20">
        <f t="shared" si="18"/>
        <v>5.7599999999999995E-3</v>
      </c>
      <c r="F72">
        <v>19</v>
      </c>
      <c r="G72" t="s">
        <v>43</v>
      </c>
      <c r="H72" t="s">
        <v>307</v>
      </c>
      <c r="I72">
        <v>18</v>
      </c>
      <c r="J72" s="12">
        <f t="shared" si="15"/>
        <v>0.84933333333333338</v>
      </c>
      <c r="L72">
        <v>221</v>
      </c>
      <c r="M72">
        <v>637</v>
      </c>
      <c r="N72" t="s">
        <v>43</v>
      </c>
      <c r="O72" t="s">
        <v>43</v>
      </c>
      <c r="P72" t="s">
        <v>43</v>
      </c>
      <c r="Q72" t="s">
        <v>43</v>
      </c>
      <c r="R72" t="s">
        <v>43</v>
      </c>
      <c r="S72">
        <v>73</v>
      </c>
      <c r="T72" t="s">
        <v>43</v>
      </c>
      <c r="U72" t="s">
        <v>43</v>
      </c>
      <c r="Y72">
        <v>42</v>
      </c>
      <c r="Z72" t="s">
        <v>43</v>
      </c>
      <c r="AA72" t="s">
        <v>43</v>
      </c>
      <c r="AB72" t="s">
        <v>43</v>
      </c>
      <c r="AC72" t="s">
        <v>43</v>
      </c>
      <c r="AD72" t="s">
        <v>43</v>
      </c>
      <c r="AE72" t="s">
        <v>43</v>
      </c>
      <c r="AG72">
        <v>121</v>
      </c>
      <c r="AH72" t="s">
        <v>43</v>
      </c>
      <c r="AI72" t="s">
        <v>43</v>
      </c>
      <c r="AJ72">
        <v>0.14099999999999999</v>
      </c>
      <c r="AL72" s="33"/>
      <c r="AT72">
        <v>6</v>
      </c>
      <c r="AU72">
        <v>4</v>
      </c>
      <c r="AV72">
        <v>1</v>
      </c>
      <c r="AX72">
        <f t="shared" si="16"/>
        <v>17.917594692280549</v>
      </c>
      <c r="AZ72">
        <f t="shared" si="17"/>
        <v>10.986122886681098</v>
      </c>
    </row>
    <row r="73" spans="1:52" ht="15" x14ac:dyDescent="0.25">
      <c r="B73" s="33" t="s">
        <v>46</v>
      </c>
      <c r="C73" s="33"/>
      <c r="D73" t="s">
        <v>43</v>
      </c>
      <c r="E73" s="20">
        <f t="shared" si="18"/>
        <v>5.7599999999999995E-3</v>
      </c>
      <c r="F73">
        <v>19</v>
      </c>
      <c r="G73" t="s">
        <v>43</v>
      </c>
      <c r="H73" t="s">
        <v>307</v>
      </c>
      <c r="I73">
        <v>14</v>
      </c>
      <c r="J73" s="12">
        <f t="shared" si="15"/>
        <v>1.0919999999999999</v>
      </c>
      <c r="L73">
        <v>221</v>
      </c>
      <c r="M73">
        <v>637</v>
      </c>
      <c r="N73" t="s">
        <v>43</v>
      </c>
      <c r="O73" t="s">
        <v>43</v>
      </c>
      <c r="P73" t="s">
        <v>43</v>
      </c>
      <c r="Q73" t="s">
        <v>43</v>
      </c>
      <c r="R73" t="s">
        <v>43</v>
      </c>
      <c r="S73">
        <v>73</v>
      </c>
      <c r="T73" t="s">
        <v>43</v>
      </c>
      <c r="U73" t="s">
        <v>43</v>
      </c>
      <c r="Y73">
        <v>49</v>
      </c>
      <c r="Z73" t="s">
        <v>43</v>
      </c>
      <c r="AA73" t="s">
        <v>43</v>
      </c>
      <c r="AB73" t="s">
        <v>43</v>
      </c>
      <c r="AC73" t="s">
        <v>43</v>
      </c>
      <c r="AD73" t="s">
        <v>43</v>
      </c>
      <c r="AE73" t="s">
        <v>43</v>
      </c>
      <c r="AG73">
        <v>136</v>
      </c>
      <c r="AH73" t="s">
        <v>43</v>
      </c>
      <c r="AI73" t="s">
        <v>43</v>
      </c>
      <c r="AJ73">
        <v>0.13600000000000001</v>
      </c>
      <c r="AL73" s="33"/>
      <c r="AT73">
        <v>6</v>
      </c>
      <c r="AU73">
        <v>4</v>
      </c>
      <c r="AV73">
        <v>1</v>
      </c>
      <c r="AX73">
        <f t="shared" si="16"/>
        <v>17.917594692280549</v>
      </c>
      <c r="AZ73">
        <f t="shared" si="17"/>
        <v>10.986122886681098</v>
      </c>
    </row>
    <row r="74" spans="1:52" ht="15" x14ac:dyDescent="0.25">
      <c r="B74" s="33" t="s">
        <v>46</v>
      </c>
      <c r="C74" s="33"/>
      <c r="D74" t="s">
        <v>43</v>
      </c>
      <c r="E74" s="20">
        <f t="shared" si="18"/>
        <v>5.7599999999999995E-3</v>
      </c>
      <c r="F74">
        <v>19</v>
      </c>
      <c r="G74" t="s">
        <v>43</v>
      </c>
      <c r="H74" t="s">
        <v>307</v>
      </c>
      <c r="I74">
        <v>10</v>
      </c>
      <c r="J74" s="12">
        <f t="shared" si="15"/>
        <v>1.5288000000000002</v>
      </c>
      <c r="L74">
        <v>221</v>
      </c>
      <c r="M74">
        <v>637</v>
      </c>
      <c r="N74" t="s">
        <v>43</v>
      </c>
      <c r="O74" t="s">
        <v>43</v>
      </c>
      <c r="P74" t="s">
        <v>43</v>
      </c>
      <c r="Q74" t="s">
        <v>43</v>
      </c>
      <c r="R74" t="s">
        <v>43</v>
      </c>
      <c r="S74">
        <v>64</v>
      </c>
      <c r="T74" t="s">
        <v>43</v>
      </c>
      <c r="U74" t="s">
        <v>43</v>
      </c>
      <c r="Y74">
        <v>43</v>
      </c>
      <c r="Z74" t="s">
        <v>43</v>
      </c>
      <c r="AA74" t="s">
        <v>43</v>
      </c>
      <c r="AB74" t="s">
        <v>43</v>
      </c>
      <c r="AC74" t="s">
        <v>43</v>
      </c>
      <c r="AD74" t="s">
        <v>43</v>
      </c>
      <c r="AE74" t="s">
        <v>43</v>
      </c>
      <c r="AG74">
        <v>154</v>
      </c>
      <c r="AH74" t="s">
        <v>43</v>
      </c>
      <c r="AI74" t="s">
        <v>43</v>
      </c>
      <c r="AJ74">
        <v>0.129</v>
      </c>
      <c r="AL74" s="33"/>
      <c r="AT74">
        <v>6</v>
      </c>
      <c r="AU74">
        <v>4</v>
      </c>
      <c r="AV74">
        <v>1</v>
      </c>
      <c r="AX74">
        <f t="shared" si="16"/>
        <v>17.917594692280549</v>
      </c>
      <c r="AZ74">
        <f t="shared" si="17"/>
        <v>10.986122886681098</v>
      </c>
    </row>
    <row r="75" spans="1:52" ht="15" x14ac:dyDescent="0.25">
      <c r="B75" s="33" t="s">
        <v>46</v>
      </c>
      <c r="C75" s="33"/>
      <c r="D75" t="s">
        <v>43</v>
      </c>
      <c r="E75" s="20">
        <f t="shared" si="18"/>
        <v>5.7599999999999995E-3</v>
      </c>
      <c r="F75">
        <v>19</v>
      </c>
      <c r="G75" t="s">
        <v>43</v>
      </c>
      <c r="H75" t="s">
        <v>307</v>
      </c>
      <c r="I75">
        <v>8</v>
      </c>
      <c r="J75" s="12">
        <f t="shared" si="15"/>
        <v>1.911</v>
      </c>
      <c r="L75">
        <v>221</v>
      </c>
      <c r="M75">
        <v>637</v>
      </c>
      <c r="N75" t="s">
        <v>43</v>
      </c>
      <c r="O75" t="s">
        <v>43</v>
      </c>
      <c r="P75" t="s">
        <v>43</v>
      </c>
      <c r="Q75" t="s">
        <v>43</v>
      </c>
      <c r="R75" t="s">
        <v>43</v>
      </c>
      <c r="S75">
        <v>65</v>
      </c>
      <c r="T75" t="s">
        <v>43</v>
      </c>
      <c r="U75" t="s">
        <v>43</v>
      </c>
      <c r="Y75">
        <v>21</v>
      </c>
      <c r="Z75" t="s">
        <v>43</v>
      </c>
      <c r="AA75" t="s">
        <v>43</v>
      </c>
      <c r="AB75" t="s">
        <v>43</v>
      </c>
      <c r="AC75" t="s">
        <v>43</v>
      </c>
      <c r="AD75" t="s">
        <v>43</v>
      </c>
      <c r="AE75" t="s">
        <v>43</v>
      </c>
      <c r="AG75">
        <v>140</v>
      </c>
      <c r="AH75" t="s">
        <v>43</v>
      </c>
      <c r="AI75" t="s">
        <v>43</v>
      </c>
      <c r="AJ75">
        <v>0.11700000000000001</v>
      </c>
      <c r="AL75" s="33"/>
      <c r="AT75">
        <v>6</v>
      </c>
      <c r="AU75">
        <v>4</v>
      </c>
      <c r="AV75">
        <v>1</v>
      </c>
      <c r="AX75">
        <f t="shared" si="16"/>
        <v>17.917594692280549</v>
      </c>
      <c r="AZ75">
        <f t="shared" si="17"/>
        <v>10.986122886681098</v>
      </c>
    </row>
    <row r="76" spans="1:52" ht="15" x14ac:dyDescent="0.25">
      <c r="B76" s="33" t="s">
        <v>46</v>
      </c>
      <c r="C76" s="33"/>
      <c r="D76" t="s">
        <v>43</v>
      </c>
      <c r="E76" s="20">
        <f t="shared" si="18"/>
        <v>5.7599999999999995E-3</v>
      </c>
      <c r="F76">
        <v>19</v>
      </c>
      <c r="G76" t="s">
        <v>43</v>
      </c>
      <c r="H76" t="s">
        <v>307</v>
      </c>
      <c r="I76">
        <v>6</v>
      </c>
      <c r="J76" s="12">
        <f t="shared" si="15"/>
        <v>2.548</v>
      </c>
      <c r="L76">
        <v>221</v>
      </c>
      <c r="M76">
        <v>637</v>
      </c>
      <c r="N76" t="s">
        <v>43</v>
      </c>
      <c r="O76" t="s">
        <v>43</v>
      </c>
      <c r="P76" t="s">
        <v>43</v>
      </c>
      <c r="Q76" t="s">
        <v>43</v>
      </c>
      <c r="R76" t="s">
        <v>43</v>
      </c>
      <c r="S76">
        <v>61</v>
      </c>
      <c r="T76" t="s">
        <v>43</v>
      </c>
      <c r="U76" t="s">
        <v>43</v>
      </c>
      <c r="Y76">
        <v>21</v>
      </c>
      <c r="Z76" t="s">
        <v>43</v>
      </c>
      <c r="AA76" t="s">
        <v>43</v>
      </c>
      <c r="AB76" t="s">
        <v>43</v>
      </c>
      <c r="AC76" t="s">
        <v>43</v>
      </c>
      <c r="AD76" t="s">
        <v>43</v>
      </c>
      <c r="AE76" t="s">
        <v>43</v>
      </c>
      <c r="AG76">
        <v>174</v>
      </c>
      <c r="AH76" t="s">
        <v>43</v>
      </c>
      <c r="AI76" t="s">
        <v>43</v>
      </c>
      <c r="AJ76">
        <v>0.12</v>
      </c>
      <c r="AL76" s="33"/>
      <c r="AT76">
        <v>6</v>
      </c>
      <c r="AU76">
        <v>4</v>
      </c>
      <c r="AV76">
        <v>1</v>
      </c>
      <c r="AX76">
        <f t="shared" si="16"/>
        <v>17.917594692280549</v>
      </c>
      <c r="AZ76">
        <f t="shared" si="17"/>
        <v>10.986122886681098</v>
      </c>
    </row>
    <row r="77" spans="1:52" ht="15" x14ac:dyDescent="0.25">
      <c r="B77" s="33" t="s">
        <v>46</v>
      </c>
      <c r="C77" s="33"/>
      <c r="D77" t="s">
        <v>43</v>
      </c>
      <c r="E77" s="20">
        <f t="shared" si="18"/>
        <v>5.7599999999999995E-3</v>
      </c>
      <c r="F77">
        <v>17</v>
      </c>
      <c r="G77" t="s">
        <v>43</v>
      </c>
      <c r="H77" t="s">
        <v>307</v>
      </c>
      <c r="I77">
        <v>18</v>
      </c>
      <c r="J77" s="12">
        <f t="shared" si="15"/>
        <v>0.84933333333333338</v>
      </c>
      <c r="L77">
        <v>221</v>
      </c>
      <c r="M77">
        <v>637</v>
      </c>
      <c r="N77" t="s">
        <v>43</v>
      </c>
      <c r="O77" t="s">
        <v>43</v>
      </c>
      <c r="P77" t="s">
        <v>43</v>
      </c>
      <c r="Q77" t="s">
        <v>43</v>
      </c>
      <c r="R77" t="s">
        <v>43</v>
      </c>
      <c r="S77">
        <v>74</v>
      </c>
      <c r="T77" t="s">
        <v>43</v>
      </c>
      <c r="U77" t="s">
        <v>43</v>
      </c>
      <c r="Y77">
        <v>43</v>
      </c>
      <c r="Z77" t="s">
        <v>43</v>
      </c>
      <c r="AA77" t="s">
        <v>43</v>
      </c>
      <c r="AB77" t="s">
        <v>43</v>
      </c>
      <c r="AC77" t="s">
        <v>43</v>
      </c>
      <c r="AD77" t="s">
        <v>43</v>
      </c>
      <c r="AE77" t="s">
        <v>43</v>
      </c>
      <c r="AG77">
        <v>93</v>
      </c>
      <c r="AH77" t="s">
        <v>43</v>
      </c>
      <c r="AI77" t="s">
        <v>43</v>
      </c>
      <c r="AJ77">
        <v>0.124</v>
      </c>
      <c r="AL77" s="33"/>
      <c r="AT77">
        <v>6</v>
      </c>
      <c r="AU77">
        <v>4</v>
      </c>
      <c r="AV77">
        <v>1</v>
      </c>
      <c r="AX77">
        <f t="shared" si="16"/>
        <v>17.917594692280549</v>
      </c>
      <c r="AZ77">
        <f t="shared" si="17"/>
        <v>10.986122886681098</v>
      </c>
    </row>
    <row r="78" spans="1:52" ht="15" x14ac:dyDescent="0.25">
      <c r="B78" s="33" t="s">
        <v>46</v>
      </c>
      <c r="C78" s="33"/>
      <c r="D78" t="s">
        <v>43</v>
      </c>
      <c r="E78" s="20">
        <f t="shared" si="18"/>
        <v>5.7599999999999995E-3</v>
      </c>
      <c r="F78">
        <v>17</v>
      </c>
      <c r="G78" t="s">
        <v>43</v>
      </c>
      <c r="H78" t="s">
        <v>307</v>
      </c>
      <c r="I78">
        <v>14</v>
      </c>
      <c r="J78" s="12">
        <f t="shared" si="15"/>
        <v>1.0919999999999999</v>
      </c>
      <c r="L78">
        <v>221</v>
      </c>
      <c r="M78">
        <v>637</v>
      </c>
      <c r="N78" t="s">
        <v>43</v>
      </c>
      <c r="O78" t="s">
        <v>43</v>
      </c>
      <c r="P78" t="s">
        <v>43</v>
      </c>
      <c r="Q78" t="s">
        <v>43</v>
      </c>
      <c r="R78" t="s">
        <v>43</v>
      </c>
      <c r="S78">
        <v>72</v>
      </c>
      <c r="T78" t="s">
        <v>43</v>
      </c>
      <c r="U78" t="s">
        <v>43</v>
      </c>
      <c r="Y78">
        <v>42</v>
      </c>
      <c r="Z78" t="s">
        <v>43</v>
      </c>
      <c r="AA78" t="s">
        <v>43</v>
      </c>
      <c r="AB78" t="s">
        <v>43</v>
      </c>
      <c r="AC78" t="s">
        <v>43</v>
      </c>
      <c r="AD78" t="s">
        <v>43</v>
      </c>
      <c r="AE78" t="s">
        <v>43</v>
      </c>
      <c r="AG78">
        <v>106</v>
      </c>
      <c r="AH78" t="s">
        <v>43</v>
      </c>
      <c r="AI78" t="s">
        <v>43</v>
      </c>
      <c r="AJ78">
        <v>0.11700000000000001</v>
      </c>
      <c r="AL78" s="33"/>
      <c r="AT78">
        <v>6</v>
      </c>
      <c r="AU78">
        <v>4</v>
      </c>
      <c r="AV78">
        <v>1</v>
      </c>
      <c r="AX78">
        <f t="shared" si="16"/>
        <v>17.917594692280549</v>
      </c>
      <c r="AZ78">
        <f t="shared" si="17"/>
        <v>10.986122886681098</v>
      </c>
    </row>
    <row r="79" spans="1:52" ht="15" x14ac:dyDescent="0.25">
      <c r="B79" s="33" t="s">
        <v>46</v>
      </c>
      <c r="C79" s="33"/>
      <c r="D79" t="s">
        <v>43</v>
      </c>
      <c r="E79" s="20">
        <f t="shared" si="18"/>
        <v>5.7599999999999995E-3</v>
      </c>
      <c r="F79">
        <v>17</v>
      </c>
      <c r="G79" t="s">
        <v>43</v>
      </c>
      <c r="H79" t="s">
        <v>307</v>
      </c>
      <c r="I79">
        <v>10</v>
      </c>
      <c r="J79" s="12">
        <f t="shared" si="15"/>
        <v>1.5288000000000002</v>
      </c>
      <c r="L79">
        <v>221</v>
      </c>
      <c r="M79">
        <v>637</v>
      </c>
      <c r="N79" t="s">
        <v>43</v>
      </c>
      <c r="O79" t="s">
        <v>43</v>
      </c>
      <c r="P79" t="s">
        <v>43</v>
      </c>
      <c r="Q79" t="s">
        <v>43</v>
      </c>
      <c r="R79" t="s">
        <v>43</v>
      </c>
      <c r="S79">
        <v>60</v>
      </c>
      <c r="T79" t="s">
        <v>43</v>
      </c>
      <c r="U79" t="s">
        <v>43</v>
      </c>
      <c r="Y79">
        <v>37</v>
      </c>
      <c r="Z79" t="s">
        <v>43</v>
      </c>
      <c r="AA79" t="s">
        <v>43</v>
      </c>
      <c r="AB79" t="s">
        <v>43</v>
      </c>
      <c r="AC79" t="s">
        <v>43</v>
      </c>
      <c r="AD79" t="s">
        <v>43</v>
      </c>
      <c r="AE79" t="s">
        <v>43</v>
      </c>
      <c r="AG79">
        <v>130</v>
      </c>
      <c r="AH79" t="s">
        <v>43</v>
      </c>
      <c r="AI79" t="s">
        <v>43</v>
      </c>
      <c r="AJ79">
        <v>0.126</v>
      </c>
      <c r="AL79" s="33"/>
      <c r="AT79">
        <v>6</v>
      </c>
      <c r="AU79">
        <v>4</v>
      </c>
      <c r="AV79">
        <v>1</v>
      </c>
      <c r="AX79">
        <f t="shared" si="16"/>
        <v>17.917594692280549</v>
      </c>
      <c r="AZ79">
        <f t="shared" si="17"/>
        <v>10.986122886681098</v>
      </c>
    </row>
    <row r="80" spans="1:52" x14ac:dyDescent="0.2">
      <c r="B80" s="33" t="s">
        <v>46</v>
      </c>
      <c r="C80" s="33"/>
      <c r="D80" t="s">
        <v>43</v>
      </c>
      <c r="E80" s="20">
        <f>1/1000</f>
        <v>1E-3</v>
      </c>
      <c r="F80">
        <v>15</v>
      </c>
      <c r="G80" t="s">
        <v>43</v>
      </c>
      <c r="H80" t="s">
        <v>307</v>
      </c>
      <c r="I80">
        <f>3.5*24</f>
        <v>84</v>
      </c>
      <c r="J80">
        <v>7.0000000000000007E-2</v>
      </c>
      <c r="L80" t="s">
        <v>43</v>
      </c>
      <c r="M80" s="11">
        <f>(J80*I80)*24</f>
        <v>141.12</v>
      </c>
      <c r="N80" t="s">
        <v>43</v>
      </c>
      <c r="O80" t="s">
        <v>43</v>
      </c>
      <c r="P80" t="s">
        <v>43</v>
      </c>
      <c r="Q80" t="s">
        <v>43</v>
      </c>
      <c r="R80" t="s">
        <v>43</v>
      </c>
      <c r="S80">
        <v>45.9</v>
      </c>
      <c r="T80" t="s">
        <v>43</v>
      </c>
      <c r="U80" t="s">
        <v>43</v>
      </c>
      <c r="Y80" t="s">
        <v>43</v>
      </c>
      <c r="Z80" t="s">
        <v>43</v>
      </c>
      <c r="AA80" t="s">
        <v>43</v>
      </c>
      <c r="AB80" t="s">
        <v>43</v>
      </c>
      <c r="AC80" t="s">
        <v>43</v>
      </c>
      <c r="AD80" t="s">
        <v>43</v>
      </c>
      <c r="AE80" t="s">
        <v>43</v>
      </c>
      <c r="AF80" t="s">
        <v>43</v>
      </c>
      <c r="AG80" t="s">
        <v>43</v>
      </c>
      <c r="AH80" t="s">
        <v>43</v>
      </c>
      <c r="AI80" t="s">
        <v>43</v>
      </c>
      <c r="AJ80" t="s">
        <v>43</v>
      </c>
      <c r="AL80" s="33" t="s">
        <v>105</v>
      </c>
      <c r="AT80">
        <v>5</v>
      </c>
      <c r="AU80">
        <v>5</v>
      </c>
      <c r="AV80">
        <v>1</v>
      </c>
      <c r="AX80">
        <f t="shared" si="16"/>
        <v>19.459101490553131</v>
      </c>
      <c r="AZ80">
        <f t="shared" si="17"/>
        <v>10.986122886681098</v>
      </c>
    </row>
    <row r="81" spans="2:60" x14ac:dyDescent="0.2">
      <c r="B81" s="33" t="s">
        <v>46</v>
      </c>
      <c r="C81" s="33"/>
      <c r="D81" t="s">
        <v>43</v>
      </c>
      <c r="E81" s="20">
        <f t="shared" ref="E81:E90" si="19">1/1000</f>
        <v>1E-3</v>
      </c>
      <c r="F81">
        <v>15</v>
      </c>
      <c r="G81" t="s">
        <v>43</v>
      </c>
      <c r="H81" t="s">
        <v>307</v>
      </c>
      <c r="I81">
        <f>1.75*24</f>
        <v>42</v>
      </c>
      <c r="J81">
        <v>0.15</v>
      </c>
      <c r="L81" t="s">
        <v>43</v>
      </c>
      <c r="M81" s="11">
        <f t="shared" ref="M81:M90" si="20">(J81*I81)*24</f>
        <v>151.19999999999999</v>
      </c>
      <c r="N81" t="s">
        <v>43</v>
      </c>
      <c r="O81" t="s">
        <v>43</v>
      </c>
      <c r="P81" t="s">
        <v>43</v>
      </c>
      <c r="Q81" t="s">
        <v>43</v>
      </c>
      <c r="R81" t="s">
        <v>43</v>
      </c>
      <c r="S81">
        <v>50.1</v>
      </c>
      <c r="T81" t="s">
        <v>43</v>
      </c>
      <c r="U81" t="s">
        <v>43</v>
      </c>
      <c r="Y81" t="s">
        <v>43</v>
      </c>
      <c r="Z81" t="s">
        <v>43</v>
      </c>
      <c r="AA81" t="s">
        <v>43</v>
      </c>
      <c r="AB81" t="s">
        <v>43</v>
      </c>
      <c r="AC81" t="s">
        <v>43</v>
      </c>
      <c r="AD81" t="s">
        <v>43</v>
      </c>
      <c r="AE81" t="s">
        <v>43</v>
      </c>
      <c r="AF81" t="s">
        <v>43</v>
      </c>
      <c r="AG81" t="s">
        <v>43</v>
      </c>
      <c r="AH81" t="s">
        <v>43</v>
      </c>
      <c r="AI81" t="s">
        <v>43</v>
      </c>
      <c r="AJ81" t="s">
        <v>43</v>
      </c>
      <c r="AL81" s="33"/>
      <c r="AT81">
        <v>5</v>
      </c>
      <c r="AU81">
        <v>5</v>
      </c>
      <c r="AV81">
        <v>1</v>
      </c>
      <c r="AX81">
        <f t="shared" ref="AX81:AX88" si="21">(AU81+AT81)*LN((AU81+2))</f>
        <v>19.459101490553131</v>
      </c>
      <c r="AZ81">
        <f t="shared" si="17"/>
        <v>10.986122886681098</v>
      </c>
    </row>
    <row r="82" spans="2:60" x14ac:dyDescent="0.2">
      <c r="B82" s="33" t="s">
        <v>46</v>
      </c>
      <c r="C82" s="33"/>
      <c r="D82" t="s">
        <v>43</v>
      </c>
      <c r="E82" s="20">
        <f t="shared" si="19"/>
        <v>1E-3</v>
      </c>
      <c r="F82">
        <v>15</v>
      </c>
      <c r="G82" t="s">
        <v>43</v>
      </c>
      <c r="H82" t="s">
        <v>307</v>
      </c>
      <c r="I82">
        <v>12</v>
      </c>
      <c r="J82">
        <v>0.82</v>
      </c>
      <c r="L82" t="s">
        <v>43</v>
      </c>
      <c r="M82" s="11">
        <f t="shared" si="20"/>
        <v>236.16</v>
      </c>
      <c r="N82" t="s">
        <v>43</v>
      </c>
      <c r="O82" t="s">
        <v>43</v>
      </c>
      <c r="P82" t="s">
        <v>43</v>
      </c>
      <c r="Q82" t="s">
        <v>43</v>
      </c>
      <c r="R82" t="s">
        <v>43</v>
      </c>
      <c r="S82">
        <v>53.2</v>
      </c>
      <c r="T82" t="s">
        <v>43</v>
      </c>
      <c r="U82" t="s">
        <v>43</v>
      </c>
      <c r="Y82" t="s">
        <v>43</v>
      </c>
      <c r="Z82" t="s">
        <v>43</v>
      </c>
      <c r="AA82" t="s">
        <v>43</v>
      </c>
      <c r="AB82" t="s">
        <v>43</v>
      </c>
      <c r="AC82" t="s">
        <v>43</v>
      </c>
      <c r="AD82" t="s">
        <v>43</v>
      </c>
      <c r="AE82" t="s">
        <v>43</v>
      </c>
      <c r="AF82" t="s">
        <v>43</v>
      </c>
      <c r="AG82" t="s">
        <v>43</v>
      </c>
      <c r="AH82" t="s">
        <v>43</v>
      </c>
      <c r="AI82" t="s">
        <v>43</v>
      </c>
      <c r="AJ82" t="s">
        <v>43</v>
      </c>
      <c r="AL82" s="33"/>
      <c r="AT82">
        <v>5</v>
      </c>
      <c r="AU82">
        <v>5</v>
      </c>
      <c r="AV82">
        <v>1</v>
      </c>
      <c r="AX82">
        <f t="shared" si="21"/>
        <v>19.459101490553131</v>
      </c>
      <c r="AZ82">
        <f t="shared" si="17"/>
        <v>10.986122886681098</v>
      </c>
    </row>
    <row r="83" spans="2:60" x14ac:dyDescent="0.2">
      <c r="B83" s="33" t="s">
        <v>46</v>
      </c>
      <c r="C83" s="33"/>
      <c r="D83" t="s">
        <v>43</v>
      </c>
      <c r="E83" s="20">
        <f t="shared" si="19"/>
        <v>1E-3</v>
      </c>
      <c r="F83">
        <v>15</v>
      </c>
      <c r="G83" t="s">
        <v>43</v>
      </c>
      <c r="H83" t="s">
        <v>307</v>
      </c>
      <c r="I83">
        <v>24</v>
      </c>
      <c r="J83">
        <v>0.41</v>
      </c>
      <c r="L83" t="s">
        <v>43</v>
      </c>
      <c r="M83" s="11">
        <f t="shared" si="20"/>
        <v>236.16</v>
      </c>
      <c r="N83" t="s">
        <v>43</v>
      </c>
      <c r="O83" t="s">
        <v>43</v>
      </c>
      <c r="P83" t="s">
        <v>43</v>
      </c>
      <c r="Q83" t="s">
        <v>43</v>
      </c>
      <c r="R83" t="s">
        <v>43</v>
      </c>
      <c r="S83">
        <v>82.5</v>
      </c>
      <c r="T83" t="s">
        <v>43</v>
      </c>
      <c r="U83" t="s">
        <v>43</v>
      </c>
      <c r="Y83" t="s">
        <v>43</v>
      </c>
      <c r="Z83" t="s">
        <v>43</v>
      </c>
      <c r="AA83" t="s">
        <v>43</v>
      </c>
      <c r="AB83" t="s">
        <v>43</v>
      </c>
      <c r="AC83" t="s">
        <v>43</v>
      </c>
      <c r="AD83" t="s">
        <v>43</v>
      </c>
      <c r="AE83" t="s">
        <v>43</v>
      </c>
      <c r="AF83" t="s">
        <v>43</v>
      </c>
      <c r="AG83" t="s">
        <v>43</v>
      </c>
      <c r="AH83" t="s">
        <v>43</v>
      </c>
      <c r="AI83" t="s">
        <v>43</v>
      </c>
      <c r="AJ83" t="s">
        <v>43</v>
      </c>
      <c r="AL83" s="33"/>
      <c r="AT83">
        <v>5</v>
      </c>
      <c r="AU83">
        <v>5</v>
      </c>
      <c r="AV83">
        <v>1</v>
      </c>
      <c r="AX83">
        <f t="shared" si="21"/>
        <v>19.459101490553131</v>
      </c>
      <c r="AZ83">
        <f t="shared" si="17"/>
        <v>10.986122886681098</v>
      </c>
    </row>
    <row r="84" spans="2:60" x14ac:dyDescent="0.2">
      <c r="B84" s="33" t="s">
        <v>46</v>
      </c>
      <c r="C84" s="33"/>
      <c r="D84" t="s">
        <v>43</v>
      </c>
      <c r="E84" s="20">
        <f t="shared" si="19"/>
        <v>1E-3</v>
      </c>
      <c r="F84">
        <v>15</v>
      </c>
      <c r="G84" t="s">
        <v>43</v>
      </c>
      <c r="H84" t="s">
        <v>307</v>
      </c>
      <c r="I84">
        <f>1.75*24</f>
        <v>42</v>
      </c>
      <c r="J84">
        <v>0.36</v>
      </c>
      <c r="L84" t="s">
        <v>43</v>
      </c>
      <c r="M84" s="11">
        <f t="shared" si="20"/>
        <v>362.88</v>
      </c>
      <c r="N84" t="s">
        <v>43</v>
      </c>
      <c r="O84" t="s">
        <v>43</v>
      </c>
      <c r="P84" t="s">
        <v>43</v>
      </c>
      <c r="Q84" t="s">
        <v>43</v>
      </c>
      <c r="R84" t="s">
        <v>43</v>
      </c>
      <c r="S84">
        <v>82.5</v>
      </c>
      <c r="T84" t="s">
        <v>43</v>
      </c>
      <c r="U84" t="s">
        <v>43</v>
      </c>
      <c r="Y84" t="s">
        <v>43</v>
      </c>
      <c r="Z84" t="s">
        <v>43</v>
      </c>
      <c r="AA84" t="s">
        <v>43</v>
      </c>
      <c r="AB84" t="s">
        <v>43</v>
      </c>
      <c r="AC84" t="s">
        <v>43</v>
      </c>
      <c r="AD84" t="s">
        <v>43</v>
      </c>
      <c r="AE84" t="s">
        <v>43</v>
      </c>
      <c r="AF84" t="s">
        <v>43</v>
      </c>
      <c r="AG84" t="s">
        <v>43</v>
      </c>
      <c r="AH84" t="s">
        <v>43</v>
      </c>
      <c r="AI84" t="s">
        <v>43</v>
      </c>
      <c r="AJ84" t="s">
        <v>43</v>
      </c>
      <c r="AL84" s="33"/>
      <c r="AT84">
        <v>5</v>
      </c>
      <c r="AU84">
        <v>5</v>
      </c>
      <c r="AV84">
        <v>1</v>
      </c>
      <c r="AX84">
        <f t="shared" si="21"/>
        <v>19.459101490553131</v>
      </c>
      <c r="AZ84">
        <f t="shared" si="17"/>
        <v>10.986122886681098</v>
      </c>
    </row>
    <row r="85" spans="2:60" x14ac:dyDescent="0.2">
      <c r="B85" s="33" t="s">
        <v>46</v>
      </c>
      <c r="C85" s="33"/>
      <c r="D85" t="s">
        <v>43</v>
      </c>
      <c r="E85" s="20">
        <f t="shared" si="19"/>
        <v>1E-3</v>
      </c>
      <c r="F85">
        <v>15</v>
      </c>
      <c r="G85" t="s">
        <v>43</v>
      </c>
      <c r="H85" t="s">
        <v>307</v>
      </c>
      <c r="I85">
        <f>0.83*24</f>
        <v>19.919999999999998</v>
      </c>
      <c r="J85">
        <v>0.38</v>
      </c>
      <c r="L85" t="s">
        <v>43</v>
      </c>
      <c r="M85" s="11">
        <f t="shared" si="20"/>
        <v>181.67039999999997</v>
      </c>
      <c r="N85" t="s">
        <v>43</v>
      </c>
      <c r="O85" t="s">
        <v>43</v>
      </c>
      <c r="P85" t="s">
        <v>43</v>
      </c>
      <c r="Q85" t="s">
        <v>43</v>
      </c>
      <c r="R85" t="s">
        <v>43</v>
      </c>
      <c r="S85">
        <v>68.8</v>
      </c>
      <c r="T85" t="s">
        <v>43</v>
      </c>
      <c r="U85" t="s">
        <v>43</v>
      </c>
      <c r="Y85" t="s">
        <v>43</v>
      </c>
      <c r="Z85" t="s">
        <v>43</v>
      </c>
      <c r="AA85" t="s">
        <v>43</v>
      </c>
      <c r="AB85" t="s">
        <v>43</v>
      </c>
      <c r="AC85" t="s">
        <v>43</v>
      </c>
      <c r="AD85" t="s">
        <v>43</v>
      </c>
      <c r="AE85" t="s">
        <v>43</v>
      </c>
      <c r="AF85" t="s">
        <v>43</v>
      </c>
      <c r="AG85" t="s">
        <v>43</v>
      </c>
      <c r="AH85" t="s">
        <v>43</v>
      </c>
      <c r="AI85" t="s">
        <v>43</v>
      </c>
      <c r="AJ85" t="s">
        <v>43</v>
      </c>
      <c r="AL85" s="33"/>
      <c r="AT85">
        <v>5</v>
      </c>
      <c r="AU85">
        <v>5</v>
      </c>
      <c r="AV85">
        <v>1</v>
      </c>
      <c r="AX85">
        <f t="shared" si="21"/>
        <v>19.459101490553131</v>
      </c>
      <c r="AZ85">
        <f t="shared" si="17"/>
        <v>10.986122886681098</v>
      </c>
    </row>
    <row r="86" spans="2:60" x14ac:dyDescent="0.2">
      <c r="B86" s="33" t="s">
        <v>46</v>
      </c>
      <c r="C86" s="33"/>
      <c r="D86" t="s">
        <v>43</v>
      </c>
      <c r="E86" s="20">
        <f t="shared" si="19"/>
        <v>1E-3</v>
      </c>
      <c r="F86">
        <v>15</v>
      </c>
      <c r="G86" t="s">
        <v>43</v>
      </c>
      <c r="H86" t="s">
        <v>307</v>
      </c>
      <c r="I86">
        <f>0.58*24</f>
        <v>13.919999999999998</v>
      </c>
      <c r="J86">
        <v>0.45</v>
      </c>
      <c r="L86" t="s">
        <v>43</v>
      </c>
      <c r="M86" s="11">
        <f t="shared" si="20"/>
        <v>150.33599999999998</v>
      </c>
      <c r="N86" t="s">
        <v>43</v>
      </c>
      <c r="O86" t="s">
        <v>43</v>
      </c>
      <c r="P86" t="s">
        <v>43</v>
      </c>
      <c r="Q86" t="s">
        <v>43</v>
      </c>
      <c r="R86" t="s">
        <v>43</v>
      </c>
      <c r="S86">
        <v>63.7</v>
      </c>
      <c r="T86" t="s">
        <v>43</v>
      </c>
      <c r="U86" t="s">
        <v>43</v>
      </c>
      <c r="Y86" t="s">
        <v>43</v>
      </c>
      <c r="Z86" t="s">
        <v>43</v>
      </c>
      <c r="AA86" t="s">
        <v>43</v>
      </c>
      <c r="AB86" t="s">
        <v>43</v>
      </c>
      <c r="AC86" t="s">
        <v>43</v>
      </c>
      <c r="AD86" t="s">
        <v>43</v>
      </c>
      <c r="AE86" t="s">
        <v>43</v>
      </c>
      <c r="AF86" t="s">
        <v>43</v>
      </c>
      <c r="AG86" t="s">
        <v>43</v>
      </c>
      <c r="AH86" t="s">
        <v>43</v>
      </c>
      <c r="AI86" t="s">
        <v>43</v>
      </c>
      <c r="AJ86" t="s">
        <v>43</v>
      </c>
      <c r="AL86" s="33"/>
      <c r="AT86">
        <v>5</v>
      </c>
      <c r="AU86">
        <v>5</v>
      </c>
      <c r="AV86">
        <v>1</v>
      </c>
      <c r="AX86">
        <f t="shared" si="21"/>
        <v>19.459101490553131</v>
      </c>
      <c r="AZ86">
        <f t="shared" si="17"/>
        <v>10.986122886681098</v>
      </c>
    </row>
    <row r="87" spans="2:60" x14ac:dyDescent="0.2">
      <c r="B87" s="33" t="s">
        <v>46</v>
      </c>
      <c r="C87" s="33"/>
      <c r="D87" t="s">
        <v>43</v>
      </c>
      <c r="E87" s="20">
        <f t="shared" si="19"/>
        <v>1E-3</v>
      </c>
      <c r="F87">
        <v>15</v>
      </c>
      <c r="G87" t="s">
        <v>43</v>
      </c>
      <c r="H87" t="s">
        <v>307</v>
      </c>
      <c r="I87">
        <f>0.43*24</f>
        <v>10.32</v>
      </c>
      <c r="J87">
        <v>0.79</v>
      </c>
      <c r="L87" t="s">
        <v>43</v>
      </c>
      <c r="M87" s="11">
        <f t="shared" si="20"/>
        <v>195.66720000000004</v>
      </c>
      <c r="N87" t="s">
        <v>43</v>
      </c>
      <c r="O87" t="s">
        <v>43</v>
      </c>
      <c r="P87" t="s">
        <v>43</v>
      </c>
      <c r="Q87" t="s">
        <v>43</v>
      </c>
      <c r="R87" t="s">
        <v>43</v>
      </c>
      <c r="S87">
        <v>70.3</v>
      </c>
      <c r="T87" t="s">
        <v>43</v>
      </c>
      <c r="U87" t="s">
        <v>43</v>
      </c>
      <c r="Y87" t="s">
        <v>43</v>
      </c>
      <c r="Z87" t="s">
        <v>43</v>
      </c>
      <c r="AA87" t="s">
        <v>43</v>
      </c>
      <c r="AB87" t="s">
        <v>43</v>
      </c>
      <c r="AC87" t="s">
        <v>43</v>
      </c>
      <c r="AD87" t="s">
        <v>43</v>
      </c>
      <c r="AE87" t="s">
        <v>43</v>
      </c>
      <c r="AF87" t="s">
        <v>43</v>
      </c>
      <c r="AG87" t="s">
        <v>43</v>
      </c>
      <c r="AH87" t="s">
        <v>43</v>
      </c>
      <c r="AI87" t="s">
        <v>43</v>
      </c>
      <c r="AJ87" t="s">
        <v>43</v>
      </c>
      <c r="AL87" s="33"/>
      <c r="AT87">
        <v>5</v>
      </c>
      <c r="AU87">
        <v>5</v>
      </c>
      <c r="AV87">
        <v>1</v>
      </c>
      <c r="AX87">
        <f t="shared" si="21"/>
        <v>19.459101490553131</v>
      </c>
      <c r="AZ87">
        <f t="shared" si="17"/>
        <v>10.986122886681098</v>
      </c>
    </row>
    <row r="88" spans="2:60" x14ac:dyDescent="0.2">
      <c r="B88" s="33" t="s">
        <v>46</v>
      </c>
      <c r="C88" s="33"/>
      <c r="D88" t="s">
        <v>43</v>
      </c>
      <c r="E88" s="20">
        <f t="shared" si="19"/>
        <v>1E-3</v>
      </c>
      <c r="F88">
        <v>15</v>
      </c>
      <c r="G88" t="s">
        <v>43</v>
      </c>
      <c r="H88" t="s">
        <v>307</v>
      </c>
      <c r="I88">
        <f>0.32*24</f>
        <v>7.68</v>
      </c>
      <c r="J88">
        <v>1.51</v>
      </c>
      <c r="L88" t="s">
        <v>43</v>
      </c>
      <c r="M88" s="11">
        <f t="shared" si="20"/>
        <v>278.32319999999999</v>
      </c>
      <c r="N88" t="s">
        <v>43</v>
      </c>
      <c r="O88" t="s">
        <v>43</v>
      </c>
      <c r="P88" t="s">
        <v>43</v>
      </c>
      <c r="Q88" t="s">
        <v>43</v>
      </c>
      <c r="R88" t="s">
        <v>43</v>
      </c>
      <c r="S88">
        <v>68.099999999999994</v>
      </c>
      <c r="T88" t="s">
        <v>43</v>
      </c>
      <c r="U88" t="s">
        <v>43</v>
      </c>
      <c r="Y88" t="s">
        <v>43</v>
      </c>
      <c r="Z88" t="s">
        <v>43</v>
      </c>
      <c r="AA88" t="s">
        <v>43</v>
      </c>
      <c r="AB88" t="s">
        <v>43</v>
      </c>
      <c r="AC88" t="s">
        <v>43</v>
      </c>
      <c r="AD88" t="s">
        <v>43</v>
      </c>
      <c r="AE88" t="s">
        <v>43</v>
      </c>
      <c r="AF88" t="s">
        <v>43</v>
      </c>
      <c r="AG88" t="s">
        <v>43</v>
      </c>
      <c r="AH88" t="s">
        <v>43</v>
      </c>
      <c r="AI88" t="s">
        <v>43</v>
      </c>
      <c r="AJ88" t="s">
        <v>43</v>
      </c>
      <c r="AL88" s="33"/>
      <c r="AT88">
        <v>5</v>
      </c>
      <c r="AU88">
        <v>5</v>
      </c>
      <c r="AV88">
        <v>1</v>
      </c>
      <c r="AX88">
        <f t="shared" si="21"/>
        <v>19.459101490553131</v>
      </c>
      <c r="AZ88">
        <f t="shared" si="17"/>
        <v>10.986122886681098</v>
      </c>
    </row>
    <row r="89" spans="2:60" x14ac:dyDescent="0.2">
      <c r="B89" s="33" t="s">
        <v>46</v>
      </c>
      <c r="C89" s="33"/>
      <c r="D89" t="s">
        <v>43</v>
      </c>
      <c r="E89" s="20">
        <f t="shared" si="19"/>
        <v>1E-3</v>
      </c>
      <c r="F89">
        <v>15</v>
      </c>
      <c r="G89" t="s">
        <v>43</v>
      </c>
      <c r="H89" t="s">
        <v>307</v>
      </c>
      <c r="I89">
        <f>0.32*24</f>
        <v>7.68</v>
      </c>
      <c r="J89">
        <v>1.6</v>
      </c>
      <c r="L89" t="s">
        <v>43</v>
      </c>
      <c r="M89" s="11">
        <f t="shared" si="20"/>
        <v>294.91200000000003</v>
      </c>
      <c r="N89" t="s">
        <v>43</v>
      </c>
      <c r="O89" t="s">
        <v>43</v>
      </c>
      <c r="P89" t="s">
        <v>43</v>
      </c>
      <c r="Q89" t="s">
        <v>43</v>
      </c>
      <c r="R89" t="s">
        <v>43</v>
      </c>
      <c r="S89">
        <v>68.5</v>
      </c>
      <c r="T89" t="s">
        <v>43</v>
      </c>
      <c r="U89" t="s">
        <v>43</v>
      </c>
      <c r="Y89" t="s">
        <v>43</v>
      </c>
      <c r="Z89" t="s">
        <v>43</v>
      </c>
      <c r="AA89" t="s">
        <v>43</v>
      </c>
      <c r="AB89" t="s">
        <v>43</v>
      </c>
      <c r="AC89" t="s">
        <v>43</v>
      </c>
      <c r="AD89" t="s">
        <v>43</v>
      </c>
      <c r="AE89" t="s">
        <v>43</v>
      </c>
      <c r="AF89" t="s">
        <v>43</v>
      </c>
      <c r="AG89" t="s">
        <v>43</v>
      </c>
      <c r="AH89" t="s">
        <v>43</v>
      </c>
      <c r="AI89" t="s">
        <v>43</v>
      </c>
      <c r="AJ89" t="s">
        <v>43</v>
      </c>
      <c r="AL89" s="33"/>
      <c r="AT89">
        <v>5</v>
      </c>
      <c r="AU89">
        <v>5</v>
      </c>
      <c r="AV89">
        <v>1</v>
      </c>
      <c r="AX89">
        <f t="shared" ref="AX89:AX91" si="22">(AU89+AT89)*LN((AU89+2))</f>
        <v>19.459101490553131</v>
      </c>
      <c r="AZ89">
        <f t="shared" si="17"/>
        <v>10.986122886681098</v>
      </c>
    </row>
    <row r="90" spans="2:60" x14ac:dyDescent="0.2">
      <c r="B90" s="33" t="s">
        <v>46</v>
      </c>
      <c r="C90" s="33"/>
      <c r="D90" t="s">
        <v>43</v>
      </c>
      <c r="E90" s="20">
        <f t="shared" si="19"/>
        <v>1E-3</v>
      </c>
      <c r="F90">
        <v>15</v>
      </c>
      <c r="G90" t="s">
        <v>43</v>
      </c>
      <c r="H90" t="s">
        <v>307</v>
      </c>
      <c r="I90">
        <f>0.32*24</f>
        <v>7.68</v>
      </c>
      <c r="J90">
        <v>1.2</v>
      </c>
      <c r="L90" t="s">
        <v>43</v>
      </c>
      <c r="M90" s="11">
        <f t="shared" si="20"/>
        <v>221.18399999999997</v>
      </c>
      <c r="N90" t="s">
        <v>43</v>
      </c>
      <c r="O90" t="s">
        <v>43</v>
      </c>
      <c r="P90" t="s">
        <v>43</v>
      </c>
      <c r="Q90" t="s">
        <v>43</v>
      </c>
      <c r="R90" t="s">
        <v>43</v>
      </c>
      <c r="S90">
        <v>79.3</v>
      </c>
      <c r="T90" t="s">
        <v>43</v>
      </c>
      <c r="U90" t="s">
        <v>43</v>
      </c>
      <c r="Y90" t="s">
        <v>43</v>
      </c>
      <c r="Z90" t="s">
        <v>43</v>
      </c>
      <c r="AA90" t="s">
        <v>43</v>
      </c>
      <c r="AB90" t="s">
        <v>43</v>
      </c>
      <c r="AC90" t="s">
        <v>43</v>
      </c>
      <c r="AD90" t="s">
        <v>43</v>
      </c>
      <c r="AE90" t="s">
        <v>43</v>
      </c>
      <c r="AF90" t="s">
        <v>43</v>
      </c>
      <c r="AG90" t="s">
        <v>43</v>
      </c>
      <c r="AH90" t="s">
        <v>43</v>
      </c>
      <c r="AI90" t="s">
        <v>43</v>
      </c>
      <c r="AJ90" t="s">
        <v>43</v>
      </c>
      <c r="AL90" s="33"/>
      <c r="AT90">
        <v>5</v>
      </c>
      <c r="AU90">
        <v>5</v>
      </c>
      <c r="AV90">
        <v>1</v>
      </c>
      <c r="AX90">
        <f t="shared" si="22"/>
        <v>19.459101490553131</v>
      </c>
      <c r="AZ90">
        <f t="shared" si="17"/>
        <v>10.986122886681098</v>
      </c>
    </row>
    <row r="91" spans="2:60" ht="15" x14ac:dyDescent="0.25">
      <c r="B91" s="33" t="s">
        <v>46</v>
      </c>
      <c r="C91" s="33"/>
      <c r="D91" t="s">
        <v>43</v>
      </c>
      <c r="E91" s="20">
        <f>25/1000</f>
        <v>2.5000000000000001E-2</v>
      </c>
      <c r="F91">
        <v>25</v>
      </c>
      <c r="G91">
        <v>64</v>
      </c>
      <c r="H91" s="13">
        <f>(E91/I91)/(PI()*(0.15/2)^2)</f>
        <v>0.23578510087688198</v>
      </c>
      <c r="I91">
        <v>6</v>
      </c>
      <c r="J91" s="12">
        <f t="shared" ref="J91:J94" si="23">((M91*(E91/I91)*24)/1000)/E91</f>
        <v>2.7919999999999998</v>
      </c>
      <c r="L91" t="s">
        <v>43</v>
      </c>
      <c r="M91">
        <v>698</v>
      </c>
      <c r="N91" t="s">
        <v>43</v>
      </c>
      <c r="O91" t="s">
        <v>43</v>
      </c>
      <c r="P91" t="s">
        <v>43</v>
      </c>
      <c r="Q91" t="s">
        <v>43</v>
      </c>
      <c r="R91">
        <v>198</v>
      </c>
      <c r="S91" s="9">
        <f t="shared" ref="S91:S94" si="24">((M91-R91)/M91)*100</f>
        <v>71.633237822349571</v>
      </c>
      <c r="T91" t="s">
        <v>43</v>
      </c>
      <c r="U91" t="s">
        <v>43</v>
      </c>
      <c r="Y91" t="s">
        <v>43</v>
      </c>
      <c r="Z91" t="s">
        <v>43</v>
      </c>
      <c r="AA91" t="s">
        <v>43</v>
      </c>
      <c r="AB91" t="s">
        <v>43</v>
      </c>
      <c r="AC91" t="s">
        <v>43</v>
      </c>
      <c r="AD91" t="s">
        <v>43</v>
      </c>
      <c r="AE91" t="s">
        <v>43</v>
      </c>
      <c r="AG91" t="s">
        <v>43</v>
      </c>
      <c r="AH91" t="s">
        <v>43</v>
      </c>
      <c r="AI91" t="s">
        <v>43</v>
      </c>
      <c r="AJ91" t="s">
        <v>43</v>
      </c>
      <c r="AL91" s="33" t="s">
        <v>109</v>
      </c>
      <c r="AT91">
        <v>6</v>
      </c>
      <c r="AU91">
        <v>4</v>
      </c>
      <c r="AV91">
        <v>1</v>
      </c>
      <c r="AX91">
        <f t="shared" si="22"/>
        <v>17.917594692280549</v>
      </c>
      <c r="AZ91">
        <f t="shared" si="17"/>
        <v>10.986122886681098</v>
      </c>
    </row>
    <row r="92" spans="2:60" ht="15" x14ac:dyDescent="0.25">
      <c r="B92" s="33" t="s">
        <v>46</v>
      </c>
      <c r="C92" s="33"/>
      <c r="D92" t="s">
        <v>43</v>
      </c>
      <c r="E92" s="20">
        <f t="shared" ref="E92:E94" si="25">25/1000</f>
        <v>2.5000000000000001E-2</v>
      </c>
      <c r="F92">
        <v>25</v>
      </c>
      <c r="G92">
        <v>60</v>
      </c>
      <c r="H92" s="13">
        <f t="shared" ref="H92:H94" si="26">(E92/I92)/(PI()*(0.15/2)^2)</f>
        <v>0.35367765131532297</v>
      </c>
      <c r="I92">
        <v>4</v>
      </c>
      <c r="J92" s="12">
        <f t="shared" si="23"/>
        <v>4.032</v>
      </c>
      <c r="L92" t="s">
        <v>43</v>
      </c>
      <c r="M92">
        <v>672</v>
      </c>
      <c r="N92" t="s">
        <v>43</v>
      </c>
      <c r="O92" t="s">
        <v>43</v>
      </c>
      <c r="P92" t="s">
        <v>43</v>
      </c>
      <c r="Q92" t="s">
        <v>43</v>
      </c>
      <c r="R92">
        <v>238</v>
      </c>
      <c r="S92" s="9">
        <f t="shared" si="24"/>
        <v>64.583333333333343</v>
      </c>
      <c r="T92" t="s">
        <v>43</v>
      </c>
      <c r="U92" t="s">
        <v>43</v>
      </c>
      <c r="Y92" t="s">
        <v>43</v>
      </c>
      <c r="Z92" t="s">
        <v>43</v>
      </c>
      <c r="AA92" t="s">
        <v>43</v>
      </c>
      <c r="AB92" t="s">
        <v>43</v>
      </c>
      <c r="AC92" t="s">
        <v>43</v>
      </c>
      <c r="AD92" t="s">
        <v>43</v>
      </c>
      <c r="AE92" t="s">
        <v>43</v>
      </c>
      <c r="AG92" t="s">
        <v>43</v>
      </c>
      <c r="AH92" t="s">
        <v>43</v>
      </c>
      <c r="AI92" t="s">
        <v>43</v>
      </c>
      <c r="AJ92" t="s">
        <v>43</v>
      </c>
      <c r="AL92" s="33"/>
      <c r="AT92">
        <v>6</v>
      </c>
      <c r="AU92">
        <v>4</v>
      </c>
      <c r="AV92">
        <v>1</v>
      </c>
      <c r="AX92">
        <f t="shared" ref="AX92:AX93" si="27">(AU92+AT92)*LN((AU92+2))</f>
        <v>17.917594692280549</v>
      </c>
      <c r="AZ92">
        <f t="shared" si="17"/>
        <v>10.986122886681098</v>
      </c>
    </row>
    <row r="93" spans="2:60" ht="15" x14ac:dyDescent="0.25">
      <c r="B93" s="33" t="s">
        <v>46</v>
      </c>
      <c r="C93" s="33"/>
      <c r="D93" t="s">
        <v>43</v>
      </c>
      <c r="E93" s="20">
        <f t="shared" si="25"/>
        <v>2.5000000000000001E-2</v>
      </c>
      <c r="F93">
        <v>25</v>
      </c>
      <c r="G93">
        <v>30</v>
      </c>
      <c r="H93" s="13">
        <f>(E93/I93)/(PI()*(0.15/2)^2)</f>
        <v>0.47157020175376396</v>
      </c>
      <c r="I93">
        <v>3</v>
      </c>
      <c r="J93" s="12">
        <f t="shared" si="23"/>
        <v>5.9999999999999991</v>
      </c>
      <c r="L93" t="s">
        <v>43</v>
      </c>
      <c r="M93">
        <v>750</v>
      </c>
      <c r="N93" t="s">
        <v>43</v>
      </c>
      <c r="O93" t="s">
        <v>43</v>
      </c>
      <c r="P93" t="s">
        <v>43</v>
      </c>
      <c r="Q93" t="s">
        <v>43</v>
      </c>
      <c r="R93">
        <v>432</v>
      </c>
      <c r="S93" s="9">
        <f t="shared" si="24"/>
        <v>42.4</v>
      </c>
      <c r="T93" t="s">
        <v>43</v>
      </c>
      <c r="U93" t="s">
        <v>43</v>
      </c>
      <c r="Y93" t="s">
        <v>43</v>
      </c>
      <c r="Z93" t="s">
        <v>43</v>
      </c>
      <c r="AA93" t="s">
        <v>43</v>
      </c>
      <c r="AB93" t="s">
        <v>43</v>
      </c>
      <c r="AC93" t="s">
        <v>43</v>
      </c>
      <c r="AD93" t="s">
        <v>43</v>
      </c>
      <c r="AE93" t="s">
        <v>43</v>
      </c>
      <c r="AG93" t="s">
        <v>43</v>
      </c>
      <c r="AH93" t="s">
        <v>43</v>
      </c>
      <c r="AI93" t="s">
        <v>43</v>
      </c>
      <c r="AJ93" t="s">
        <v>43</v>
      </c>
      <c r="AL93" s="33"/>
      <c r="AM93" t="s">
        <v>399</v>
      </c>
      <c r="AT93">
        <v>6</v>
      </c>
      <c r="AU93">
        <v>4</v>
      </c>
      <c r="AV93">
        <v>1</v>
      </c>
      <c r="AX93">
        <f t="shared" si="27"/>
        <v>17.917594692280549</v>
      </c>
      <c r="AZ93">
        <f t="shared" si="17"/>
        <v>10.986122886681098</v>
      </c>
    </row>
    <row r="94" spans="2:60" ht="15" x14ac:dyDescent="0.25">
      <c r="B94" s="33" t="s">
        <v>46</v>
      </c>
      <c r="C94" s="33"/>
      <c r="D94" t="s">
        <v>43</v>
      </c>
      <c r="E94" s="20">
        <f t="shared" si="25"/>
        <v>2.5000000000000001E-2</v>
      </c>
      <c r="F94">
        <v>25</v>
      </c>
      <c r="G94">
        <v>30</v>
      </c>
      <c r="H94" s="13">
        <f t="shared" si="26"/>
        <v>0.58946275219220501</v>
      </c>
      <c r="I94">
        <v>2.4</v>
      </c>
      <c r="J94" s="12">
        <f t="shared" si="23"/>
        <v>7.76</v>
      </c>
      <c r="L94" t="s">
        <v>43</v>
      </c>
      <c r="M94">
        <v>776</v>
      </c>
      <c r="N94" t="s">
        <v>43</v>
      </c>
      <c r="O94" t="s">
        <v>43</v>
      </c>
      <c r="P94" t="s">
        <v>43</v>
      </c>
      <c r="Q94" t="s">
        <v>43</v>
      </c>
      <c r="R94">
        <v>398</v>
      </c>
      <c r="S94" s="9">
        <f t="shared" si="24"/>
        <v>48.711340206185568</v>
      </c>
      <c r="T94" t="s">
        <v>43</v>
      </c>
      <c r="U94" t="s">
        <v>43</v>
      </c>
      <c r="Y94" t="s">
        <v>43</v>
      </c>
      <c r="Z94" t="s">
        <v>43</v>
      </c>
      <c r="AA94" t="s">
        <v>43</v>
      </c>
      <c r="AB94" t="s">
        <v>43</v>
      </c>
      <c r="AC94" t="s">
        <v>43</v>
      </c>
      <c r="AD94" t="s">
        <v>43</v>
      </c>
      <c r="AE94" t="s">
        <v>43</v>
      </c>
      <c r="AG94" t="s">
        <v>43</v>
      </c>
      <c r="AH94" t="s">
        <v>43</v>
      </c>
      <c r="AI94" t="s">
        <v>43</v>
      </c>
      <c r="AJ94" t="s">
        <v>43</v>
      </c>
      <c r="AL94" s="33"/>
      <c r="AT94">
        <v>6</v>
      </c>
      <c r="AU94">
        <v>4</v>
      </c>
      <c r="AV94">
        <v>1</v>
      </c>
      <c r="AX94">
        <f t="shared" ref="AX94:AX97" si="28">(AU94+AT94)*LN((AU94+2))</f>
        <v>17.917594692280549</v>
      </c>
      <c r="AZ94">
        <f t="shared" si="17"/>
        <v>10.986122886681098</v>
      </c>
    </row>
    <row r="95" spans="2:60" x14ac:dyDescent="0.2">
      <c r="B95" s="33" t="s">
        <v>46</v>
      </c>
      <c r="C95" s="33"/>
      <c r="D95" t="s">
        <v>43</v>
      </c>
      <c r="E95" s="20">
        <f>50/1000</f>
        <v>0.05</v>
      </c>
      <c r="F95">
        <v>22.7</v>
      </c>
      <c r="G95">
        <v>115</v>
      </c>
      <c r="H95" s="13" t="s">
        <v>43</v>
      </c>
      <c r="I95">
        <v>5.7</v>
      </c>
      <c r="J95">
        <v>2.1</v>
      </c>
      <c r="L95">
        <v>233</v>
      </c>
      <c r="M95">
        <v>452</v>
      </c>
      <c r="N95" t="s">
        <v>43</v>
      </c>
      <c r="O95">
        <v>46</v>
      </c>
      <c r="P95" t="s">
        <v>43</v>
      </c>
      <c r="Q95" t="s">
        <v>43</v>
      </c>
      <c r="R95" t="s">
        <v>43</v>
      </c>
      <c r="S95">
        <v>48</v>
      </c>
      <c r="T95" t="s">
        <v>43</v>
      </c>
      <c r="U95" t="s">
        <v>43</v>
      </c>
      <c r="Y95" t="s">
        <v>43</v>
      </c>
      <c r="Z95" t="s">
        <v>43</v>
      </c>
      <c r="AA95" t="s">
        <v>43</v>
      </c>
      <c r="AB95" t="s">
        <v>43</v>
      </c>
      <c r="AC95" t="s">
        <v>43</v>
      </c>
      <c r="AD95" t="s">
        <v>43</v>
      </c>
      <c r="AE95" s="29">
        <v>2.3896196011084149E-2</v>
      </c>
      <c r="AG95" t="s">
        <v>43</v>
      </c>
      <c r="AH95" t="s">
        <v>43</v>
      </c>
      <c r="AI95" t="s">
        <v>43</v>
      </c>
      <c r="AJ95" t="s">
        <v>43</v>
      </c>
      <c r="AL95" s="33" t="s">
        <v>112</v>
      </c>
      <c r="AM95" t="s">
        <v>313</v>
      </c>
      <c r="AP95" t="s">
        <v>314</v>
      </c>
      <c r="AT95">
        <v>4</v>
      </c>
      <c r="AU95">
        <v>4</v>
      </c>
      <c r="AV95">
        <v>1</v>
      </c>
      <c r="AX95">
        <f t="shared" si="28"/>
        <v>14.33407575382444</v>
      </c>
      <c r="AZ95">
        <f t="shared" si="17"/>
        <v>8.7888983093448783</v>
      </c>
      <c r="BD95">
        <f>8/7</f>
        <v>1.1428571428571428</v>
      </c>
      <c r="BE95" t="s">
        <v>315</v>
      </c>
      <c r="BF95" t="s">
        <v>316</v>
      </c>
      <c r="BG95">
        <v>1447</v>
      </c>
      <c r="BH95" t="s">
        <v>317</v>
      </c>
    </row>
    <row r="96" spans="2:60" x14ac:dyDescent="0.2">
      <c r="B96" s="33" t="s">
        <v>46</v>
      </c>
      <c r="C96" s="33"/>
      <c r="D96" t="s">
        <v>43</v>
      </c>
      <c r="E96" s="20">
        <f>50/1000</f>
        <v>0.05</v>
      </c>
      <c r="F96">
        <v>24.3</v>
      </c>
      <c r="G96">
        <v>120</v>
      </c>
      <c r="H96" t="s">
        <v>43</v>
      </c>
      <c r="I96">
        <v>5.9</v>
      </c>
      <c r="J96">
        <v>1.7</v>
      </c>
      <c r="L96">
        <v>233</v>
      </c>
      <c r="M96">
        <v>452</v>
      </c>
      <c r="N96" t="s">
        <v>43</v>
      </c>
      <c r="O96">
        <v>54</v>
      </c>
      <c r="P96" t="s">
        <v>43</v>
      </c>
      <c r="Q96" t="s">
        <v>43</v>
      </c>
      <c r="R96" t="s">
        <v>43</v>
      </c>
      <c r="S96">
        <v>49</v>
      </c>
      <c r="T96" t="s">
        <v>43</v>
      </c>
      <c r="U96" t="s">
        <v>43</v>
      </c>
      <c r="Y96" t="s">
        <v>43</v>
      </c>
      <c r="Z96" t="s">
        <v>43</v>
      </c>
      <c r="AA96" t="s">
        <v>43</v>
      </c>
      <c r="AB96" t="s">
        <v>43</v>
      </c>
      <c r="AC96" t="s">
        <v>43</v>
      </c>
      <c r="AD96" t="s">
        <v>43</v>
      </c>
      <c r="AE96" t="s">
        <v>43</v>
      </c>
      <c r="AG96" t="s">
        <v>43</v>
      </c>
      <c r="AH96" t="s">
        <v>43</v>
      </c>
      <c r="AI96" t="s">
        <v>43</v>
      </c>
      <c r="AJ96" t="s">
        <v>43</v>
      </c>
      <c r="AL96" s="33"/>
      <c r="AT96">
        <v>4</v>
      </c>
      <c r="AU96">
        <v>4</v>
      </c>
      <c r="AV96">
        <v>1</v>
      </c>
      <c r="AX96">
        <f t="shared" si="28"/>
        <v>14.33407575382444</v>
      </c>
      <c r="AZ96">
        <f t="shared" si="17"/>
        <v>8.7888983093448783</v>
      </c>
      <c r="BD96">
        <f>7.5*2/7</f>
        <v>2.1428571428571428</v>
      </c>
      <c r="BE96" t="s">
        <v>315</v>
      </c>
      <c r="BF96" t="s">
        <v>316</v>
      </c>
      <c r="BG96">
        <v>2260</v>
      </c>
      <c r="BH96" t="s">
        <v>317</v>
      </c>
    </row>
    <row r="97" spans="2:52" x14ac:dyDescent="0.2">
      <c r="B97" s="33" t="s">
        <v>46</v>
      </c>
      <c r="C97" s="33"/>
      <c r="D97" t="s">
        <v>318</v>
      </c>
      <c r="E97" s="2"/>
      <c r="F97" s="2"/>
      <c r="G97" s="2"/>
      <c r="H97">
        <v>0.56999999999999995</v>
      </c>
      <c r="I97">
        <v>8.8000000000000007</v>
      </c>
      <c r="J97" s="2"/>
      <c r="L97">
        <v>209</v>
      </c>
      <c r="M97">
        <v>361</v>
      </c>
      <c r="N97">
        <v>59</v>
      </c>
      <c r="O97">
        <v>69</v>
      </c>
      <c r="R97">
        <v>158</v>
      </c>
      <c r="S97">
        <v>59</v>
      </c>
      <c r="T97" s="38">
        <f>R97-V97</f>
        <v>74</v>
      </c>
      <c r="U97" s="39">
        <f>(((M97-142)-T97)/(M97-142))*100</f>
        <v>66.210045662100455</v>
      </c>
      <c r="V97" s="38">
        <v>84</v>
      </c>
      <c r="W97" s="39">
        <f>((142-V97)/142)*100</f>
        <v>40.845070422535215</v>
      </c>
      <c r="Y97" t="s">
        <v>43</v>
      </c>
      <c r="Z97" t="s">
        <v>43</v>
      </c>
      <c r="AA97" t="s">
        <v>43</v>
      </c>
      <c r="AB97" t="s">
        <v>43</v>
      </c>
      <c r="AC97" t="s">
        <v>43</v>
      </c>
      <c r="AD97" t="s">
        <v>43</v>
      </c>
      <c r="AE97" t="s">
        <v>43</v>
      </c>
      <c r="AG97" s="2"/>
      <c r="AH97" s="2"/>
      <c r="AI97" s="2"/>
      <c r="AL97" t="s">
        <v>114</v>
      </c>
      <c r="AT97">
        <v>4</v>
      </c>
      <c r="AU97">
        <v>4</v>
      </c>
      <c r="AV97">
        <v>1</v>
      </c>
      <c r="AX97">
        <f t="shared" si="28"/>
        <v>14.33407575382444</v>
      </c>
      <c r="AZ97">
        <f t="shared" si="17"/>
        <v>8.7888983093448783</v>
      </c>
    </row>
    <row r="98" spans="2:52" x14ac:dyDescent="0.2">
      <c r="B98" s="33" t="s">
        <v>46</v>
      </c>
      <c r="C98" s="33"/>
      <c r="D98" t="s">
        <v>43</v>
      </c>
      <c r="E98" s="9">
        <f>5.3*(PI()*2.3^2)</f>
        <v>88.080833228697003</v>
      </c>
      <c r="F98">
        <v>25</v>
      </c>
      <c r="G98" t="s">
        <v>43</v>
      </c>
      <c r="I98">
        <v>24</v>
      </c>
      <c r="J98">
        <v>0.14000000000000001</v>
      </c>
      <c r="L98" t="s">
        <v>43</v>
      </c>
      <c r="M98">
        <v>167</v>
      </c>
      <c r="N98" t="s">
        <v>43</v>
      </c>
      <c r="O98" t="s">
        <v>43</v>
      </c>
      <c r="P98" t="s">
        <v>43</v>
      </c>
      <c r="Q98" t="s">
        <v>43</v>
      </c>
      <c r="R98">
        <v>117</v>
      </c>
      <c r="S98">
        <v>30</v>
      </c>
      <c r="T98" t="s">
        <v>43</v>
      </c>
      <c r="U98" t="s">
        <v>43</v>
      </c>
      <c r="Y98" t="s">
        <v>43</v>
      </c>
      <c r="Z98" t="s">
        <v>43</v>
      </c>
      <c r="AA98" t="s">
        <v>43</v>
      </c>
      <c r="AB98" t="s">
        <v>43</v>
      </c>
      <c r="AC98" t="s">
        <v>43</v>
      </c>
      <c r="AD98" t="s">
        <v>43</v>
      </c>
      <c r="AE98" t="s">
        <v>43</v>
      </c>
      <c r="AF98" t="s">
        <v>43</v>
      </c>
      <c r="AG98" t="s">
        <v>43</v>
      </c>
      <c r="AH98" t="s">
        <v>43</v>
      </c>
      <c r="AI98" t="s">
        <v>43</v>
      </c>
      <c r="AJ98" t="s">
        <v>43</v>
      </c>
      <c r="AL98" s="33" t="s">
        <v>116</v>
      </c>
      <c r="AM98" t="s">
        <v>319</v>
      </c>
      <c r="AT98" t="s">
        <v>43</v>
      </c>
      <c r="AU98" t="s">
        <v>43</v>
      </c>
      <c r="AV98">
        <v>1</v>
      </c>
      <c r="AX98" t="s">
        <v>43</v>
      </c>
      <c r="AZ98" t="s">
        <v>43</v>
      </c>
    </row>
    <row r="99" spans="2:52" x14ac:dyDescent="0.2">
      <c r="B99" s="33" t="s">
        <v>46</v>
      </c>
      <c r="C99" s="33"/>
      <c r="D99" t="s">
        <v>43</v>
      </c>
      <c r="E99" s="9">
        <f t="shared" ref="E99:E106" si="29">5.3*(PI()*2.3^2)</f>
        <v>88.080833228697003</v>
      </c>
      <c r="F99">
        <v>13</v>
      </c>
      <c r="G99" t="s">
        <v>43</v>
      </c>
      <c r="I99">
        <v>21.4</v>
      </c>
      <c r="J99">
        <v>0.25</v>
      </c>
      <c r="L99" t="s">
        <v>43</v>
      </c>
      <c r="M99">
        <v>162</v>
      </c>
      <c r="N99" t="s">
        <v>43</v>
      </c>
      <c r="O99" t="s">
        <v>43</v>
      </c>
      <c r="P99" t="s">
        <v>43</v>
      </c>
      <c r="Q99" t="s">
        <v>43</v>
      </c>
      <c r="R99">
        <v>60</v>
      </c>
      <c r="S99">
        <v>60</v>
      </c>
      <c r="T99" t="s">
        <v>43</v>
      </c>
      <c r="U99" t="s">
        <v>43</v>
      </c>
      <c r="Y99" t="s">
        <v>43</v>
      </c>
      <c r="Z99" t="s">
        <v>43</v>
      </c>
      <c r="AA99" t="s">
        <v>43</v>
      </c>
      <c r="AB99" t="s">
        <v>43</v>
      </c>
      <c r="AC99" t="s">
        <v>43</v>
      </c>
      <c r="AD99" t="s">
        <v>43</v>
      </c>
      <c r="AE99" t="s">
        <v>43</v>
      </c>
      <c r="AF99" t="s">
        <v>43</v>
      </c>
      <c r="AG99" t="s">
        <v>43</v>
      </c>
      <c r="AH99" t="s">
        <v>43</v>
      </c>
      <c r="AI99" t="s">
        <v>43</v>
      </c>
      <c r="AJ99" t="s">
        <v>43</v>
      </c>
      <c r="AL99" s="33"/>
      <c r="AT99" t="s">
        <v>43</v>
      </c>
      <c r="AU99" t="s">
        <v>43</v>
      </c>
      <c r="AV99">
        <v>1</v>
      </c>
      <c r="AX99" t="s">
        <v>43</v>
      </c>
      <c r="AZ99" t="s">
        <v>43</v>
      </c>
    </row>
    <row r="100" spans="2:52" x14ac:dyDescent="0.2">
      <c r="B100" s="33" t="s">
        <v>46</v>
      </c>
      <c r="C100" s="33"/>
      <c r="D100" t="s">
        <v>43</v>
      </c>
      <c r="E100" s="9">
        <f t="shared" si="29"/>
        <v>88.080833228697003</v>
      </c>
      <c r="F100">
        <v>13</v>
      </c>
      <c r="G100" t="s">
        <v>43</v>
      </c>
      <c r="I100">
        <v>15.6</v>
      </c>
      <c r="J100">
        <v>0.33</v>
      </c>
      <c r="L100" t="s">
        <v>43</v>
      </c>
      <c r="M100">
        <v>193</v>
      </c>
      <c r="N100" t="s">
        <v>43</v>
      </c>
      <c r="O100" t="s">
        <v>43</v>
      </c>
      <c r="P100" t="s">
        <v>43</v>
      </c>
      <c r="Q100" t="s">
        <v>43</v>
      </c>
      <c r="R100">
        <v>79</v>
      </c>
      <c r="S100">
        <v>59</v>
      </c>
      <c r="T100" t="s">
        <v>43</v>
      </c>
      <c r="U100" t="s">
        <v>43</v>
      </c>
      <c r="Y100" t="s">
        <v>43</v>
      </c>
      <c r="Z100" t="s">
        <v>43</v>
      </c>
      <c r="AA100" t="s">
        <v>43</v>
      </c>
      <c r="AB100" t="s">
        <v>43</v>
      </c>
      <c r="AC100" t="s">
        <v>43</v>
      </c>
      <c r="AD100" t="s">
        <v>43</v>
      </c>
      <c r="AE100" t="s">
        <v>43</v>
      </c>
      <c r="AF100" t="s">
        <v>43</v>
      </c>
      <c r="AG100" t="s">
        <v>43</v>
      </c>
      <c r="AH100" t="s">
        <v>43</v>
      </c>
      <c r="AI100" t="s">
        <v>43</v>
      </c>
      <c r="AJ100" t="s">
        <v>43</v>
      </c>
      <c r="AL100" s="33"/>
      <c r="AT100" t="s">
        <v>43</v>
      </c>
      <c r="AU100" t="s">
        <v>43</v>
      </c>
      <c r="AV100">
        <v>1</v>
      </c>
      <c r="AX100" t="s">
        <v>43</v>
      </c>
      <c r="AZ100" t="s">
        <v>43</v>
      </c>
    </row>
    <row r="101" spans="2:52" x14ac:dyDescent="0.2">
      <c r="B101" s="33" t="s">
        <v>46</v>
      </c>
      <c r="C101" s="33"/>
      <c r="D101" t="s">
        <v>43</v>
      </c>
      <c r="E101" s="9">
        <f t="shared" si="29"/>
        <v>88.080833228697003</v>
      </c>
      <c r="F101">
        <v>13</v>
      </c>
      <c r="G101" t="s">
        <v>43</v>
      </c>
      <c r="I101">
        <v>12.5</v>
      </c>
      <c r="J101">
        <v>0.43</v>
      </c>
      <c r="L101" t="s">
        <v>43</v>
      </c>
      <c r="M101">
        <v>187</v>
      </c>
      <c r="N101" t="s">
        <v>43</v>
      </c>
      <c r="O101" t="s">
        <v>43</v>
      </c>
      <c r="P101" t="s">
        <v>43</v>
      </c>
      <c r="Q101" t="s">
        <v>43</v>
      </c>
      <c r="R101">
        <v>80</v>
      </c>
      <c r="S101">
        <v>57</v>
      </c>
      <c r="T101" t="s">
        <v>43</v>
      </c>
      <c r="U101" t="s">
        <v>43</v>
      </c>
      <c r="Y101" t="s">
        <v>43</v>
      </c>
      <c r="Z101" t="s">
        <v>43</v>
      </c>
      <c r="AA101" t="s">
        <v>43</v>
      </c>
      <c r="AB101" t="s">
        <v>43</v>
      </c>
      <c r="AC101" t="s">
        <v>43</v>
      </c>
      <c r="AD101" t="s">
        <v>43</v>
      </c>
      <c r="AE101" t="s">
        <v>43</v>
      </c>
      <c r="AF101" t="s">
        <v>43</v>
      </c>
      <c r="AG101" t="s">
        <v>43</v>
      </c>
      <c r="AH101" t="s">
        <v>43</v>
      </c>
      <c r="AI101" t="s">
        <v>43</v>
      </c>
      <c r="AJ101" t="s">
        <v>43</v>
      </c>
      <c r="AL101" s="33"/>
      <c r="AT101" t="s">
        <v>43</v>
      </c>
      <c r="AU101" t="s">
        <v>43</v>
      </c>
      <c r="AV101">
        <v>1</v>
      </c>
      <c r="AX101" t="s">
        <v>43</v>
      </c>
      <c r="AZ101" t="s">
        <v>43</v>
      </c>
    </row>
    <row r="102" spans="2:52" x14ac:dyDescent="0.2">
      <c r="B102" s="33" t="s">
        <v>46</v>
      </c>
      <c r="C102" s="33"/>
      <c r="D102" t="s">
        <v>43</v>
      </c>
      <c r="E102" s="9">
        <f t="shared" si="29"/>
        <v>88.080833228697003</v>
      </c>
      <c r="F102">
        <v>25</v>
      </c>
      <c r="G102" t="s">
        <v>43</v>
      </c>
      <c r="I102">
        <v>9.1</v>
      </c>
      <c r="J102">
        <v>0.48</v>
      </c>
      <c r="L102" t="s">
        <v>43</v>
      </c>
      <c r="M102">
        <v>250</v>
      </c>
      <c r="N102" t="s">
        <v>43</v>
      </c>
      <c r="O102" t="s">
        <v>43</v>
      </c>
      <c r="P102" t="s">
        <v>43</v>
      </c>
      <c r="Q102" t="s">
        <v>43</v>
      </c>
      <c r="R102">
        <v>92</v>
      </c>
      <c r="S102">
        <v>63</v>
      </c>
      <c r="T102" t="s">
        <v>43</v>
      </c>
      <c r="U102" t="s">
        <v>43</v>
      </c>
      <c r="Y102" t="s">
        <v>43</v>
      </c>
      <c r="Z102" t="s">
        <v>43</v>
      </c>
      <c r="AA102" t="s">
        <v>43</v>
      </c>
      <c r="AB102" t="s">
        <v>43</v>
      </c>
      <c r="AC102" t="s">
        <v>43</v>
      </c>
      <c r="AD102" t="s">
        <v>43</v>
      </c>
      <c r="AE102" t="s">
        <v>43</v>
      </c>
      <c r="AF102" t="s">
        <v>43</v>
      </c>
      <c r="AG102" t="s">
        <v>43</v>
      </c>
      <c r="AH102" t="s">
        <v>43</v>
      </c>
      <c r="AI102" t="s">
        <v>43</v>
      </c>
      <c r="AJ102" t="s">
        <v>43</v>
      </c>
      <c r="AL102" s="33"/>
      <c r="AT102" t="s">
        <v>43</v>
      </c>
      <c r="AU102" t="s">
        <v>43</v>
      </c>
      <c r="AV102">
        <v>1</v>
      </c>
      <c r="AX102" t="s">
        <v>43</v>
      </c>
      <c r="AZ102" t="s">
        <v>43</v>
      </c>
    </row>
    <row r="103" spans="2:52" x14ac:dyDescent="0.2">
      <c r="B103" s="33" t="s">
        <v>46</v>
      </c>
      <c r="C103" s="33"/>
      <c r="D103" t="s">
        <v>43</v>
      </c>
      <c r="E103" s="9">
        <f t="shared" si="29"/>
        <v>88.080833228697003</v>
      </c>
      <c r="F103">
        <v>25</v>
      </c>
      <c r="G103" t="s">
        <v>43</v>
      </c>
      <c r="I103">
        <v>8.6</v>
      </c>
      <c r="J103">
        <v>0.52</v>
      </c>
      <c r="L103" t="s">
        <v>43</v>
      </c>
      <c r="M103">
        <v>195</v>
      </c>
      <c r="N103" t="s">
        <v>43</v>
      </c>
      <c r="O103" t="s">
        <v>43</v>
      </c>
      <c r="P103" t="s">
        <v>43</v>
      </c>
      <c r="Q103" t="s">
        <v>43</v>
      </c>
      <c r="R103">
        <v>60</v>
      </c>
      <c r="S103">
        <v>70</v>
      </c>
      <c r="T103" t="s">
        <v>43</v>
      </c>
      <c r="U103" t="s">
        <v>43</v>
      </c>
      <c r="Y103" t="s">
        <v>43</v>
      </c>
      <c r="Z103" t="s">
        <v>43</v>
      </c>
      <c r="AA103" t="s">
        <v>43</v>
      </c>
      <c r="AB103" t="s">
        <v>43</v>
      </c>
      <c r="AC103" t="s">
        <v>43</v>
      </c>
      <c r="AD103" t="s">
        <v>43</v>
      </c>
      <c r="AE103" t="s">
        <v>43</v>
      </c>
      <c r="AF103" t="s">
        <v>43</v>
      </c>
      <c r="AG103" t="s">
        <v>43</v>
      </c>
      <c r="AH103" t="s">
        <v>43</v>
      </c>
      <c r="AI103" t="s">
        <v>43</v>
      </c>
      <c r="AJ103" t="s">
        <v>43</v>
      </c>
      <c r="AL103" s="33"/>
      <c r="AT103" t="s">
        <v>43</v>
      </c>
      <c r="AU103" t="s">
        <v>43</v>
      </c>
      <c r="AV103">
        <v>1</v>
      </c>
      <c r="AX103" t="s">
        <v>43</v>
      </c>
      <c r="AZ103" t="s">
        <v>43</v>
      </c>
    </row>
    <row r="104" spans="2:52" x14ac:dyDescent="0.2">
      <c r="B104" s="33" t="s">
        <v>46</v>
      </c>
      <c r="C104" s="33"/>
      <c r="D104" t="s">
        <v>43</v>
      </c>
      <c r="E104" s="9">
        <f t="shared" si="29"/>
        <v>88.080833228697003</v>
      </c>
      <c r="F104">
        <v>25</v>
      </c>
      <c r="G104" t="s">
        <v>43</v>
      </c>
      <c r="I104">
        <v>8</v>
      </c>
      <c r="J104">
        <v>0.6</v>
      </c>
      <c r="L104" t="s">
        <v>43</v>
      </c>
      <c r="M104">
        <v>215</v>
      </c>
      <c r="N104" t="s">
        <v>43</v>
      </c>
      <c r="O104" t="s">
        <v>43</v>
      </c>
      <c r="P104" t="s">
        <v>43</v>
      </c>
      <c r="Q104" t="s">
        <v>43</v>
      </c>
      <c r="R104">
        <v>60</v>
      </c>
      <c r="S104">
        <v>72</v>
      </c>
      <c r="T104" t="s">
        <v>43</v>
      </c>
      <c r="U104" t="s">
        <v>43</v>
      </c>
      <c r="Y104" t="s">
        <v>43</v>
      </c>
      <c r="Z104" t="s">
        <v>43</v>
      </c>
      <c r="AA104" t="s">
        <v>43</v>
      </c>
      <c r="AB104" t="s">
        <v>43</v>
      </c>
      <c r="AC104" t="s">
        <v>43</v>
      </c>
      <c r="AD104" t="s">
        <v>43</v>
      </c>
      <c r="AE104" t="s">
        <v>43</v>
      </c>
      <c r="AF104" t="s">
        <v>43</v>
      </c>
      <c r="AG104" t="s">
        <v>43</v>
      </c>
      <c r="AH104" t="s">
        <v>43</v>
      </c>
      <c r="AI104" t="s">
        <v>43</v>
      </c>
      <c r="AJ104" t="s">
        <v>43</v>
      </c>
      <c r="AL104" s="33"/>
      <c r="AT104" t="s">
        <v>43</v>
      </c>
      <c r="AU104" t="s">
        <v>43</v>
      </c>
      <c r="AV104">
        <v>1</v>
      </c>
      <c r="AX104" t="s">
        <v>43</v>
      </c>
      <c r="AZ104" t="s">
        <v>43</v>
      </c>
    </row>
    <row r="105" spans="2:52" x14ac:dyDescent="0.2">
      <c r="B105" s="33" t="s">
        <v>46</v>
      </c>
      <c r="C105" s="33"/>
      <c r="D105" t="s">
        <v>43</v>
      </c>
      <c r="E105" s="9">
        <f t="shared" si="29"/>
        <v>88.080833228697003</v>
      </c>
      <c r="F105">
        <v>33</v>
      </c>
      <c r="G105" t="s">
        <v>43</v>
      </c>
      <c r="I105">
        <v>7.5</v>
      </c>
      <c r="J105">
        <v>0.61</v>
      </c>
      <c r="L105" t="s">
        <v>43</v>
      </c>
      <c r="M105">
        <v>233</v>
      </c>
      <c r="N105" t="s">
        <v>43</v>
      </c>
      <c r="O105" t="s">
        <v>43</v>
      </c>
      <c r="P105" t="s">
        <v>43</v>
      </c>
      <c r="Q105" t="s">
        <v>43</v>
      </c>
      <c r="R105">
        <v>63</v>
      </c>
      <c r="S105">
        <v>73</v>
      </c>
      <c r="T105" t="s">
        <v>43</v>
      </c>
      <c r="U105" t="s">
        <v>43</v>
      </c>
      <c r="Y105" t="s">
        <v>43</v>
      </c>
      <c r="Z105" t="s">
        <v>43</v>
      </c>
      <c r="AA105" t="s">
        <v>43</v>
      </c>
      <c r="AB105" t="s">
        <v>43</v>
      </c>
      <c r="AC105" t="s">
        <v>43</v>
      </c>
      <c r="AD105" t="s">
        <v>43</v>
      </c>
      <c r="AE105" t="s">
        <v>43</v>
      </c>
      <c r="AF105" t="s">
        <v>43</v>
      </c>
      <c r="AG105" t="s">
        <v>43</v>
      </c>
      <c r="AH105" t="s">
        <v>43</v>
      </c>
      <c r="AI105" t="s">
        <v>43</v>
      </c>
      <c r="AJ105" t="s">
        <v>43</v>
      </c>
      <c r="AL105" s="33"/>
      <c r="AT105" t="s">
        <v>43</v>
      </c>
      <c r="AU105" t="s">
        <v>43</v>
      </c>
      <c r="AV105">
        <v>1</v>
      </c>
      <c r="AX105" t="s">
        <v>43</v>
      </c>
      <c r="AZ105" t="s">
        <v>43</v>
      </c>
    </row>
    <row r="106" spans="2:52" x14ac:dyDescent="0.2">
      <c r="B106" s="33" t="s">
        <v>46</v>
      </c>
      <c r="C106" s="33"/>
      <c r="D106" t="s">
        <v>43</v>
      </c>
      <c r="E106" s="9">
        <f t="shared" si="29"/>
        <v>88.080833228697003</v>
      </c>
      <c r="F106">
        <v>33</v>
      </c>
      <c r="G106" t="s">
        <v>43</v>
      </c>
      <c r="I106">
        <v>7.2</v>
      </c>
      <c r="J106">
        <v>0.77</v>
      </c>
      <c r="L106" t="s">
        <v>43</v>
      </c>
      <c r="M106">
        <v>210</v>
      </c>
      <c r="N106" t="s">
        <v>43</v>
      </c>
      <c r="O106" t="s">
        <v>43</v>
      </c>
      <c r="P106" t="s">
        <v>43</v>
      </c>
      <c r="Q106" t="s">
        <v>43</v>
      </c>
      <c r="R106">
        <v>48</v>
      </c>
      <c r="S106">
        <v>77</v>
      </c>
      <c r="T106" t="s">
        <v>43</v>
      </c>
      <c r="U106" t="s">
        <v>43</v>
      </c>
      <c r="Y106" t="s">
        <v>43</v>
      </c>
      <c r="Z106" t="s">
        <v>43</v>
      </c>
      <c r="AA106" t="s">
        <v>43</v>
      </c>
      <c r="AB106" t="s">
        <v>43</v>
      </c>
      <c r="AC106" t="s">
        <v>43</v>
      </c>
      <c r="AD106" t="s">
        <v>43</v>
      </c>
      <c r="AE106" t="s">
        <v>43</v>
      </c>
      <c r="AF106" t="s">
        <v>43</v>
      </c>
      <c r="AG106" t="s">
        <v>43</v>
      </c>
      <c r="AH106" t="s">
        <v>43</v>
      </c>
      <c r="AI106" t="s">
        <v>43</v>
      </c>
      <c r="AJ106" t="s">
        <v>43</v>
      </c>
      <c r="AL106" s="33"/>
      <c r="AT106" t="s">
        <v>43</v>
      </c>
      <c r="AU106" t="s">
        <v>43</v>
      </c>
      <c r="AV106">
        <v>1</v>
      </c>
      <c r="AX106" t="s">
        <v>43</v>
      </c>
      <c r="AZ106" t="s">
        <v>43</v>
      </c>
    </row>
    <row r="107" spans="2:52" ht="15" x14ac:dyDescent="0.25">
      <c r="B107" s="33" t="s">
        <v>46</v>
      </c>
      <c r="C107" s="33"/>
      <c r="D107" t="s">
        <v>318</v>
      </c>
      <c r="E107">
        <v>14400</v>
      </c>
      <c r="F107" t="s">
        <v>320</v>
      </c>
      <c r="G107" t="s">
        <v>43</v>
      </c>
      <c r="H107" s="13">
        <f>14.8/24</f>
        <v>0.6166666666666667</v>
      </c>
      <c r="I107">
        <v>10.199999999999999</v>
      </c>
      <c r="J107" s="12">
        <f t="shared" ref="J107:J118" si="30">((M107*(E107/I107)*24)/1000)/E107</f>
        <v>1.2682352941176471</v>
      </c>
      <c r="L107">
        <v>398</v>
      </c>
      <c r="M107">
        <v>539</v>
      </c>
      <c r="N107">
        <v>132</v>
      </c>
      <c r="O107" s="9">
        <f t="shared" ref="O107:O136" si="31">((L107-N107)/L107)*100</f>
        <v>66.834170854271363</v>
      </c>
      <c r="P107" t="s">
        <v>43</v>
      </c>
      <c r="Q107" t="s">
        <v>43</v>
      </c>
      <c r="R107">
        <v>274</v>
      </c>
      <c r="S107" s="9">
        <f t="shared" ref="S107:S143" si="32">((M107-R107)/M107)*100</f>
        <v>49.165120593692023</v>
      </c>
      <c r="T107" t="s">
        <v>43</v>
      </c>
      <c r="U107" t="s">
        <v>43</v>
      </c>
      <c r="Y107" t="s">
        <v>43</v>
      </c>
      <c r="Z107" t="s">
        <v>43</v>
      </c>
      <c r="AA107" t="s">
        <v>43</v>
      </c>
      <c r="AB107" t="s">
        <v>43</v>
      </c>
      <c r="AC107" t="s">
        <v>43</v>
      </c>
      <c r="AD107" t="s">
        <v>43</v>
      </c>
      <c r="AE107" t="s">
        <v>43</v>
      </c>
      <c r="AF107" t="s">
        <v>43</v>
      </c>
      <c r="AG107" t="s">
        <v>43</v>
      </c>
      <c r="AH107" t="s">
        <v>43</v>
      </c>
      <c r="AI107" t="s">
        <v>43</v>
      </c>
      <c r="AJ107" t="s">
        <v>43</v>
      </c>
      <c r="AL107" s="33" t="s">
        <v>117</v>
      </c>
      <c r="AT107" t="s">
        <v>43</v>
      </c>
      <c r="AU107" t="s">
        <v>43</v>
      </c>
      <c r="AV107">
        <v>1</v>
      </c>
      <c r="AX107" t="s">
        <v>43</v>
      </c>
      <c r="AZ107" t="s">
        <v>43</v>
      </c>
    </row>
    <row r="108" spans="2:52" ht="15" x14ac:dyDescent="0.25">
      <c r="B108" s="33" t="s">
        <v>46</v>
      </c>
      <c r="C108" s="33"/>
      <c r="D108" t="s">
        <v>318</v>
      </c>
      <c r="E108">
        <v>30240</v>
      </c>
      <c r="F108" t="s">
        <v>320</v>
      </c>
      <c r="G108" t="s">
        <v>43</v>
      </c>
      <c r="H108" s="13">
        <f>13.5/24</f>
        <v>0.5625</v>
      </c>
      <c r="I108">
        <v>9.3000000000000007</v>
      </c>
      <c r="J108" s="12">
        <f t="shared" si="30"/>
        <v>0.65032258064516124</v>
      </c>
      <c r="L108">
        <v>121</v>
      </c>
      <c r="M108">
        <v>252</v>
      </c>
      <c r="N108">
        <v>72</v>
      </c>
      <c r="O108" s="9">
        <f t="shared" si="31"/>
        <v>40.495867768595041</v>
      </c>
      <c r="P108" t="s">
        <v>43</v>
      </c>
      <c r="Q108" t="s">
        <v>43</v>
      </c>
      <c r="R108">
        <v>143</v>
      </c>
      <c r="S108" s="9">
        <f t="shared" si="32"/>
        <v>43.253968253968253</v>
      </c>
      <c r="T108" t="s">
        <v>43</v>
      </c>
      <c r="U108" t="s">
        <v>43</v>
      </c>
      <c r="Y108" t="s">
        <v>43</v>
      </c>
      <c r="Z108" t="s">
        <v>43</v>
      </c>
      <c r="AA108" t="s">
        <v>43</v>
      </c>
      <c r="AB108" t="s">
        <v>43</v>
      </c>
      <c r="AC108" t="s">
        <v>43</v>
      </c>
      <c r="AD108" t="s">
        <v>43</v>
      </c>
      <c r="AE108" t="s">
        <v>43</v>
      </c>
      <c r="AF108" t="s">
        <v>43</v>
      </c>
      <c r="AG108" t="s">
        <v>43</v>
      </c>
      <c r="AH108" t="s">
        <v>43</v>
      </c>
      <c r="AI108" t="s">
        <v>43</v>
      </c>
      <c r="AJ108" t="s">
        <v>43</v>
      </c>
      <c r="AL108" s="33"/>
      <c r="AT108" t="s">
        <v>43</v>
      </c>
      <c r="AU108" t="s">
        <v>43</v>
      </c>
      <c r="AV108">
        <v>1</v>
      </c>
      <c r="AX108" t="s">
        <v>43</v>
      </c>
      <c r="AZ108" t="s">
        <v>43</v>
      </c>
    </row>
    <row r="109" spans="2:52" ht="15" x14ac:dyDescent="0.25">
      <c r="B109" s="33" t="s">
        <v>46</v>
      </c>
      <c r="C109" s="33"/>
      <c r="D109" t="s">
        <v>318</v>
      </c>
      <c r="E109">
        <v>15206</v>
      </c>
      <c r="F109" t="s">
        <v>320</v>
      </c>
      <c r="G109" t="s">
        <v>43</v>
      </c>
      <c r="H109" s="13">
        <f>13.6/24</f>
        <v>0.56666666666666665</v>
      </c>
      <c r="I109">
        <v>8.5</v>
      </c>
      <c r="J109" s="12">
        <f t="shared" si="30"/>
        <v>1.5981176470588239</v>
      </c>
      <c r="L109">
        <v>386</v>
      </c>
      <c r="M109">
        <v>566</v>
      </c>
      <c r="N109">
        <v>114</v>
      </c>
      <c r="O109" s="9">
        <f t="shared" si="31"/>
        <v>70.466321243523311</v>
      </c>
      <c r="P109" t="s">
        <v>43</v>
      </c>
      <c r="Q109" t="s">
        <v>43</v>
      </c>
      <c r="R109">
        <v>139</v>
      </c>
      <c r="S109" s="9">
        <f t="shared" si="32"/>
        <v>75.441696113074215</v>
      </c>
      <c r="T109" t="s">
        <v>43</v>
      </c>
      <c r="U109" t="s">
        <v>43</v>
      </c>
      <c r="Y109" t="s">
        <v>43</v>
      </c>
      <c r="Z109" t="s">
        <v>43</v>
      </c>
      <c r="AA109" t="s">
        <v>43</v>
      </c>
      <c r="AB109" t="s">
        <v>43</v>
      </c>
      <c r="AC109" t="s">
        <v>43</v>
      </c>
      <c r="AD109" t="s">
        <v>43</v>
      </c>
      <c r="AE109" t="s">
        <v>43</v>
      </c>
      <c r="AF109" t="s">
        <v>43</v>
      </c>
      <c r="AG109" t="s">
        <v>43</v>
      </c>
      <c r="AH109" t="s">
        <v>43</v>
      </c>
      <c r="AI109" t="s">
        <v>43</v>
      </c>
      <c r="AJ109" t="s">
        <v>43</v>
      </c>
      <c r="AL109" s="33"/>
      <c r="AT109" t="s">
        <v>43</v>
      </c>
      <c r="AU109" t="s">
        <v>43</v>
      </c>
      <c r="AV109">
        <v>1</v>
      </c>
      <c r="AX109" t="s">
        <v>43</v>
      </c>
      <c r="AZ109" t="s">
        <v>43</v>
      </c>
    </row>
    <row r="110" spans="2:52" ht="15" x14ac:dyDescent="0.25">
      <c r="B110" s="33" t="s">
        <v>46</v>
      </c>
      <c r="C110" s="33"/>
      <c r="D110" t="s">
        <v>318</v>
      </c>
      <c r="E110">
        <v>14746</v>
      </c>
      <c r="F110" t="s">
        <v>320</v>
      </c>
      <c r="G110" t="s">
        <v>43</v>
      </c>
      <c r="H110" s="13">
        <f>13/24</f>
        <v>0.54166666666666663</v>
      </c>
      <c r="I110">
        <v>8.8000000000000007</v>
      </c>
      <c r="J110" s="12">
        <f t="shared" si="30"/>
        <v>0.80727272727272714</v>
      </c>
      <c r="L110">
        <v>151</v>
      </c>
      <c r="M110">
        <v>296</v>
      </c>
      <c r="N110">
        <v>58</v>
      </c>
      <c r="O110" s="9">
        <f t="shared" si="31"/>
        <v>61.589403973509938</v>
      </c>
      <c r="P110" t="s">
        <v>43</v>
      </c>
      <c r="Q110" t="s">
        <v>43</v>
      </c>
      <c r="R110">
        <v>111</v>
      </c>
      <c r="S110" s="9">
        <f t="shared" si="32"/>
        <v>62.5</v>
      </c>
      <c r="T110" t="s">
        <v>43</v>
      </c>
      <c r="U110" t="s">
        <v>43</v>
      </c>
      <c r="Y110" t="s">
        <v>43</v>
      </c>
      <c r="Z110" t="s">
        <v>43</v>
      </c>
      <c r="AA110" t="s">
        <v>43</v>
      </c>
      <c r="AB110" t="s">
        <v>43</v>
      </c>
      <c r="AC110" t="s">
        <v>43</v>
      </c>
      <c r="AD110" t="s">
        <v>43</v>
      </c>
      <c r="AE110" t="s">
        <v>43</v>
      </c>
      <c r="AF110" t="s">
        <v>43</v>
      </c>
      <c r="AG110" t="s">
        <v>43</v>
      </c>
      <c r="AH110" t="s">
        <v>43</v>
      </c>
      <c r="AI110" t="s">
        <v>43</v>
      </c>
      <c r="AJ110" t="s">
        <v>43</v>
      </c>
      <c r="AL110" s="33"/>
      <c r="AT110" t="s">
        <v>43</v>
      </c>
      <c r="AU110" t="s">
        <v>43</v>
      </c>
      <c r="AV110">
        <v>1</v>
      </c>
      <c r="AX110" t="s">
        <v>43</v>
      </c>
      <c r="AZ110" t="s">
        <v>43</v>
      </c>
    </row>
    <row r="111" spans="2:52" ht="15" x14ac:dyDescent="0.25">
      <c r="B111" s="33" t="s">
        <v>46</v>
      </c>
      <c r="C111" s="33"/>
      <c r="D111" t="s">
        <v>318</v>
      </c>
      <c r="E111">
        <v>19584</v>
      </c>
      <c r="F111" t="s">
        <v>320</v>
      </c>
      <c r="G111" t="s">
        <v>43</v>
      </c>
      <c r="H111" s="13">
        <f>12.5/24</f>
        <v>0.52083333333333337</v>
      </c>
      <c r="I111">
        <v>9.8000000000000007</v>
      </c>
      <c r="J111" s="12">
        <f t="shared" si="30"/>
        <v>1.9493877551020407</v>
      </c>
      <c r="L111">
        <v>791</v>
      </c>
      <c r="M111">
        <v>796</v>
      </c>
      <c r="N111">
        <v>386</v>
      </c>
      <c r="O111" s="9">
        <f t="shared" si="31"/>
        <v>51.201011378002526</v>
      </c>
      <c r="P111" t="s">
        <v>43</v>
      </c>
      <c r="Q111" t="s">
        <v>43</v>
      </c>
      <c r="R111">
        <v>667</v>
      </c>
      <c r="S111" s="9">
        <f t="shared" si="32"/>
        <v>16.206030150753769</v>
      </c>
      <c r="T111" t="s">
        <v>43</v>
      </c>
      <c r="U111" t="s">
        <v>43</v>
      </c>
      <c r="Y111" t="s">
        <v>43</v>
      </c>
      <c r="Z111" t="s">
        <v>43</v>
      </c>
      <c r="AA111" t="s">
        <v>43</v>
      </c>
      <c r="AB111" t="s">
        <v>43</v>
      </c>
      <c r="AC111" t="s">
        <v>43</v>
      </c>
      <c r="AD111" t="s">
        <v>43</v>
      </c>
      <c r="AE111" t="s">
        <v>43</v>
      </c>
      <c r="AF111" t="s">
        <v>43</v>
      </c>
      <c r="AG111" t="s">
        <v>43</v>
      </c>
      <c r="AH111" t="s">
        <v>43</v>
      </c>
      <c r="AI111" t="s">
        <v>43</v>
      </c>
      <c r="AJ111" t="s">
        <v>43</v>
      </c>
      <c r="AL111" s="33"/>
      <c r="AT111" t="s">
        <v>43</v>
      </c>
      <c r="AU111" t="s">
        <v>43</v>
      </c>
      <c r="AV111">
        <v>1</v>
      </c>
      <c r="AX111" t="s">
        <v>43</v>
      </c>
      <c r="AZ111" t="s">
        <v>43</v>
      </c>
    </row>
    <row r="112" spans="2:52" ht="15" x14ac:dyDescent="0.25">
      <c r="B112" s="33" t="s">
        <v>46</v>
      </c>
      <c r="C112" s="33"/>
      <c r="D112" t="s">
        <v>318</v>
      </c>
      <c r="E112">
        <v>74419</v>
      </c>
      <c r="F112" t="s">
        <v>320</v>
      </c>
      <c r="G112" t="s">
        <v>43</v>
      </c>
      <c r="H112" s="13">
        <f>10.4/24</f>
        <v>0.43333333333333335</v>
      </c>
      <c r="I112">
        <v>11.8</v>
      </c>
      <c r="J112" s="12">
        <f t="shared" si="30"/>
        <v>1.1125423728813557</v>
      </c>
      <c r="L112">
        <v>894</v>
      </c>
      <c r="M112">
        <v>547</v>
      </c>
      <c r="N112">
        <v>452</v>
      </c>
      <c r="O112" s="9">
        <f t="shared" si="31"/>
        <v>49.440715883668908</v>
      </c>
      <c r="P112" t="s">
        <v>43</v>
      </c>
      <c r="Q112" t="s">
        <v>43</v>
      </c>
      <c r="R112">
        <v>245</v>
      </c>
      <c r="S112" s="9">
        <f t="shared" si="32"/>
        <v>55.210237659963433</v>
      </c>
      <c r="T112" t="s">
        <v>43</v>
      </c>
      <c r="U112" t="s">
        <v>43</v>
      </c>
      <c r="Y112" t="s">
        <v>43</v>
      </c>
      <c r="Z112" t="s">
        <v>43</v>
      </c>
      <c r="AA112" t="s">
        <v>43</v>
      </c>
      <c r="AB112" t="s">
        <v>43</v>
      </c>
      <c r="AC112" t="s">
        <v>43</v>
      </c>
      <c r="AD112" t="s">
        <v>43</v>
      </c>
      <c r="AE112" t="s">
        <v>43</v>
      </c>
      <c r="AF112" t="s">
        <v>43</v>
      </c>
      <c r="AG112" t="s">
        <v>43</v>
      </c>
      <c r="AH112" t="s">
        <v>43</v>
      </c>
      <c r="AI112" t="s">
        <v>43</v>
      </c>
      <c r="AJ112" t="s">
        <v>43</v>
      </c>
      <c r="AL112" s="33"/>
      <c r="AT112" t="s">
        <v>43</v>
      </c>
      <c r="AU112" t="s">
        <v>43</v>
      </c>
      <c r="AV112">
        <v>1</v>
      </c>
      <c r="AX112" t="s">
        <v>43</v>
      </c>
      <c r="AZ112" t="s">
        <v>43</v>
      </c>
    </row>
    <row r="113" spans="2:52" ht="15" x14ac:dyDescent="0.25">
      <c r="B113" s="33" t="s">
        <v>46</v>
      </c>
      <c r="C113" s="33"/>
      <c r="D113" t="s">
        <v>318</v>
      </c>
      <c r="E113">
        <v>44064</v>
      </c>
      <c r="F113" t="s">
        <v>320</v>
      </c>
      <c r="G113" t="s">
        <v>43</v>
      </c>
      <c r="H113" s="13">
        <f>12.8/24</f>
        <v>0.53333333333333333</v>
      </c>
      <c r="I113">
        <v>9.5</v>
      </c>
      <c r="J113" s="12">
        <f t="shared" si="30"/>
        <v>0.9701052631578948</v>
      </c>
      <c r="L113">
        <v>292</v>
      </c>
      <c r="M113">
        <v>384</v>
      </c>
      <c r="N113">
        <v>242</v>
      </c>
      <c r="O113" s="9">
        <f t="shared" si="31"/>
        <v>17.123287671232877</v>
      </c>
      <c r="P113" t="s">
        <v>43</v>
      </c>
      <c r="Q113" t="s">
        <v>43</v>
      </c>
      <c r="R113">
        <v>206</v>
      </c>
      <c r="S113" s="9">
        <f t="shared" si="32"/>
        <v>46.354166666666671</v>
      </c>
      <c r="T113" t="s">
        <v>43</v>
      </c>
      <c r="U113" t="s">
        <v>43</v>
      </c>
      <c r="Y113" t="s">
        <v>43</v>
      </c>
      <c r="Z113" t="s">
        <v>43</v>
      </c>
      <c r="AA113" t="s">
        <v>43</v>
      </c>
      <c r="AB113" t="s">
        <v>43</v>
      </c>
      <c r="AC113" t="s">
        <v>43</v>
      </c>
      <c r="AD113" t="s">
        <v>43</v>
      </c>
      <c r="AE113" t="s">
        <v>43</v>
      </c>
      <c r="AF113" t="s">
        <v>43</v>
      </c>
      <c r="AG113" t="s">
        <v>43</v>
      </c>
      <c r="AH113" t="s">
        <v>43</v>
      </c>
      <c r="AI113" t="s">
        <v>43</v>
      </c>
      <c r="AJ113" t="s">
        <v>43</v>
      </c>
      <c r="AL113" s="33"/>
      <c r="AT113" t="s">
        <v>43</v>
      </c>
      <c r="AU113" t="s">
        <v>43</v>
      </c>
      <c r="AV113">
        <v>1</v>
      </c>
      <c r="AX113" t="s">
        <v>43</v>
      </c>
      <c r="AZ113" t="s">
        <v>43</v>
      </c>
    </row>
    <row r="114" spans="2:52" ht="15" x14ac:dyDescent="0.25">
      <c r="B114" s="33" t="s">
        <v>46</v>
      </c>
      <c r="C114" s="33"/>
      <c r="D114" t="s">
        <v>318</v>
      </c>
      <c r="E114">
        <v>16397</v>
      </c>
      <c r="F114" t="s">
        <v>320</v>
      </c>
      <c r="G114" t="s">
        <v>43</v>
      </c>
      <c r="H114" s="13">
        <f>14.1/24</f>
        <v>0.58750000000000002</v>
      </c>
      <c r="I114">
        <v>10.4</v>
      </c>
      <c r="J114" s="12">
        <f t="shared" si="30"/>
        <v>0.87461538461538446</v>
      </c>
      <c r="L114">
        <v>326</v>
      </c>
      <c r="M114">
        <v>379</v>
      </c>
      <c r="N114">
        <v>141</v>
      </c>
      <c r="O114" s="9">
        <f t="shared" si="31"/>
        <v>56.748466257668717</v>
      </c>
      <c r="P114" t="s">
        <v>43</v>
      </c>
      <c r="Q114" t="s">
        <v>43</v>
      </c>
      <c r="R114">
        <v>158</v>
      </c>
      <c r="S114" s="9">
        <f t="shared" si="32"/>
        <v>58.311345646437992</v>
      </c>
      <c r="T114" t="s">
        <v>43</v>
      </c>
      <c r="U114" t="s">
        <v>43</v>
      </c>
      <c r="Y114" t="s">
        <v>43</v>
      </c>
      <c r="Z114" t="s">
        <v>43</v>
      </c>
      <c r="AA114" t="s">
        <v>43</v>
      </c>
      <c r="AB114" t="s">
        <v>43</v>
      </c>
      <c r="AC114" t="s">
        <v>43</v>
      </c>
      <c r="AD114" t="s">
        <v>43</v>
      </c>
      <c r="AE114" t="s">
        <v>43</v>
      </c>
      <c r="AF114" t="s">
        <v>43</v>
      </c>
      <c r="AG114" t="s">
        <v>43</v>
      </c>
      <c r="AH114" t="s">
        <v>43</v>
      </c>
      <c r="AI114" t="s">
        <v>43</v>
      </c>
      <c r="AJ114" t="s">
        <v>43</v>
      </c>
      <c r="AL114" s="33"/>
      <c r="AT114" t="s">
        <v>43</v>
      </c>
      <c r="AU114" t="s">
        <v>43</v>
      </c>
      <c r="AV114">
        <v>1</v>
      </c>
      <c r="AX114" t="s">
        <v>43</v>
      </c>
      <c r="AZ114" t="s">
        <v>43</v>
      </c>
    </row>
    <row r="115" spans="2:52" ht="15" x14ac:dyDescent="0.25">
      <c r="B115" s="33" t="s">
        <v>46</v>
      </c>
      <c r="C115" s="33"/>
      <c r="D115" t="s">
        <v>318</v>
      </c>
      <c r="E115">
        <v>12298</v>
      </c>
      <c r="F115" t="s">
        <v>321</v>
      </c>
      <c r="G115" t="s">
        <v>43</v>
      </c>
      <c r="H115" s="13">
        <f>13.4/24</f>
        <v>0.55833333333333335</v>
      </c>
      <c r="I115">
        <v>10.9</v>
      </c>
      <c r="J115" s="12">
        <f t="shared" si="30"/>
        <v>1.664587155963303</v>
      </c>
      <c r="L115">
        <v>361</v>
      </c>
      <c r="M115">
        <v>756</v>
      </c>
      <c r="N115">
        <v>146</v>
      </c>
      <c r="O115" s="9">
        <f t="shared" si="31"/>
        <v>59.556786703601105</v>
      </c>
      <c r="P115" t="s">
        <v>43</v>
      </c>
      <c r="Q115" t="s">
        <v>43</v>
      </c>
      <c r="R115">
        <v>450</v>
      </c>
      <c r="S115" s="9">
        <f t="shared" si="32"/>
        <v>40.476190476190474</v>
      </c>
      <c r="T115" t="s">
        <v>43</v>
      </c>
      <c r="U115" t="s">
        <v>43</v>
      </c>
      <c r="Y115" t="s">
        <v>43</v>
      </c>
      <c r="Z115" t="s">
        <v>43</v>
      </c>
      <c r="AA115" t="s">
        <v>43</v>
      </c>
      <c r="AB115" t="s">
        <v>43</v>
      </c>
      <c r="AC115" t="s">
        <v>43</v>
      </c>
      <c r="AD115" t="s">
        <v>43</v>
      </c>
      <c r="AE115" t="s">
        <v>43</v>
      </c>
      <c r="AF115" t="s">
        <v>43</v>
      </c>
      <c r="AG115" t="s">
        <v>43</v>
      </c>
      <c r="AH115" t="s">
        <v>43</v>
      </c>
      <c r="AI115" t="s">
        <v>43</v>
      </c>
      <c r="AJ115" t="s">
        <v>43</v>
      </c>
      <c r="AL115" s="33"/>
      <c r="AT115" t="s">
        <v>43</v>
      </c>
      <c r="AU115" t="s">
        <v>43</v>
      </c>
      <c r="AV115">
        <v>1</v>
      </c>
      <c r="AX115" t="s">
        <v>43</v>
      </c>
      <c r="AZ115" t="s">
        <v>43</v>
      </c>
    </row>
    <row r="116" spans="2:52" ht="15" x14ac:dyDescent="0.25">
      <c r="B116" s="33" t="s">
        <v>46</v>
      </c>
      <c r="C116" s="33"/>
      <c r="D116" t="s">
        <v>318</v>
      </c>
      <c r="E116">
        <v>14400</v>
      </c>
      <c r="F116" t="s">
        <v>321</v>
      </c>
      <c r="G116" t="s">
        <v>43</v>
      </c>
      <c r="H116" s="13">
        <f>14.8/24</f>
        <v>0.6166666666666667</v>
      </c>
      <c r="I116">
        <v>10.199999999999999</v>
      </c>
      <c r="J116" s="12">
        <f t="shared" si="30"/>
        <v>1.331764705882353</v>
      </c>
      <c r="L116">
        <v>274</v>
      </c>
      <c r="M116">
        <v>566</v>
      </c>
      <c r="N116">
        <v>128</v>
      </c>
      <c r="O116" s="9">
        <f t="shared" si="31"/>
        <v>53.284671532846716</v>
      </c>
      <c r="P116" t="s">
        <v>43</v>
      </c>
      <c r="Q116" t="s">
        <v>43</v>
      </c>
      <c r="R116">
        <v>277</v>
      </c>
      <c r="S116" s="9">
        <f t="shared" si="32"/>
        <v>51.060070671378085</v>
      </c>
      <c r="T116" t="s">
        <v>43</v>
      </c>
      <c r="U116" t="s">
        <v>43</v>
      </c>
      <c r="Y116" t="s">
        <v>43</v>
      </c>
      <c r="Z116" t="s">
        <v>43</v>
      </c>
      <c r="AA116" t="s">
        <v>43</v>
      </c>
      <c r="AB116" t="s">
        <v>43</v>
      </c>
      <c r="AC116" t="s">
        <v>43</v>
      </c>
      <c r="AD116" t="s">
        <v>43</v>
      </c>
      <c r="AE116" t="s">
        <v>43</v>
      </c>
      <c r="AF116" t="s">
        <v>43</v>
      </c>
      <c r="AG116" t="s">
        <v>43</v>
      </c>
      <c r="AH116" t="s">
        <v>43</v>
      </c>
      <c r="AI116" t="s">
        <v>43</v>
      </c>
      <c r="AJ116" t="s">
        <v>43</v>
      </c>
      <c r="AL116" s="33"/>
      <c r="AT116" t="s">
        <v>43</v>
      </c>
      <c r="AU116" t="s">
        <v>43</v>
      </c>
      <c r="AV116">
        <v>1</v>
      </c>
      <c r="AX116" t="s">
        <v>43</v>
      </c>
      <c r="AZ116" t="s">
        <v>43</v>
      </c>
    </row>
    <row r="117" spans="2:52" ht="15" x14ac:dyDescent="0.25">
      <c r="B117" s="33" t="s">
        <v>46</v>
      </c>
      <c r="C117" s="33"/>
      <c r="D117" t="s">
        <v>318</v>
      </c>
      <c r="E117">
        <v>59520</v>
      </c>
      <c r="F117" t="s">
        <v>321</v>
      </c>
      <c r="G117" t="s">
        <v>43</v>
      </c>
      <c r="H117" s="13">
        <f>12.5/24</f>
        <v>0.52083333333333337</v>
      </c>
      <c r="I117">
        <v>14.3</v>
      </c>
      <c r="J117" s="12">
        <f t="shared" si="30"/>
        <v>1.1563636363636363</v>
      </c>
      <c r="L117">
        <v>236</v>
      </c>
      <c r="M117">
        <v>689</v>
      </c>
      <c r="N117">
        <v>142</v>
      </c>
      <c r="O117" s="9">
        <f t="shared" si="31"/>
        <v>39.83050847457627</v>
      </c>
      <c r="P117" t="s">
        <v>43</v>
      </c>
      <c r="Q117" t="s">
        <v>43</v>
      </c>
      <c r="R117">
        <v>403</v>
      </c>
      <c r="S117" s="9">
        <f t="shared" si="32"/>
        <v>41.509433962264154</v>
      </c>
      <c r="T117" t="s">
        <v>43</v>
      </c>
      <c r="U117" t="s">
        <v>43</v>
      </c>
      <c r="Y117" t="s">
        <v>43</v>
      </c>
      <c r="Z117" t="s">
        <v>43</v>
      </c>
      <c r="AA117" t="s">
        <v>43</v>
      </c>
      <c r="AB117" t="s">
        <v>43</v>
      </c>
      <c r="AC117" t="s">
        <v>43</v>
      </c>
      <c r="AD117" t="s">
        <v>43</v>
      </c>
      <c r="AE117" t="s">
        <v>43</v>
      </c>
      <c r="AF117" t="s">
        <v>43</v>
      </c>
      <c r="AG117" t="s">
        <v>43</v>
      </c>
      <c r="AH117" t="s">
        <v>43</v>
      </c>
      <c r="AI117" t="s">
        <v>43</v>
      </c>
      <c r="AJ117" t="s">
        <v>43</v>
      </c>
      <c r="AL117" s="33"/>
      <c r="AT117" t="s">
        <v>43</v>
      </c>
      <c r="AU117" t="s">
        <v>43</v>
      </c>
      <c r="AV117">
        <v>1</v>
      </c>
      <c r="AX117" t="s">
        <v>43</v>
      </c>
      <c r="AZ117" t="s">
        <v>43</v>
      </c>
    </row>
    <row r="118" spans="2:52" ht="15" x14ac:dyDescent="0.25">
      <c r="B118" s="33" t="s">
        <v>46</v>
      </c>
      <c r="C118" s="33"/>
      <c r="D118" t="s">
        <v>43</v>
      </c>
      <c r="E118">
        <v>0.106</v>
      </c>
      <c r="F118">
        <v>35</v>
      </c>
      <c r="G118" t="s">
        <v>43</v>
      </c>
      <c r="H118">
        <v>0.7</v>
      </c>
      <c r="I118">
        <v>4</v>
      </c>
      <c r="J118" s="12">
        <f t="shared" si="30"/>
        <v>2.0460000000000003</v>
      </c>
      <c r="L118">
        <v>88</v>
      </c>
      <c r="M118">
        <v>341</v>
      </c>
      <c r="N118">
        <v>34</v>
      </c>
      <c r="O118" s="9">
        <f t="shared" si="31"/>
        <v>61.363636363636367</v>
      </c>
      <c r="P118" t="s">
        <v>43</v>
      </c>
      <c r="Q118" t="s">
        <v>43</v>
      </c>
      <c r="R118">
        <v>119</v>
      </c>
      <c r="S118" s="9">
        <f t="shared" si="32"/>
        <v>65.102639296187675</v>
      </c>
      <c r="T118" t="s">
        <v>43</v>
      </c>
      <c r="U118" t="s">
        <v>43</v>
      </c>
      <c r="Y118" t="s">
        <v>43</v>
      </c>
      <c r="Z118" t="s">
        <v>43</v>
      </c>
      <c r="AA118" t="s">
        <v>43</v>
      </c>
      <c r="AB118" t="s">
        <v>43</v>
      </c>
      <c r="AC118" t="s">
        <v>43</v>
      </c>
      <c r="AD118" t="s">
        <v>43</v>
      </c>
      <c r="AE118" t="s">
        <v>43</v>
      </c>
      <c r="AG118">
        <v>39</v>
      </c>
      <c r="AH118" t="s">
        <v>43</v>
      </c>
      <c r="AI118">
        <v>118</v>
      </c>
      <c r="AJ118" t="s">
        <v>43</v>
      </c>
      <c r="AL118" s="33" t="s">
        <v>118</v>
      </c>
      <c r="AT118">
        <v>5</v>
      </c>
      <c r="AU118">
        <v>4</v>
      </c>
      <c r="AV118">
        <v>1</v>
      </c>
      <c r="AX118">
        <f t="shared" ref="AX118" si="33">(AU118+AT118)*LN((AU118+2))</f>
        <v>16.125835223052494</v>
      </c>
      <c r="AZ118">
        <f t="shared" si="17"/>
        <v>9.8875105980129874</v>
      </c>
    </row>
    <row r="119" spans="2:52" ht="15" x14ac:dyDescent="0.25">
      <c r="B119" s="33" t="s">
        <v>46</v>
      </c>
      <c r="C119" s="33"/>
      <c r="D119" t="s">
        <v>43</v>
      </c>
      <c r="E119">
        <v>0.106</v>
      </c>
      <c r="F119">
        <v>20</v>
      </c>
      <c r="G119" t="s">
        <v>43</v>
      </c>
      <c r="H119">
        <v>0.7</v>
      </c>
      <c r="I119">
        <v>4</v>
      </c>
      <c r="J119" s="12">
        <f t="shared" ref="J119:J138" si="34">((M119*(E119/I119)*24)/1000)/E119</f>
        <v>2.544</v>
      </c>
      <c r="L119">
        <v>188</v>
      </c>
      <c r="M119">
        <v>424</v>
      </c>
      <c r="N119">
        <v>58</v>
      </c>
      <c r="O119" s="9">
        <f t="shared" si="31"/>
        <v>69.148936170212778</v>
      </c>
      <c r="P119" t="s">
        <v>43</v>
      </c>
      <c r="Q119" t="s">
        <v>43</v>
      </c>
      <c r="R119">
        <v>169</v>
      </c>
      <c r="S119" s="9">
        <f t="shared" si="32"/>
        <v>60.141509433962256</v>
      </c>
      <c r="T119" t="s">
        <v>43</v>
      </c>
      <c r="U119" t="s">
        <v>43</v>
      </c>
      <c r="Y119" t="s">
        <v>43</v>
      </c>
      <c r="Z119" t="s">
        <v>43</v>
      </c>
      <c r="AA119" t="s">
        <v>43</v>
      </c>
      <c r="AB119" t="s">
        <v>43</v>
      </c>
      <c r="AC119" t="s">
        <v>43</v>
      </c>
      <c r="AD119" t="s">
        <v>43</v>
      </c>
      <c r="AE119" t="s">
        <v>43</v>
      </c>
      <c r="AG119">
        <v>40</v>
      </c>
      <c r="AH119" t="s">
        <v>43</v>
      </c>
      <c r="AI119">
        <v>100</v>
      </c>
      <c r="AJ119" t="s">
        <v>43</v>
      </c>
      <c r="AL119" s="33"/>
      <c r="AT119">
        <v>5</v>
      </c>
      <c r="AU119">
        <v>4</v>
      </c>
      <c r="AV119">
        <v>1</v>
      </c>
      <c r="AX119">
        <f t="shared" ref="AX119:AX133" si="35">(AU119+AT119)*LN((AU119+2))</f>
        <v>16.125835223052494</v>
      </c>
      <c r="AZ119">
        <f t="shared" si="17"/>
        <v>9.8875105980129874</v>
      </c>
    </row>
    <row r="120" spans="2:52" ht="15" x14ac:dyDescent="0.25">
      <c r="B120" s="33" t="s">
        <v>46</v>
      </c>
      <c r="C120" s="33"/>
      <c r="D120" t="s">
        <v>43</v>
      </c>
      <c r="E120">
        <v>0.106</v>
      </c>
      <c r="F120">
        <v>23</v>
      </c>
      <c r="G120" t="s">
        <v>43</v>
      </c>
      <c r="H120">
        <v>0.7</v>
      </c>
      <c r="I120">
        <v>4</v>
      </c>
      <c r="J120" s="12">
        <f t="shared" si="34"/>
        <v>2.4359999999999999</v>
      </c>
      <c r="L120">
        <v>191</v>
      </c>
      <c r="M120">
        <v>406</v>
      </c>
      <c r="N120">
        <v>60</v>
      </c>
      <c r="O120" s="9">
        <f t="shared" si="31"/>
        <v>68.586387434554979</v>
      </c>
      <c r="R120">
        <v>142</v>
      </c>
      <c r="S120" s="9">
        <f t="shared" si="32"/>
        <v>65.024630541871915</v>
      </c>
      <c r="T120" t="s">
        <v>43</v>
      </c>
      <c r="U120" t="s">
        <v>43</v>
      </c>
      <c r="Y120" t="s">
        <v>43</v>
      </c>
      <c r="Z120" t="s">
        <v>43</v>
      </c>
      <c r="AA120" t="s">
        <v>43</v>
      </c>
      <c r="AB120" t="s">
        <v>43</v>
      </c>
      <c r="AC120" t="s">
        <v>43</v>
      </c>
      <c r="AD120" t="s">
        <v>43</v>
      </c>
      <c r="AE120" t="s">
        <v>43</v>
      </c>
      <c r="AG120">
        <v>43</v>
      </c>
      <c r="AH120" t="s">
        <v>43</v>
      </c>
      <c r="AI120">
        <v>119</v>
      </c>
      <c r="AJ120" t="s">
        <v>43</v>
      </c>
      <c r="AL120" s="33"/>
      <c r="AT120">
        <v>5</v>
      </c>
      <c r="AU120">
        <v>4</v>
      </c>
      <c r="AV120">
        <v>1</v>
      </c>
      <c r="AX120">
        <f t="shared" si="35"/>
        <v>16.125835223052494</v>
      </c>
      <c r="AZ120">
        <f t="shared" si="17"/>
        <v>9.8875105980129874</v>
      </c>
    </row>
    <row r="121" spans="2:52" ht="15" x14ac:dyDescent="0.25">
      <c r="B121" s="33" t="s">
        <v>46</v>
      </c>
      <c r="C121" s="33"/>
      <c r="D121" t="s">
        <v>43</v>
      </c>
      <c r="E121">
        <v>0.12</v>
      </c>
      <c r="F121" t="s">
        <v>322</v>
      </c>
      <c r="G121" t="s">
        <v>43</v>
      </c>
      <c r="H121" t="s">
        <v>43</v>
      </c>
      <c r="I121">
        <v>4</v>
      </c>
      <c r="J121" s="12">
        <f t="shared" si="34"/>
        <v>3.7619999999999996</v>
      </c>
      <c r="L121">
        <v>376</v>
      </c>
      <c r="M121">
        <v>627</v>
      </c>
      <c r="O121">
        <v>71</v>
      </c>
      <c r="S121">
        <v>74</v>
      </c>
      <c r="Y121" t="s">
        <v>43</v>
      </c>
      <c r="Z121" t="s">
        <v>323</v>
      </c>
      <c r="AA121" t="s">
        <v>43</v>
      </c>
      <c r="AB121" t="s">
        <v>43</v>
      </c>
      <c r="AC121" t="s">
        <v>43</v>
      </c>
      <c r="AD121" t="s">
        <v>43</v>
      </c>
      <c r="AE121" t="s">
        <v>43</v>
      </c>
      <c r="AG121" t="s">
        <v>43</v>
      </c>
      <c r="AH121" t="s">
        <v>43</v>
      </c>
      <c r="AI121">
        <v>80</v>
      </c>
      <c r="AL121" t="s">
        <v>119</v>
      </c>
      <c r="AN121" t="s">
        <v>324</v>
      </c>
      <c r="AT121">
        <v>4</v>
      </c>
      <c r="AU121">
        <v>4</v>
      </c>
      <c r="AV121">
        <v>1</v>
      </c>
      <c r="AX121">
        <f t="shared" si="35"/>
        <v>14.33407575382444</v>
      </c>
      <c r="AZ121">
        <f t="shared" si="17"/>
        <v>8.7888983093448783</v>
      </c>
    </row>
    <row r="122" spans="2:52" ht="15" x14ac:dyDescent="0.25">
      <c r="B122" s="33" t="s">
        <v>46</v>
      </c>
      <c r="C122" s="33"/>
      <c r="D122" t="s">
        <v>43</v>
      </c>
      <c r="E122">
        <f>0.4/1000</f>
        <v>4.0000000000000002E-4</v>
      </c>
      <c r="F122">
        <v>18.5</v>
      </c>
      <c r="G122">
        <v>220</v>
      </c>
      <c r="H122">
        <f>0.002*3600/1000</f>
        <v>7.1999999999999998E-3</v>
      </c>
      <c r="I122">
        <v>3.6</v>
      </c>
      <c r="J122" s="12">
        <f t="shared" si="34"/>
        <v>3.1666666666666665</v>
      </c>
      <c r="L122">
        <v>190</v>
      </c>
      <c r="M122">
        <v>475</v>
      </c>
      <c r="N122">
        <v>45</v>
      </c>
      <c r="O122" s="9">
        <f t="shared" si="31"/>
        <v>76.31578947368422</v>
      </c>
      <c r="P122">
        <v>30</v>
      </c>
      <c r="Q122" s="9">
        <f>((155-30)/155)*100</f>
        <v>80.645161290322577</v>
      </c>
      <c r="R122">
        <v>165</v>
      </c>
      <c r="S122" s="9">
        <f t="shared" si="32"/>
        <v>65.26315789473685</v>
      </c>
      <c r="Y122" t="s">
        <v>43</v>
      </c>
      <c r="Z122" t="s">
        <v>43</v>
      </c>
      <c r="AA122" t="s">
        <v>43</v>
      </c>
      <c r="AB122" t="s">
        <v>43</v>
      </c>
      <c r="AC122" t="s">
        <v>43</v>
      </c>
      <c r="AD122" t="s">
        <v>43</v>
      </c>
      <c r="AE122" t="s">
        <v>43</v>
      </c>
      <c r="AG122" t="s">
        <v>43</v>
      </c>
      <c r="AH122" t="s">
        <v>43</v>
      </c>
      <c r="AI122" t="s">
        <v>43</v>
      </c>
      <c r="AJ122" t="s">
        <v>43</v>
      </c>
      <c r="AL122" t="s">
        <v>325</v>
      </c>
      <c r="AT122">
        <v>2</v>
      </c>
      <c r="AU122">
        <v>3</v>
      </c>
      <c r="AV122">
        <v>1</v>
      </c>
      <c r="AX122">
        <f t="shared" si="35"/>
        <v>8.0471895621705016</v>
      </c>
      <c r="AZ122">
        <f t="shared" si="17"/>
        <v>5.4930614433405491</v>
      </c>
    </row>
    <row r="123" spans="2:52" ht="15" x14ac:dyDescent="0.25">
      <c r="B123" s="33" t="s">
        <v>46</v>
      </c>
      <c r="C123" s="33"/>
      <c r="D123" t="s">
        <v>273</v>
      </c>
      <c r="E123">
        <v>120</v>
      </c>
      <c r="F123">
        <v>19</v>
      </c>
      <c r="G123">
        <v>6</v>
      </c>
      <c r="H123" t="s">
        <v>327</v>
      </c>
      <c r="I123">
        <v>14.5</v>
      </c>
      <c r="J123" s="12">
        <f t="shared" si="34"/>
        <v>0.66206896551724137</v>
      </c>
      <c r="L123" t="s">
        <v>43</v>
      </c>
      <c r="M123">
        <v>400</v>
      </c>
      <c r="N123" t="s">
        <v>43</v>
      </c>
      <c r="O123" t="s">
        <v>43</v>
      </c>
      <c r="P123" t="s">
        <v>43</v>
      </c>
      <c r="Q123" t="s">
        <v>43</v>
      </c>
      <c r="R123">
        <v>142</v>
      </c>
      <c r="S123" s="9">
        <f t="shared" si="32"/>
        <v>64.5</v>
      </c>
      <c r="T123" s="41">
        <f>R123-V123</f>
        <v>49</v>
      </c>
      <c r="U123" s="43">
        <f>(((400-171)-T123)/(400-171))*100</f>
        <v>78.602620087336234</v>
      </c>
      <c r="V123" s="40">
        <v>93</v>
      </c>
      <c r="W123" s="42">
        <f>((171-V123)/171)*100</f>
        <v>45.614035087719294</v>
      </c>
      <c r="Y123" t="s">
        <v>43</v>
      </c>
      <c r="Z123" t="s">
        <v>43</v>
      </c>
      <c r="AA123" t="s">
        <v>43</v>
      </c>
      <c r="AB123" t="s">
        <v>43</v>
      </c>
      <c r="AC123" t="s">
        <v>43</v>
      </c>
      <c r="AD123" t="s">
        <v>43</v>
      </c>
      <c r="AE123" t="s">
        <v>43</v>
      </c>
      <c r="AJ123">
        <v>0.09</v>
      </c>
      <c r="AL123" s="33" t="s">
        <v>328</v>
      </c>
      <c r="AT123">
        <v>5</v>
      </c>
      <c r="AU123">
        <v>4</v>
      </c>
      <c r="AV123">
        <v>1</v>
      </c>
      <c r="AX123">
        <f t="shared" si="35"/>
        <v>16.125835223052494</v>
      </c>
      <c r="AZ123">
        <f t="shared" si="17"/>
        <v>9.8875105980129874</v>
      </c>
    </row>
    <row r="124" spans="2:52" ht="15" x14ac:dyDescent="0.25">
      <c r="B124" s="33" t="s">
        <v>46</v>
      </c>
      <c r="C124" s="33"/>
      <c r="D124" t="s">
        <v>273</v>
      </c>
      <c r="E124">
        <v>120</v>
      </c>
      <c r="F124">
        <v>18</v>
      </c>
      <c r="G124">
        <f>72-37</f>
        <v>35</v>
      </c>
      <c r="I124">
        <v>11</v>
      </c>
      <c r="J124" s="12">
        <f t="shared" si="34"/>
        <v>0.87927272727272721</v>
      </c>
      <c r="L124">
        <v>182</v>
      </c>
      <c r="M124">
        <v>403</v>
      </c>
      <c r="N124">
        <v>45</v>
      </c>
      <c r="O124" s="9">
        <f t="shared" si="31"/>
        <v>75.27472527472527</v>
      </c>
      <c r="P124" t="s">
        <v>43</v>
      </c>
      <c r="Q124" t="s">
        <v>43</v>
      </c>
      <c r="R124">
        <v>149</v>
      </c>
      <c r="S124" s="9">
        <f t="shared" si="32"/>
        <v>63.027295285359799</v>
      </c>
      <c r="T124" s="41">
        <f t="shared" ref="T124:T133" si="36">R124-V124</f>
        <v>64</v>
      </c>
      <c r="U124" s="43">
        <f>(((403-156)-T124)/(403-156))*100</f>
        <v>74.089068825910928</v>
      </c>
      <c r="V124" s="40">
        <v>85</v>
      </c>
      <c r="W124" s="42">
        <f>((156-V124)/156)*100</f>
        <v>45.512820512820511</v>
      </c>
      <c r="Y124" t="s">
        <v>43</v>
      </c>
      <c r="Z124" t="s">
        <v>43</v>
      </c>
      <c r="AA124" t="s">
        <v>43</v>
      </c>
      <c r="AB124" t="s">
        <v>43</v>
      </c>
      <c r="AC124" t="s">
        <v>43</v>
      </c>
      <c r="AD124" t="s">
        <v>43</v>
      </c>
      <c r="AE124" t="s">
        <v>43</v>
      </c>
      <c r="AJ124">
        <v>0.09</v>
      </c>
      <c r="AL124" s="33"/>
      <c r="AT124">
        <v>5</v>
      </c>
      <c r="AU124">
        <v>4</v>
      </c>
      <c r="AV124">
        <v>1</v>
      </c>
      <c r="AX124">
        <f t="shared" si="35"/>
        <v>16.125835223052494</v>
      </c>
      <c r="AZ124">
        <f t="shared" si="17"/>
        <v>9.8875105980129874</v>
      </c>
    </row>
    <row r="125" spans="2:52" ht="15" x14ac:dyDescent="0.25">
      <c r="B125" s="33" t="s">
        <v>46</v>
      </c>
      <c r="C125" s="33"/>
      <c r="D125" t="s">
        <v>273</v>
      </c>
      <c r="E125">
        <v>120</v>
      </c>
      <c r="F125">
        <v>21</v>
      </c>
      <c r="G125">
        <f>145-93</f>
        <v>52</v>
      </c>
      <c r="I125">
        <v>8.8000000000000007</v>
      </c>
      <c r="J125" s="12">
        <f t="shared" si="34"/>
        <v>1.1099999999999997</v>
      </c>
      <c r="L125">
        <v>195</v>
      </c>
      <c r="M125">
        <v>407</v>
      </c>
      <c r="N125">
        <v>49</v>
      </c>
      <c r="O125" s="9">
        <f t="shared" si="31"/>
        <v>74.871794871794876</v>
      </c>
      <c r="P125" t="s">
        <v>43</v>
      </c>
      <c r="Q125" t="s">
        <v>43</v>
      </c>
      <c r="R125">
        <v>142</v>
      </c>
      <c r="S125" s="9">
        <f t="shared" si="32"/>
        <v>65.110565110565105</v>
      </c>
      <c r="T125" s="41">
        <f t="shared" si="36"/>
        <v>67</v>
      </c>
      <c r="U125" s="43">
        <f>(((407-151)-T125)/(407-151))*100</f>
        <v>73.828125</v>
      </c>
      <c r="V125" s="40">
        <v>75</v>
      </c>
      <c r="W125" s="42">
        <f>((151-V125)/151)*100</f>
        <v>50.331125827814574</v>
      </c>
      <c r="Y125" t="s">
        <v>43</v>
      </c>
      <c r="Z125" t="s">
        <v>43</v>
      </c>
      <c r="AA125" t="s">
        <v>43</v>
      </c>
      <c r="AB125" t="s">
        <v>43</v>
      </c>
      <c r="AC125" t="s">
        <v>43</v>
      </c>
      <c r="AD125" t="s">
        <v>43</v>
      </c>
      <c r="AE125" t="s">
        <v>43</v>
      </c>
      <c r="AJ125">
        <v>0.11</v>
      </c>
      <c r="AL125" s="33"/>
      <c r="AT125">
        <v>5</v>
      </c>
      <c r="AU125">
        <v>4</v>
      </c>
      <c r="AV125">
        <v>1</v>
      </c>
      <c r="AX125">
        <f t="shared" si="35"/>
        <v>16.125835223052494</v>
      </c>
      <c r="AZ125">
        <f t="shared" si="17"/>
        <v>9.8875105980129874</v>
      </c>
    </row>
    <row r="126" spans="2:52" ht="15" x14ac:dyDescent="0.25">
      <c r="B126" s="33" t="s">
        <v>46</v>
      </c>
      <c r="C126" s="33"/>
      <c r="D126" t="s">
        <v>273</v>
      </c>
      <c r="E126">
        <v>120</v>
      </c>
      <c r="F126">
        <v>22</v>
      </c>
      <c r="G126">
        <f>164-146</f>
        <v>18</v>
      </c>
      <c r="I126">
        <v>7.2</v>
      </c>
      <c r="J126" s="12">
        <f t="shared" si="34"/>
        <v>1.5300000000000002</v>
      </c>
      <c r="L126">
        <v>219</v>
      </c>
      <c r="M126">
        <v>459</v>
      </c>
      <c r="N126">
        <v>74</v>
      </c>
      <c r="O126" s="9">
        <f t="shared" si="31"/>
        <v>66.210045662100455</v>
      </c>
      <c r="P126" t="s">
        <v>43</v>
      </c>
      <c r="Q126" t="s">
        <v>43</v>
      </c>
      <c r="R126">
        <v>206</v>
      </c>
      <c r="S126" s="9">
        <f t="shared" si="32"/>
        <v>55.119825708061001</v>
      </c>
      <c r="T126" s="41">
        <f t="shared" si="36"/>
        <v>85</v>
      </c>
      <c r="U126" s="43">
        <f>(((459-160)-T126)/(459-160))*100</f>
        <v>71.57190635451505</v>
      </c>
      <c r="V126" s="40">
        <v>121</v>
      </c>
      <c r="W126" s="42">
        <f>((160-V126)/160)*100</f>
        <v>24.375</v>
      </c>
      <c r="Y126" t="s">
        <v>43</v>
      </c>
      <c r="Z126" t="s">
        <v>43</v>
      </c>
      <c r="AA126" t="s">
        <v>43</v>
      </c>
      <c r="AB126" t="s">
        <v>43</v>
      </c>
      <c r="AC126" t="s">
        <v>43</v>
      </c>
      <c r="AD126" t="s">
        <v>43</v>
      </c>
      <c r="AE126" t="s">
        <v>43</v>
      </c>
      <c r="AJ126">
        <v>0.12</v>
      </c>
      <c r="AL126" s="33"/>
      <c r="AM126" t="s">
        <v>412</v>
      </c>
      <c r="AT126">
        <v>5</v>
      </c>
      <c r="AU126">
        <v>4</v>
      </c>
      <c r="AV126">
        <v>1</v>
      </c>
      <c r="AX126">
        <f t="shared" si="35"/>
        <v>16.125835223052494</v>
      </c>
      <c r="AZ126">
        <f t="shared" si="17"/>
        <v>9.8875105980129874</v>
      </c>
    </row>
    <row r="127" spans="2:52" ht="15" x14ac:dyDescent="0.25">
      <c r="B127" s="33" t="s">
        <v>46</v>
      </c>
      <c r="C127" s="33"/>
      <c r="D127" t="s">
        <v>273</v>
      </c>
      <c r="E127">
        <v>120</v>
      </c>
      <c r="F127">
        <v>22</v>
      </c>
      <c r="G127">
        <v>10</v>
      </c>
      <c r="I127">
        <v>7</v>
      </c>
      <c r="J127" s="12">
        <f t="shared" si="34"/>
        <v>1.2822857142857143</v>
      </c>
      <c r="L127">
        <v>192</v>
      </c>
      <c r="M127">
        <v>374</v>
      </c>
      <c r="N127">
        <v>45</v>
      </c>
      <c r="O127" s="9">
        <f t="shared" si="31"/>
        <v>76.5625</v>
      </c>
      <c r="P127" t="s">
        <v>43</v>
      </c>
      <c r="Q127" t="s">
        <v>43</v>
      </c>
      <c r="R127">
        <v>152</v>
      </c>
      <c r="S127" s="9">
        <f t="shared" si="32"/>
        <v>59.358288770053477</v>
      </c>
      <c r="T127" s="41">
        <f t="shared" si="36"/>
        <v>61</v>
      </c>
      <c r="U127" s="43">
        <f>(((374-139)-T127)/(374-139))*100</f>
        <v>74.042553191489361</v>
      </c>
      <c r="V127" s="40">
        <v>91</v>
      </c>
      <c r="W127" s="42">
        <f>((139-V127)/139)*100</f>
        <v>34.532374100719423</v>
      </c>
      <c r="Y127" t="s">
        <v>43</v>
      </c>
      <c r="Z127" t="s">
        <v>43</v>
      </c>
      <c r="AA127" t="s">
        <v>43</v>
      </c>
      <c r="AB127" t="s">
        <v>43</v>
      </c>
      <c r="AC127" t="s">
        <v>43</v>
      </c>
      <c r="AD127" t="s">
        <v>43</v>
      </c>
      <c r="AE127" t="s">
        <v>43</v>
      </c>
      <c r="AJ127">
        <v>1.2E-2</v>
      </c>
      <c r="AL127" s="33"/>
      <c r="AT127">
        <v>5</v>
      </c>
      <c r="AU127">
        <v>4</v>
      </c>
      <c r="AV127">
        <v>1</v>
      </c>
      <c r="AX127">
        <f t="shared" si="35"/>
        <v>16.125835223052494</v>
      </c>
      <c r="AZ127">
        <f t="shared" si="17"/>
        <v>9.8875105980129874</v>
      </c>
    </row>
    <row r="128" spans="2:52" ht="15" x14ac:dyDescent="0.25">
      <c r="B128" s="33" t="s">
        <v>46</v>
      </c>
      <c r="C128" s="33"/>
      <c r="D128" t="s">
        <v>273</v>
      </c>
      <c r="E128">
        <v>120</v>
      </c>
      <c r="F128">
        <v>25</v>
      </c>
      <c r="G128">
        <v>20</v>
      </c>
      <c r="I128">
        <v>7.5</v>
      </c>
      <c r="J128" s="12">
        <f t="shared" si="34"/>
        <v>0.62079999999999991</v>
      </c>
      <c r="L128">
        <v>91</v>
      </c>
      <c r="M128">
        <v>194</v>
      </c>
      <c r="N128">
        <v>34</v>
      </c>
      <c r="O128" s="9">
        <f t="shared" si="31"/>
        <v>62.637362637362635</v>
      </c>
      <c r="P128" t="s">
        <v>43</v>
      </c>
      <c r="Q128" t="s">
        <v>43</v>
      </c>
      <c r="R128">
        <v>89</v>
      </c>
      <c r="S128" s="9">
        <f t="shared" si="32"/>
        <v>54.123711340206185</v>
      </c>
      <c r="T128" s="41">
        <f t="shared" si="36"/>
        <v>44</v>
      </c>
      <c r="U128" s="43">
        <f>(((194-96)-T128)/(194-96))*100</f>
        <v>55.102040816326522</v>
      </c>
      <c r="V128" s="40">
        <v>45</v>
      </c>
      <c r="W128" s="42">
        <f>((96-V128)/96)*100</f>
        <v>53.125</v>
      </c>
      <c r="Y128" t="s">
        <v>43</v>
      </c>
      <c r="Z128" t="s">
        <v>43</v>
      </c>
      <c r="AA128" t="s">
        <v>43</v>
      </c>
      <c r="AB128" t="s">
        <v>43</v>
      </c>
      <c r="AC128" t="s">
        <v>43</v>
      </c>
      <c r="AD128" t="s">
        <v>43</v>
      </c>
      <c r="AE128" t="s">
        <v>43</v>
      </c>
      <c r="AJ128">
        <v>0.25</v>
      </c>
      <c r="AL128" s="33"/>
      <c r="AT128">
        <v>5</v>
      </c>
      <c r="AU128">
        <v>4</v>
      </c>
      <c r="AV128">
        <v>1</v>
      </c>
      <c r="AX128">
        <f t="shared" si="35"/>
        <v>16.125835223052494</v>
      </c>
      <c r="AZ128">
        <f t="shared" si="17"/>
        <v>9.8875105980129874</v>
      </c>
    </row>
    <row r="129" spans="2:52" ht="15" x14ac:dyDescent="0.25">
      <c r="B129" s="33" t="s">
        <v>46</v>
      </c>
      <c r="C129" s="33"/>
      <c r="D129" t="s">
        <v>273</v>
      </c>
      <c r="E129">
        <v>120</v>
      </c>
      <c r="F129">
        <v>28</v>
      </c>
      <c r="G129">
        <v>9</v>
      </c>
      <c r="I129">
        <v>6.1</v>
      </c>
      <c r="J129" s="12">
        <f t="shared" si="34"/>
        <v>0.73967213114754105</v>
      </c>
      <c r="L129">
        <v>67</v>
      </c>
      <c r="M129">
        <v>188</v>
      </c>
      <c r="N129">
        <v>24</v>
      </c>
      <c r="O129" s="9">
        <f t="shared" si="31"/>
        <v>64.179104477611943</v>
      </c>
      <c r="P129" t="s">
        <v>43</v>
      </c>
      <c r="Q129" t="s">
        <v>43</v>
      </c>
      <c r="R129">
        <v>83</v>
      </c>
      <c r="S129" s="9">
        <f t="shared" si="32"/>
        <v>55.851063829787229</v>
      </c>
      <c r="T129" s="41">
        <f t="shared" si="36"/>
        <v>38</v>
      </c>
      <c r="U129" s="43">
        <f>(((188-96)-T129)/(188-96))*100</f>
        <v>58.695652173913047</v>
      </c>
      <c r="V129" s="40">
        <v>45</v>
      </c>
      <c r="W129" s="42">
        <f>((96-V129)/96)*100</f>
        <v>53.125</v>
      </c>
      <c r="Y129" t="s">
        <v>43</v>
      </c>
      <c r="Z129" t="s">
        <v>43</v>
      </c>
      <c r="AA129" t="s">
        <v>43</v>
      </c>
      <c r="AB129" t="s">
        <v>43</v>
      </c>
      <c r="AC129" t="s">
        <v>43</v>
      </c>
      <c r="AD129" t="s">
        <v>43</v>
      </c>
      <c r="AE129" t="s">
        <v>43</v>
      </c>
      <c r="AJ129">
        <v>0.15</v>
      </c>
      <c r="AL129" s="33"/>
      <c r="AT129">
        <v>5</v>
      </c>
      <c r="AU129">
        <v>4</v>
      </c>
      <c r="AV129">
        <v>1</v>
      </c>
      <c r="AX129">
        <f t="shared" si="35"/>
        <v>16.125835223052494</v>
      </c>
      <c r="AZ129">
        <f t="shared" si="17"/>
        <v>9.8875105980129874</v>
      </c>
    </row>
    <row r="130" spans="2:52" ht="15" x14ac:dyDescent="0.25">
      <c r="B130" s="33" t="s">
        <v>46</v>
      </c>
      <c r="C130" s="33"/>
      <c r="D130" t="s">
        <v>273</v>
      </c>
      <c r="E130">
        <v>120</v>
      </c>
      <c r="F130">
        <v>25</v>
      </c>
      <c r="G130">
        <f>339-269</f>
        <v>70</v>
      </c>
      <c r="I130">
        <v>6.2</v>
      </c>
      <c r="J130" s="12">
        <f t="shared" si="34"/>
        <v>0.9987096774193549</v>
      </c>
      <c r="L130">
        <v>113</v>
      </c>
      <c r="M130">
        <v>258</v>
      </c>
      <c r="N130">
        <v>37</v>
      </c>
      <c r="O130" s="9">
        <f t="shared" si="31"/>
        <v>67.256637168141594</v>
      </c>
      <c r="P130" t="s">
        <v>43</v>
      </c>
      <c r="Q130" t="s">
        <v>43</v>
      </c>
      <c r="R130">
        <v>103</v>
      </c>
      <c r="S130" s="9">
        <f t="shared" si="32"/>
        <v>60.077519379844958</v>
      </c>
      <c r="T130" s="41">
        <f t="shared" si="36"/>
        <v>49</v>
      </c>
      <c r="U130" s="43">
        <f>(((258-115)-T130)/(258-115))*100</f>
        <v>65.734265734265733</v>
      </c>
      <c r="V130" s="40">
        <v>54</v>
      </c>
      <c r="W130" s="42">
        <f>((115-V130)/115)*100</f>
        <v>53.04347826086957</v>
      </c>
      <c r="Y130" t="s">
        <v>43</v>
      </c>
      <c r="Z130" t="s">
        <v>43</v>
      </c>
      <c r="AA130" t="s">
        <v>43</v>
      </c>
      <c r="AB130" t="s">
        <v>43</v>
      </c>
      <c r="AC130" t="s">
        <v>43</v>
      </c>
      <c r="AD130" t="s">
        <v>43</v>
      </c>
      <c r="AE130" t="s">
        <v>43</v>
      </c>
      <c r="AJ130">
        <v>0.15</v>
      </c>
      <c r="AL130" s="33"/>
      <c r="AT130">
        <v>5</v>
      </c>
      <c r="AU130">
        <v>4</v>
      </c>
      <c r="AV130">
        <v>1</v>
      </c>
      <c r="AX130">
        <f t="shared" si="35"/>
        <v>16.125835223052494</v>
      </c>
      <c r="AZ130">
        <f t="shared" si="17"/>
        <v>9.8875105980129874</v>
      </c>
    </row>
    <row r="131" spans="2:52" ht="15" x14ac:dyDescent="0.25">
      <c r="B131" s="33" t="s">
        <v>46</v>
      </c>
      <c r="C131" s="33"/>
      <c r="D131" t="s">
        <v>273</v>
      </c>
      <c r="E131">
        <v>120</v>
      </c>
      <c r="F131">
        <v>21</v>
      </c>
      <c r="G131">
        <v>42</v>
      </c>
      <c r="I131">
        <v>5.0999999999999996</v>
      </c>
      <c r="J131" s="12">
        <f t="shared" si="34"/>
        <v>1.4447058823529413</v>
      </c>
      <c r="L131">
        <v>149</v>
      </c>
      <c r="M131">
        <v>307</v>
      </c>
      <c r="N131">
        <v>49</v>
      </c>
      <c r="O131" s="9">
        <f t="shared" si="31"/>
        <v>67.114093959731548</v>
      </c>
      <c r="P131" t="s">
        <v>43</v>
      </c>
      <c r="Q131" t="s">
        <v>43</v>
      </c>
      <c r="R131">
        <v>117</v>
      </c>
      <c r="S131" s="9">
        <f t="shared" si="32"/>
        <v>61.88925081433225</v>
      </c>
      <c r="T131" s="41">
        <f t="shared" si="36"/>
        <v>67</v>
      </c>
      <c r="U131" s="43">
        <f>(((307-120)-T131)/(307-120))*100</f>
        <v>64.171122994652407</v>
      </c>
      <c r="V131" s="40">
        <v>50</v>
      </c>
      <c r="W131" s="42">
        <f>((120-V131)/120)*100</f>
        <v>58.333333333333336</v>
      </c>
      <c r="Y131" t="s">
        <v>43</v>
      </c>
      <c r="Z131" t="s">
        <v>43</v>
      </c>
      <c r="AA131" t="s">
        <v>43</v>
      </c>
      <c r="AB131" t="s">
        <v>43</v>
      </c>
      <c r="AC131" t="s">
        <v>43</v>
      </c>
      <c r="AD131" t="s">
        <v>43</v>
      </c>
      <c r="AE131" t="s">
        <v>43</v>
      </c>
      <c r="AJ131">
        <v>0.13</v>
      </c>
      <c r="AL131" s="33"/>
      <c r="AT131">
        <v>5</v>
      </c>
      <c r="AU131">
        <v>4</v>
      </c>
      <c r="AV131">
        <v>1</v>
      </c>
      <c r="AX131">
        <f t="shared" si="35"/>
        <v>16.125835223052494</v>
      </c>
      <c r="AZ131">
        <f t="shared" si="17"/>
        <v>9.8875105980129874</v>
      </c>
    </row>
    <row r="132" spans="2:52" ht="15" x14ac:dyDescent="0.25">
      <c r="B132" s="33" t="s">
        <v>46</v>
      </c>
      <c r="C132" s="33"/>
      <c r="D132" t="s">
        <v>273</v>
      </c>
      <c r="E132">
        <v>120</v>
      </c>
      <c r="F132">
        <v>18</v>
      </c>
      <c r="G132">
        <v>40</v>
      </c>
      <c r="I132">
        <v>4.4000000000000004</v>
      </c>
      <c r="J132" s="12">
        <f t="shared" si="34"/>
        <v>1.5545454545454545</v>
      </c>
      <c r="L132">
        <v>236</v>
      </c>
      <c r="M132">
        <v>285</v>
      </c>
      <c r="N132">
        <v>105</v>
      </c>
      <c r="O132" s="9">
        <f t="shared" si="31"/>
        <v>55.508474576271183</v>
      </c>
      <c r="P132" t="s">
        <v>43</v>
      </c>
      <c r="Q132" t="s">
        <v>43</v>
      </c>
      <c r="R132">
        <v>189</v>
      </c>
      <c r="S132" s="9">
        <f t="shared" si="32"/>
        <v>33.684210526315788</v>
      </c>
      <c r="T132" s="41">
        <f t="shared" si="36"/>
        <v>89</v>
      </c>
      <c r="U132" s="43">
        <f>(((285-130)-T132)/(285-130))*100</f>
        <v>42.58064516129032</v>
      </c>
      <c r="V132" s="40">
        <v>100</v>
      </c>
      <c r="W132" s="42">
        <f>((130-V132)/130)*100</f>
        <v>23.076923076923077</v>
      </c>
      <c r="Y132" t="s">
        <v>43</v>
      </c>
      <c r="Z132" t="s">
        <v>43</v>
      </c>
      <c r="AA132" t="s">
        <v>43</v>
      </c>
      <c r="AB132" t="s">
        <v>43</v>
      </c>
      <c r="AC132" t="s">
        <v>43</v>
      </c>
      <c r="AD132" t="s">
        <v>43</v>
      </c>
      <c r="AE132" t="s">
        <v>43</v>
      </c>
      <c r="AJ132" t="s">
        <v>43</v>
      </c>
      <c r="AL132" s="33"/>
      <c r="AT132">
        <v>5</v>
      </c>
      <c r="AU132">
        <v>4</v>
      </c>
      <c r="AV132">
        <v>1</v>
      </c>
      <c r="AX132">
        <f t="shared" si="35"/>
        <v>16.125835223052494</v>
      </c>
      <c r="AZ132">
        <f t="shared" ref="AZ132:AZ195" si="37">(AT132+AU132)*LN(AV132+2)</f>
        <v>9.8875105980129874</v>
      </c>
    </row>
    <row r="133" spans="2:52" ht="15" x14ac:dyDescent="0.25">
      <c r="B133" s="33" t="s">
        <v>46</v>
      </c>
      <c r="C133" s="33"/>
      <c r="D133" t="s">
        <v>273</v>
      </c>
      <c r="E133">
        <v>120</v>
      </c>
      <c r="F133">
        <v>22</v>
      </c>
      <c r="G133">
        <f>516-493</f>
        <v>23</v>
      </c>
      <c r="I133">
        <v>5</v>
      </c>
      <c r="J133" s="12">
        <f t="shared" si="34"/>
        <v>1.8863999999999999</v>
      </c>
      <c r="L133">
        <v>207</v>
      </c>
      <c r="M133">
        <v>393</v>
      </c>
      <c r="N133">
        <v>78</v>
      </c>
      <c r="O133" s="9">
        <f t="shared" si="31"/>
        <v>62.318840579710141</v>
      </c>
      <c r="P133" t="s">
        <v>43</v>
      </c>
      <c r="Q133" t="s">
        <v>43</v>
      </c>
      <c r="R133">
        <v>280</v>
      </c>
      <c r="S133" s="9">
        <f t="shared" si="32"/>
        <v>28.753180661577609</v>
      </c>
      <c r="T133" s="41">
        <f t="shared" si="36"/>
        <v>170</v>
      </c>
      <c r="U133" s="43">
        <f>(((393-155)-T133)/(393-155))*100</f>
        <v>28.571428571428569</v>
      </c>
      <c r="V133" s="40">
        <v>110</v>
      </c>
      <c r="W133" s="42">
        <f>((155-V133)/155)*100</f>
        <v>29.032258064516132</v>
      </c>
      <c r="Y133" t="s">
        <v>43</v>
      </c>
      <c r="Z133" t="s">
        <v>43</v>
      </c>
      <c r="AA133" t="s">
        <v>43</v>
      </c>
      <c r="AB133" t="s">
        <v>43</v>
      </c>
      <c r="AC133" t="s">
        <v>43</v>
      </c>
      <c r="AD133" t="s">
        <v>43</v>
      </c>
      <c r="AE133" t="s">
        <v>43</v>
      </c>
      <c r="AG133" t="s">
        <v>43</v>
      </c>
      <c r="AH133" t="s">
        <v>43</v>
      </c>
      <c r="AI133" t="s">
        <v>43</v>
      </c>
      <c r="AJ133" t="s">
        <v>43</v>
      </c>
      <c r="AL133" s="33"/>
      <c r="AT133">
        <v>5</v>
      </c>
      <c r="AU133">
        <v>4</v>
      </c>
      <c r="AV133">
        <v>1</v>
      </c>
      <c r="AX133">
        <f t="shared" si="35"/>
        <v>16.125835223052494</v>
      </c>
      <c r="AZ133">
        <f t="shared" si="37"/>
        <v>9.8875105980129874</v>
      </c>
    </row>
    <row r="134" spans="2:52" ht="15" x14ac:dyDescent="0.25">
      <c r="B134" s="33" t="s">
        <v>46</v>
      </c>
      <c r="C134" s="33"/>
      <c r="D134" t="s">
        <v>273</v>
      </c>
      <c r="E134">
        <v>300</v>
      </c>
      <c r="F134" t="s">
        <v>330</v>
      </c>
      <c r="G134">
        <f>13*30</f>
        <v>390</v>
      </c>
      <c r="H134" t="s">
        <v>43</v>
      </c>
      <c r="I134">
        <v>6</v>
      </c>
      <c r="J134" s="12">
        <f t="shared" si="34"/>
        <v>2.2520000000000002</v>
      </c>
      <c r="L134">
        <v>418</v>
      </c>
      <c r="M134">
        <v>563</v>
      </c>
      <c r="N134">
        <v>130</v>
      </c>
      <c r="O134" s="9">
        <f t="shared" si="31"/>
        <v>68.899521531100476</v>
      </c>
      <c r="P134" t="s">
        <v>43</v>
      </c>
      <c r="Q134" t="s">
        <v>43</v>
      </c>
      <c r="R134">
        <v>178</v>
      </c>
      <c r="S134" s="9">
        <f t="shared" si="32"/>
        <v>68.383658969804614</v>
      </c>
      <c r="T134" t="s">
        <v>43</v>
      </c>
      <c r="U134" t="s">
        <v>43</v>
      </c>
      <c r="Y134" t="s">
        <v>43</v>
      </c>
      <c r="Z134" t="s">
        <v>43</v>
      </c>
      <c r="AA134" t="s">
        <v>43</v>
      </c>
      <c r="AB134" t="s">
        <v>43</v>
      </c>
      <c r="AC134" t="s">
        <v>43</v>
      </c>
      <c r="AD134" t="s">
        <v>413</v>
      </c>
      <c r="AE134" t="s">
        <v>43</v>
      </c>
      <c r="AG134" t="s">
        <v>43</v>
      </c>
      <c r="AH134" t="s">
        <v>43</v>
      </c>
      <c r="AI134" t="s">
        <v>43</v>
      </c>
      <c r="AJ134" t="s">
        <v>43</v>
      </c>
      <c r="AL134" s="33" t="s">
        <v>331</v>
      </c>
      <c r="AT134" t="s">
        <v>43</v>
      </c>
      <c r="AU134" t="s">
        <v>43</v>
      </c>
      <c r="AV134">
        <v>1</v>
      </c>
      <c r="AX134" t="s">
        <v>43</v>
      </c>
      <c r="AZ134" t="s">
        <v>43</v>
      </c>
    </row>
    <row r="135" spans="2:52" ht="15" x14ac:dyDescent="0.25">
      <c r="B135" s="33" t="s">
        <v>46</v>
      </c>
      <c r="C135" s="33"/>
      <c r="D135" t="s">
        <v>273</v>
      </c>
      <c r="E135">
        <v>300</v>
      </c>
      <c r="F135" t="s">
        <v>330</v>
      </c>
      <c r="G135">
        <f>13*30</f>
        <v>390</v>
      </c>
      <c r="H135" t="s">
        <v>43</v>
      </c>
      <c r="I135">
        <v>6</v>
      </c>
      <c r="J135" s="12">
        <f t="shared" si="34"/>
        <v>2.2520000000000002</v>
      </c>
      <c r="L135">
        <v>418</v>
      </c>
      <c r="M135">
        <v>563</v>
      </c>
      <c r="N135">
        <v>107</v>
      </c>
      <c r="O135" s="9">
        <f t="shared" si="31"/>
        <v>74.401913875598098</v>
      </c>
      <c r="P135" t="s">
        <v>43</v>
      </c>
      <c r="Q135" t="s">
        <v>43</v>
      </c>
      <c r="R135">
        <v>149</v>
      </c>
      <c r="S135" s="9">
        <f t="shared" si="32"/>
        <v>73.53463587921847</v>
      </c>
      <c r="T135" t="s">
        <v>43</v>
      </c>
      <c r="U135" t="s">
        <v>43</v>
      </c>
      <c r="Y135" t="s">
        <v>43</v>
      </c>
      <c r="Z135" t="s">
        <v>43</v>
      </c>
      <c r="AA135" t="s">
        <v>43</v>
      </c>
      <c r="AB135" t="s">
        <v>43</v>
      </c>
      <c r="AC135" t="s">
        <v>43</v>
      </c>
      <c r="AD135" t="s">
        <v>413</v>
      </c>
      <c r="AE135" t="s">
        <v>43</v>
      </c>
      <c r="AG135" t="s">
        <v>43</v>
      </c>
      <c r="AH135" t="s">
        <v>43</v>
      </c>
      <c r="AI135" t="s">
        <v>43</v>
      </c>
      <c r="AJ135" t="s">
        <v>43</v>
      </c>
      <c r="AL135" s="33"/>
      <c r="AT135" t="s">
        <v>43</v>
      </c>
      <c r="AU135" t="s">
        <v>43</v>
      </c>
      <c r="AV135">
        <v>1</v>
      </c>
      <c r="AX135" t="s">
        <v>43</v>
      </c>
      <c r="AZ135" t="s">
        <v>43</v>
      </c>
    </row>
    <row r="136" spans="2:52" ht="15" x14ac:dyDescent="0.25">
      <c r="B136" s="33" t="s">
        <v>46</v>
      </c>
      <c r="C136" s="33"/>
      <c r="D136" t="s">
        <v>273</v>
      </c>
      <c r="E136">
        <v>600</v>
      </c>
      <c r="F136" t="s">
        <v>330</v>
      </c>
      <c r="G136">
        <f>13*30</f>
        <v>390</v>
      </c>
      <c r="H136" t="s">
        <v>43</v>
      </c>
      <c r="I136">
        <v>6</v>
      </c>
      <c r="J136" s="12">
        <f t="shared" si="34"/>
        <v>2.2520000000000002</v>
      </c>
      <c r="L136">
        <v>418</v>
      </c>
      <c r="M136">
        <v>563</v>
      </c>
      <c r="N136">
        <v>134</v>
      </c>
      <c r="O136" s="9">
        <f t="shared" si="31"/>
        <v>67.942583732057415</v>
      </c>
      <c r="P136" t="s">
        <v>43</v>
      </c>
      <c r="Q136" t="s">
        <v>43</v>
      </c>
      <c r="R136">
        <v>169</v>
      </c>
      <c r="S136" s="9">
        <f t="shared" si="32"/>
        <v>69.982238010657198</v>
      </c>
      <c r="T136" t="s">
        <v>43</v>
      </c>
      <c r="U136" t="s">
        <v>43</v>
      </c>
      <c r="Y136" t="s">
        <v>43</v>
      </c>
      <c r="Z136" t="s">
        <v>43</v>
      </c>
      <c r="AA136" t="s">
        <v>43</v>
      </c>
      <c r="AB136" t="s">
        <v>43</v>
      </c>
      <c r="AC136" t="s">
        <v>43</v>
      </c>
      <c r="AD136" t="s">
        <v>413</v>
      </c>
      <c r="AE136" t="s">
        <v>43</v>
      </c>
      <c r="AG136" t="s">
        <v>43</v>
      </c>
      <c r="AH136" t="s">
        <v>43</v>
      </c>
      <c r="AI136" t="s">
        <v>43</v>
      </c>
      <c r="AJ136" t="s">
        <v>43</v>
      </c>
      <c r="AL136" s="33"/>
      <c r="AT136" t="s">
        <v>43</v>
      </c>
      <c r="AU136" t="s">
        <v>43</v>
      </c>
      <c r="AV136">
        <v>1</v>
      </c>
      <c r="AX136" t="s">
        <v>43</v>
      </c>
      <c r="AZ136" t="s">
        <v>43</v>
      </c>
    </row>
    <row r="137" spans="2:52" x14ac:dyDescent="0.2">
      <c r="B137" s="33" t="s">
        <v>46</v>
      </c>
      <c r="C137" s="33"/>
      <c r="D137" t="s">
        <v>43</v>
      </c>
      <c r="E137">
        <v>64</v>
      </c>
      <c r="F137" s="22" t="s">
        <v>338</v>
      </c>
      <c r="G137">
        <f>3*365</f>
        <v>1095</v>
      </c>
      <c r="H137" t="s">
        <v>43</v>
      </c>
      <c r="I137" s="30" t="s">
        <v>333</v>
      </c>
      <c r="J137" t="s">
        <v>43</v>
      </c>
      <c r="M137" t="s">
        <v>337</v>
      </c>
      <c r="N137" t="s">
        <v>43</v>
      </c>
      <c r="O137" t="s">
        <v>334</v>
      </c>
      <c r="P137" t="s">
        <v>43</v>
      </c>
      <c r="Q137" t="s">
        <v>43</v>
      </c>
      <c r="R137" t="s">
        <v>43</v>
      </c>
      <c r="S137" t="s">
        <v>335</v>
      </c>
      <c r="T137" t="s">
        <v>43</v>
      </c>
      <c r="U137" t="s">
        <v>43</v>
      </c>
      <c r="AD137" t="s">
        <v>336</v>
      </c>
      <c r="AG137" t="s">
        <v>43</v>
      </c>
      <c r="AH137" t="s">
        <v>43</v>
      </c>
      <c r="AI137" t="s">
        <v>43</v>
      </c>
      <c r="AJ137">
        <v>0.19</v>
      </c>
      <c r="AL137" t="s">
        <v>126</v>
      </c>
      <c r="AT137">
        <v>7</v>
      </c>
      <c r="AU137">
        <v>4</v>
      </c>
      <c r="AV137">
        <v>1</v>
      </c>
      <c r="AX137">
        <f t="shared" ref="AX137:AX150" si="38">(AU137+AT137)*LN((AU137+2))</f>
        <v>19.709354161508603</v>
      </c>
      <c r="AZ137">
        <f t="shared" si="37"/>
        <v>12.084735175349207</v>
      </c>
    </row>
    <row r="138" spans="2:52" ht="15" x14ac:dyDescent="0.25">
      <c r="B138" s="33" t="s">
        <v>46</v>
      </c>
      <c r="C138" s="33"/>
      <c r="D138" t="s">
        <v>43</v>
      </c>
      <c r="E138">
        <v>67.5</v>
      </c>
      <c r="F138" t="s">
        <v>339</v>
      </c>
      <c r="G138" t="s">
        <v>43</v>
      </c>
      <c r="H138">
        <v>1.25</v>
      </c>
      <c r="I138">
        <v>7</v>
      </c>
      <c r="J138" s="12">
        <f t="shared" si="34"/>
        <v>1.3782857142857143</v>
      </c>
      <c r="L138">
        <v>379</v>
      </c>
      <c r="M138">
        <v>402</v>
      </c>
      <c r="N138">
        <v>50</v>
      </c>
      <c r="O138">
        <v>87</v>
      </c>
      <c r="P138" t="s">
        <v>43</v>
      </c>
      <c r="Q138" t="s">
        <v>43</v>
      </c>
      <c r="R138">
        <v>232</v>
      </c>
      <c r="S138" s="9">
        <v>72</v>
      </c>
      <c r="T138" t="s">
        <v>43</v>
      </c>
      <c r="U138" t="s">
        <v>43</v>
      </c>
      <c r="V138" t="s">
        <v>43</v>
      </c>
      <c r="W138" t="s">
        <v>43</v>
      </c>
      <c r="Y138" t="s">
        <v>43</v>
      </c>
      <c r="Z138" t="s">
        <v>43</v>
      </c>
      <c r="AA138" t="s">
        <v>43</v>
      </c>
      <c r="AB138" t="s">
        <v>43</v>
      </c>
      <c r="AC138" t="s">
        <v>43</v>
      </c>
      <c r="AD138" t="s">
        <v>43</v>
      </c>
      <c r="AE138" t="s">
        <v>43</v>
      </c>
      <c r="AG138" t="s">
        <v>43</v>
      </c>
      <c r="AH138" t="s">
        <v>43</v>
      </c>
      <c r="AI138" t="s">
        <v>43</v>
      </c>
      <c r="AJ138" t="s">
        <v>43</v>
      </c>
      <c r="AL138" t="s">
        <v>127</v>
      </c>
      <c r="AT138" t="s">
        <v>43</v>
      </c>
      <c r="AU138" t="s">
        <v>43</v>
      </c>
      <c r="AV138">
        <v>1</v>
      </c>
      <c r="AX138" t="s">
        <v>43</v>
      </c>
      <c r="AZ138" t="s">
        <v>43</v>
      </c>
    </row>
    <row r="139" spans="2:52" x14ac:dyDescent="0.2">
      <c r="B139" s="33" t="s">
        <v>46</v>
      </c>
      <c r="C139" s="33"/>
      <c r="D139" t="s">
        <v>43</v>
      </c>
      <c r="E139">
        <f>8/1000</f>
        <v>8.0000000000000002E-3</v>
      </c>
      <c r="F139">
        <v>20</v>
      </c>
      <c r="G139" t="s">
        <v>43</v>
      </c>
      <c r="H139" t="s">
        <v>43</v>
      </c>
      <c r="I139">
        <v>40</v>
      </c>
      <c r="J139">
        <v>0.3</v>
      </c>
      <c r="L139" t="s">
        <v>43</v>
      </c>
      <c r="M139" s="9">
        <f>(0.9+1.2)/((E139/I139*24))</f>
        <v>437.5</v>
      </c>
      <c r="N139" t="s">
        <v>43</v>
      </c>
      <c r="O139" t="s">
        <v>43</v>
      </c>
      <c r="P139" t="s">
        <v>43</v>
      </c>
      <c r="Q139" t="s">
        <v>43</v>
      </c>
      <c r="R139" s="9">
        <f>(0.18+0.34)/((E139/I139*24))</f>
        <v>108.33333333333333</v>
      </c>
      <c r="S139" s="9">
        <f t="shared" si="32"/>
        <v>75.238095238095241</v>
      </c>
      <c r="T139" t="s">
        <v>43</v>
      </c>
      <c r="U139" s="39">
        <f>((0.9-0.18)/0.9)*100</f>
        <v>80</v>
      </c>
      <c r="V139" t="s">
        <v>43</v>
      </c>
      <c r="W139" s="39">
        <f>((1.2-0.34)/1.2)*100</f>
        <v>71.666666666666657</v>
      </c>
      <c r="Y139" t="s">
        <v>43</v>
      </c>
      <c r="Z139" t="s">
        <v>43</v>
      </c>
      <c r="AA139" t="s">
        <v>43</v>
      </c>
      <c r="AB139" t="s">
        <v>43</v>
      </c>
      <c r="AC139" t="s">
        <v>43</v>
      </c>
      <c r="AD139" t="s">
        <v>43</v>
      </c>
      <c r="AE139" t="s">
        <v>43</v>
      </c>
      <c r="AG139" t="s">
        <v>43</v>
      </c>
      <c r="AH139" s="13">
        <f>0.06/(0.9+1.2)</f>
        <v>2.8571428571428571E-2</v>
      </c>
      <c r="AI139" t="s">
        <v>43</v>
      </c>
      <c r="AJ139" t="s">
        <v>43</v>
      </c>
      <c r="AL139" s="33" t="s">
        <v>130</v>
      </c>
      <c r="AM139" t="s">
        <v>343</v>
      </c>
      <c r="AT139">
        <v>6</v>
      </c>
      <c r="AU139">
        <v>4</v>
      </c>
      <c r="AV139">
        <v>1</v>
      </c>
      <c r="AX139">
        <f t="shared" si="38"/>
        <v>17.917594692280549</v>
      </c>
      <c r="AZ139">
        <f t="shared" si="37"/>
        <v>10.986122886681098</v>
      </c>
    </row>
    <row r="140" spans="2:52" x14ac:dyDescent="0.2">
      <c r="B140" s="33" t="s">
        <v>46</v>
      </c>
      <c r="C140" s="33"/>
      <c r="D140" t="s">
        <v>43</v>
      </c>
      <c r="E140">
        <f t="shared" ref="E140:E143" si="39">8/1000</f>
        <v>8.0000000000000002E-3</v>
      </c>
      <c r="F140">
        <v>20</v>
      </c>
      <c r="G140" t="s">
        <v>43</v>
      </c>
      <c r="H140" t="s">
        <v>43</v>
      </c>
      <c r="I140">
        <v>25</v>
      </c>
      <c r="J140">
        <v>0.38</v>
      </c>
      <c r="L140" t="s">
        <v>43</v>
      </c>
      <c r="M140" s="9">
        <f>(1.4+1.7)/((E140/I140*24))</f>
        <v>403.64583333333326</v>
      </c>
      <c r="N140" t="s">
        <v>43</v>
      </c>
      <c r="O140" t="s">
        <v>43</v>
      </c>
      <c r="P140" t="s">
        <v>43</v>
      </c>
      <c r="Q140" t="s">
        <v>43</v>
      </c>
      <c r="R140" s="9">
        <f>(0.23+0.54)/((E140/I140*24))</f>
        <v>100.26041666666666</v>
      </c>
      <c r="S140" s="9">
        <f t="shared" si="32"/>
        <v>75.161290322580655</v>
      </c>
      <c r="T140" t="s">
        <v>43</v>
      </c>
      <c r="U140" s="39">
        <f>((1.4-0.23)/1.4)*100</f>
        <v>83.571428571428569</v>
      </c>
      <c r="V140" t="s">
        <v>43</v>
      </c>
      <c r="W140" s="39">
        <f>((1.7-0.54)/1.7)*100</f>
        <v>68.235294117647058</v>
      </c>
      <c r="Y140" t="s">
        <v>43</v>
      </c>
      <c r="Z140" t="s">
        <v>43</v>
      </c>
      <c r="AA140" t="s">
        <v>43</v>
      </c>
      <c r="AB140" t="s">
        <v>43</v>
      </c>
      <c r="AC140" t="s">
        <v>43</v>
      </c>
      <c r="AD140" t="s">
        <v>43</v>
      </c>
      <c r="AE140" t="s">
        <v>43</v>
      </c>
      <c r="AG140" t="s">
        <v>43</v>
      </c>
      <c r="AH140" s="13">
        <f>0.24/(1.4+1.7)</f>
        <v>7.7419354838709681E-2</v>
      </c>
      <c r="AI140" t="s">
        <v>43</v>
      </c>
      <c r="AJ140" t="s">
        <v>43</v>
      </c>
      <c r="AL140" s="33"/>
      <c r="AM140" t="s">
        <v>344</v>
      </c>
      <c r="AT140">
        <v>6</v>
      </c>
      <c r="AU140">
        <v>4</v>
      </c>
      <c r="AV140">
        <v>1</v>
      </c>
      <c r="AX140">
        <f t="shared" si="38"/>
        <v>17.917594692280549</v>
      </c>
      <c r="AZ140">
        <f t="shared" si="37"/>
        <v>10.986122886681098</v>
      </c>
    </row>
    <row r="141" spans="2:52" x14ac:dyDescent="0.2">
      <c r="B141" s="33" t="s">
        <v>46</v>
      </c>
      <c r="C141" s="33"/>
      <c r="D141" t="s">
        <v>43</v>
      </c>
      <c r="E141">
        <f t="shared" si="39"/>
        <v>8.0000000000000002E-3</v>
      </c>
      <c r="F141">
        <v>20</v>
      </c>
      <c r="G141" t="s">
        <v>43</v>
      </c>
      <c r="H141" t="s">
        <v>43</v>
      </c>
      <c r="I141">
        <v>20</v>
      </c>
      <c r="J141">
        <v>0.46</v>
      </c>
      <c r="L141" t="s">
        <v>43</v>
      </c>
      <c r="M141" s="9">
        <f>(1.4+2.3)/((E141/I141*24))</f>
        <v>385.41666666666663</v>
      </c>
      <c r="N141" t="s">
        <v>43</v>
      </c>
      <c r="O141" t="s">
        <v>43</v>
      </c>
      <c r="P141" t="s">
        <v>43</v>
      </c>
      <c r="Q141" t="s">
        <v>43</v>
      </c>
      <c r="R141" s="9">
        <f>(0.14+0.57)/((E141/I141*24))</f>
        <v>73.958333333333329</v>
      </c>
      <c r="S141" s="9">
        <f t="shared" si="32"/>
        <v>80.810810810810821</v>
      </c>
      <c r="T141" t="s">
        <v>43</v>
      </c>
      <c r="U141" s="39">
        <f>((1.4-0.14)/1.4)*100</f>
        <v>89.999999999999986</v>
      </c>
      <c r="V141" t="s">
        <v>43</v>
      </c>
      <c r="W141" s="39">
        <f>((2.3-0.57)/2.3)*100</f>
        <v>75.217391304347842</v>
      </c>
      <c r="Y141" t="s">
        <v>43</v>
      </c>
      <c r="Z141" t="s">
        <v>43</v>
      </c>
      <c r="AA141" t="s">
        <v>43</v>
      </c>
      <c r="AB141" t="s">
        <v>43</v>
      </c>
      <c r="AC141" t="s">
        <v>43</v>
      </c>
      <c r="AD141" t="s">
        <v>43</v>
      </c>
      <c r="AE141" t="s">
        <v>43</v>
      </c>
      <c r="AG141" t="s">
        <v>43</v>
      </c>
      <c r="AH141" s="13">
        <f>0.29/(1.4+2.3)</f>
        <v>7.8378378378378383E-2</v>
      </c>
      <c r="AI141" t="s">
        <v>43</v>
      </c>
      <c r="AJ141" t="s">
        <v>43</v>
      </c>
      <c r="AL141" s="33"/>
      <c r="AT141">
        <v>6</v>
      </c>
      <c r="AU141">
        <v>4</v>
      </c>
      <c r="AV141">
        <v>1</v>
      </c>
      <c r="AX141">
        <f t="shared" si="38"/>
        <v>17.917594692280549</v>
      </c>
      <c r="AZ141">
        <f t="shared" si="37"/>
        <v>10.986122886681098</v>
      </c>
    </row>
    <row r="142" spans="2:52" x14ac:dyDescent="0.2">
      <c r="B142" s="33" t="s">
        <v>46</v>
      </c>
      <c r="C142" s="33"/>
      <c r="D142" t="s">
        <v>43</v>
      </c>
      <c r="E142">
        <f t="shared" si="39"/>
        <v>8.0000000000000002E-3</v>
      </c>
      <c r="F142">
        <v>20</v>
      </c>
      <c r="G142" t="s">
        <v>43</v>
      </c>
      <c r="H142" t="s">
        <v>43</v>
      </c>
      <c r="I142">
        <v>16</v>
      </c>
      <c r="J142">
        <v>0.6</v>
      </c>
      <c r="L142" t="s">
        <v>43</v>
      </c>
      <c r="M142" s="9">
        <f>(1.8+2.8)/((E142/I142*24))</f>
        <v>383.33333333333331</v>
      </c>
      <c r="N142" t="s">
        <v>43</v>
      </c>
      <c r="O142" t="s">
        <v>43</v>
      </c>
      <c r="P142" t="s">
        <v>43</v>
      </c>
      <c r="Q142" t="s">
        <v>43</v>
      </c>
      <c r="R142" s="9">
        <f>(0.16+0.64)/((E142/I142*24))</f>
        <v>66.666666666666671</v>
      </c>
      <c r="S142" s="9">
        <f t="shared" si="32"/>
        <v>82.608695652173907</v>
      </c>
      <c r="T142" t="s">
        <v>43</v>
      </c>
      <c r="U142" s="39">
        <f>((1.8-0.16)/1.8)*100</f>
        <v>91.111111111111114</v>
      </c>
      <c r="V142" t="s">
        <v>43</v>
      </c>
      <c r="W142" s="39">
        <f>((2.8-0.64)/2.8)*100</f>
        <v>77.142857142857139</v>
      </c>
      <c r="Y142" t="s">
        <v>43</v>
      </c>
      <c r="Z142" t="s">
        <v>43</v>
      </c>
      <c r="AA142" t="s">
        <v>43</v>
      </c>
      <c r="AB142" t="s">
        <v>43</v>
      </c>
      <c r="AC142" t="s">
        <v>43</v>
      </c>
      <c r="AD142" t="s">
        <v>43</v>
      </c>
      <c r="AE142" t="s">
        <v>43</v>
      </c>
      <c r="AG142" t="s">
        <v>43</v>
      </c>
      <c r="AH142" s="13">
        <f>0.48/(1.8+2.8)</f>
        <v>0.10434782608695653</v>
      </c>
      <c r="AI142" t="s">
        <v>43</v>
      </c>
      <c r="AJ142" t="s">
        <v>43</v>
      </c>
      <c r="AL142" s="33"/>
      <c r="AT142">
        <v>6</v>
      </c>
      <c r="AU142">
        <v>4</v>
      </c>
      <c r="AV142">
        <v>1</v>
      </c>
      <c r="AX142">
        <f t="shared" si="38"/>
        <v>17.917594692280549</v>
      </c>
      <c r="AZ142">
        <f t="shared" si="37"/>
        <v>10.986122886681098</v>
      </c>
    </row>
    <row r="143" spans="2:52" x14ac:dyDescent="0.2">
      <c r="B143" s="33" t="s">
        <v>46</v>
      </c>
      <c r="C143" s="33"/>
      <c r="D143" t="s">
        <v>43</v>
      </c>
      <c r="E143">
        <f t="shared" si="39"/>
        <v>8.0000000000000002E-3</v>
      </c>
      <c r="F143">
        <v>20</v>
      </c>
      <c r="G143" t="s">
        <v>43</v>
      </c>
      <c r="H143" t="s">
        <v>43</v>
      </c>
      <c r="I143">
        <v>10</v>
      </c>
      <c r="J143">
        <v>1.05</v>
      </c>
      <c r="L143" t="s">
        <v>43</v>
      </c>
      <c r="M143" s="9">
        <f>(3.2+5.3)/((E143/I143*24))</f>
        <v>442.70833333333331</v>
      </c>
      <c r="N143" t="s">
        <v>43</v>
      </c>
      <c r="O143" t="s">
        <v>43</v>
      </c>
      <c r="P143" t="s">
        <v>43</v>
      </c>
      <c r="Q143" t="s">
        <v>43</v>
      </c>
      <c r="R143" s="9">
        <f>(0.3+1.03)/((E143/I143*24))</f>
        <v>69.270833333333329</v>
      </c>
      <c r="S143" s="9">
        <f t="shared" si="32"/>
        <v>84.352941176470594</v>
      </c>
      <c r="T143" t="s">
        <v>43</v>
      </c>
      <c r="U143" s="39">
        <f>((3.2-0.3)/3.2)*100</f>
        <v>90.625000000000014</v>
      </c>
      <c r="V143" t="s">
        <v>43</v>
      </c>
      <c r="W143" s="39">
        <f>((5.3-1.03)/5.3)*100</f>
        <v>80.566037735849051</v>
      </c>
      <c r="Y143" t="s">
        <v>43</v>
      </c>
      <c r="Z143" t="s">
        <v>43</v>
      </c>
      <c r="AA143" t="s">
        <v>43</v>
      </c>
      <c r="AB143" t="s">
        <v>43</v>
      </c>
      <c r="AC143" t="s">
        <v>43</v>
      </c>
      <c r="AD143" t="s">
        <v>43</v>
      </c>
      <c r="AE143" t="s">
        <v>43</v>
      </c>
      <c r="AG143" t="s">
        <v>43</v>
      </c>
      <c r="AH143" s="13">
        <f>0.7/(3.2+5.3)</f>
        <v>8.2352941176470587E-2</v>
      </c>
      <c r="AI143" t="s">
        <v>43</v>
      </c>
      <c r="AJ143" t="s">
        <v>43</v>
      </c>
      <c r="AL143" s="33"/>
      <c r="AT143">
        <v>6</v>
      </c>
      <c r="AU143">
        <v>4</v>
      </c>
      <c r="AV143">
        <v>1</v>
      </c>
      <c r="AX143">
        <f t="shared" si="38"/>
        <v>17.917594692280549</v>
      </c>
      <c r="AZ143">
        <f t="shared" si="37"/>
        <v>10.986122886681098</v>
      </c>
    </row>
    <row r="144" spans="2:52" ht="15" x14ac:dyDescent="0.25">
      <c r="B144" s="33" t="s">
        <v>46</v>
      </c>
      <c r="C144" s="33"/>
      <c r="D144" t="s">
        <v>348</v>
      </c>
      <c r="E144">
        <f>3.84/1000</f>
        <v>3.8399999999999997E-3</v>
      </c>
      <c r="F144">
        <v>13</v>
      </c>
      <c r="G144" t="s">
        <v>43</v>
      </c>
      <c r="H144">
        <v>7.4999999999999997E-2</v>
      </c>
      <c r="I144">
        <v>8</v>
      </c>
      <c r="J144" s="12">
        <f t="shared" ref="J144:J154" si="40">((M144*(E144/I144)*24)/1000)/E144</f>
        <v>1.032</v>
      </c>
      <c r="L144" t="s">
        <v>43</v>
      </c>
      <c r="M144">
        <v>344</v>
      </c>
      <c r="N144" t="s">
        <v>43</v>
      </c>
      <c r="O144" t="s">
        <v>43</v>
      </c>
      <c r="P144" t="s">
        <v>43</v>
      </c>
      <c r="Q144" t="s">
        <v>43</v>
      </c>
      <c r="S144">
        <v>59</v>
      </c>
      <c r="T144" t="s">
        <v>43</v>
      </c>
      <c r="U144" t="s">
        <v>43</v>
      </c>
      <c r="V144" t="s">
        <v>43</v>
      </c>
      <c r="W144" t="s">
        <v>43</v>
      </c>
      <c r="Y144" t="s">
        <v>43</v>
      </c>
      <c r="Z144" t="s">
        <v>43</v>
      </c>
      <c r="AA144" t="s">
        <v>43</v>
      </c>
      <c r="AB144" t="s">
        <v>43</v>
      </c>
      <c r="AC144" t="s">
        <v>43</v>
      </c>
      <c r="AD144" t="s">
        <v>43</v>
      </c>
      <c r="AE144" t="s">
        <v>43</v>
      </c>
      <c r="AG144" t="s">
        <v>43</v>
      </c>
      <c r="AH144" t="s">
        <v>43</v>
      </c>
      <c r="AI144" t="s">
        <v>43</v>
      </c>
      <c r="AJ144" t="s">
        <v>43</v>
      </c>
      <c r="AL144" t="s">
        <v>134</v>
      </c>
      <c r="AT144">
        <v>4</v>
      </c>
      <c r="AU144">
        <v>4</v>
      </c>
      <c r="AV144">
        <v>1</v>
      </c>
      <c r="AX144">
        <f t="shared" si="38"/>
        <v>14.33407575382444</v>
      </c>
      <c r="AZ144">
        <f t="shared" si="37"/>
        <v>8.7888983093448783</v>
      </c>
    </row>
    <row r="145" spans="2:52" ht="15" x14ac:dyDescent="0.25">
      <c r="B145" s="33" t="s">
        <v>46</v>
      </c>
      <c r="C145" s="33"/>
      <c r="D145" t="s">
        <v>43</v>
      </c>
      <c r="E145">
        <v>0.155</v>
      </c>
      <c r="F145">
        <v>25</v>
      </c>
      <c r="G145" t="s">
        <v>43</v>
      </c>
      <c r="H145" t="s">
        <v>43</v>
      </c>
      <c r="I145">
        <v>6</v>
      </c>
      <c r="J145" s="12">
        <f t="shared" si="40"/>
        <v>1.5719999999999998</v>
      </c>
      <c r="L145">
        <v>138</v>
      </c>
      <c r="M145">
        <v>393</v>
      </c>
      <c r="N145">
        <v>56</v>
      </c>
      <c r="O145">
        <v>61</v>
      </c>
      <c r="P145">
        <v>46</v>
      </c>
      <c r="Q145" s="9">
        <f>((119-46)/119)*100</f>
        <v>61.344537815126053</v>
      </c>
      <c r="R145">
        <v>161</v>
      </c>
      <c r="S145">
        <v>58</v>
      </c>
      <c r="T145" s="39">
        <v>100</v>
      </c>
      <c r="U145" s="39">
        <f>(((393-178)-100)/(393-178))*100</f>
        <v>53.488372093023251</v>
      </c>
      <c r="V145" s="39">
        <v>61</v>
      </c>
      <c r="W145" s="39">
        <f>((178-61)/178)*100</f>
        <v>65.730337078651687</v>
      </c>
      <c r="Y145" t="s">
        <v>43</v>
      </c>
      <c r="Z145" t="s">
        <v>43</v>
      </c>
      <c r="AA145" t="s">
        <v>43</v>
      </c>
      <c r="AB145" t="s">
        <v>43</v>
      </c>
      <c r="AC145" t="s">
        <v>43</v>
      </c>
      <c r="AD145" t="s">
        <v>43</v>
      </c>
      <c r="AE145" t="s">
        <v>43</v>
      </c>
      <c r="AG145" t="s">
        <v>43</v>
      </c>
      <c r="AH145" t="s">
        <v>43</v>
      </c>
      <c r="AI145" t="s">
        <v>43</v>
      </c>
      <c r="AJ145" t="s">
        <v>43</v>
      </c>
      <c r="AL145" t="s">
        <v>138</v>
      </c>
      <c r="AT145" t="s">
        <v>43</v>
      </c>
      <c r="AU145" t="s">
        <v>43</v>
      </c>
      <c r="AV145">
        <v>1</v>
      </c>
      <c r="AX145" t="s">
        <v>43</v>
      </c>
      <c r="AZ145" t="s">
        <v>43</v>
      </c>
    </row>
    <row r="146" spans="2:52" ht="15" x14ac:dyDescent="0.25">
      <c r="B146" s="33" t="s">
        <v>46</v>
      </c>
      <c r="C146" s="33"/>
      <c r="D146" t="s">
        <v>43</v>
      </c>
      <c r="E146">
        <f>21.5/1000</f>
        <v>2.1499999999999998E-2</v>
      </c>
      <c r="F146">
        <v>25</v>
      </c>
      <c r="G146">
        <v>57</v>
      </c>
      <c r="H146" t="s">
        <v>43</v>
      </c>
      <c r="I146">
        <v>4.7</v>
      </c>
      <c r="J146" s="12">
        <f t="shared" si="40"/>
        <v>1.5931914893617023</v>
      </c>
      <c r="L146" t="s">
        <v>43</v>
      </c>
      <c r="M146">
        <v>312</v>
      </c>
      <c r="N146" t="s">
        <v>43</v>
      </c>
      <c r="O146" t="s">
        <v>43</v>
      </c>
      <c r="P146" t="s">
        <v>43</v>
      </c>
      <c r="Q146" t="s">
        <v>43</v>
      </c>
      <c r="R146" t="s">
        <v>43</v>
      </c>
      <c r="S146">
        <v>70</v>
      </c>
      <c r="T146" t="s">
        <v>43</v>
      </c>
      <c r="U146" t="s">
        <v>43</v>
      </c>
      <c r="Y146" t="s">
        <v>43</v>
      </c>
      <c r="Z146" t="s">
        <v>43</v>
      </c>
      <c r="AA146" t="s">
        <v>43</v>
      </c>
      <c r="AB146" t="s">
        <v>43</v>
      </c>
      <c r="AC146" t="s">
        <v>43</v>
      </c>
      <c r="AD146" t="s">
        <v>43</v>
      </c>
      <c r="AE146" t="s">
        <v>43</v>
      </c>
      <c r="AH146">
        <v>0.6</v>
      </c>
      <c r="AL146" s="33" t="s">
        <v>139</v>
      </c>
      <c r="AT146">
        <v>8</v>
      </c>
      <c r="AU146">
        <v>4</v>
      </c>
      <c r="AV146">
        <v>1</v>
      </c>
      <c r="AX146">
        <f t="shared" si="38"/>
        <v>21.501113630736661</v>
      </c>
      <c r="AZ146">
        <f t="shared" si="37"/>
        <v>13.183347464017316</v>
      </c>
    </row>
    <row r="147" spans="2:52" ht="15" x14ac:dyDescent="0.25">
      <c r="B147" s="33" t="s">
        <v>46</v>
      </c>
      <c r="C147" s="33"/>
      <c r="D147" t="s">
        <v>43</v>
      </c>
      <c r="E147">
        <f t="shared" ref="E147:E150" si="41">21.5/1000</f>
        <v>2.1499999999999998E-2</v>
      </c>
      <c r="F147">
        <v>22</v>
      </c>
      <c r="G147">
        <v>36</v>
      </c>
      <c r="H147" t="s">
        <v>43</v>
      </c>
      <c r="I147">
        <v>4.7</v>
      </c>
      <c r="J147" s="12">
        <f t="shared" si="40"/>
        <v>1.5931914893617023</v>
      </c>
      <c r="L147" t="s">
        <v>43</v>
      </c>
      <c r="M147">
        <v>312</v>
      </c>
      <c r="N147" t="s">
        <v>43</v>
      </c>
      <c r="O147" t="s">
        <v>43</v>
      </c>
      <c r="P147" t="s">
        <v>43</v>
      </c>
      <c r="Q147" t="s">
        <v>43</v>
      </c>
      <c r="R147" t="s">
        <v>43</v>
      </c>
      <c r="S147">
        <v>70</v>
      </c>
      <c r="T147" t="s">
        <v>43</v>
      </c>
      <c r="U147" t="s">
        <v>43</v>
      </c>
      <c r="Y147" t="s">
        <v>43</v>
      </c>
      <c r="Z147" t="s">
        <v>43</v>
      </c>
      <c r="AA147" t="s">
        <v>43</v>
      </c>
      <c r="AB147" t="s">
        <v>43</v>
      </c>
      <c r="AC147" t="s">
        <v>43</v>
      </c>
      <c r="AD147" t="s">
        <v>43</v>
      </c>
      <c r="AE147" t="s">
        <v>43</v>
      </c>
      <c r="AH147">
        <v>0.59</v>
      </c>
      <c r="AL147" s="33"/>
      <c r="AT147">
        <v>8</v>
      </c>
      <c r="AU147">
        <v>4</v>
      </c>
      <c r="AV147">
        <v>1</v>
      </c>
      <c r="AX147">
        <f t="shared" si="38"/>
        <v>21.501113630736661</v>
      </c>
      <c r="AZ147">
        <f t="shared" si="37"/>
        <v>13.183347464017316</v>
      </c>
    </row>
    <row r="148" spans="2:52" ht="15" x14ac:dyDescent="0.25">
      <c r="B148" s="33" t="s">
        <v>46</v>
      </c>
      <c r="C148" s="33"/>
      <c r="D148" t="s">
        <v>43</v>
      </c>
      <c r="E148">
        <f t="shared" si="41"/>
        <v>2.1499999999999998E-2</v>
      </c>
      <c r="F148">
        <v>19</v>
      </c>
      <c r="G148">
        <v>31</v>
      </c>
      <c r="H148" t="s">
        <v>43</v>
      </c>
      <c r="I148">
        <v>4.7</v>
      </c>
      <c r="J148" s="12">
        <f t="shared" si="40"/>
        <v>1.5931914893617023</v>
      </c>
      <c r="L148" t="s">
        <v>43</v>
      </c>
      <c r="M148">
        <v>312</v>
      </c>
      <c r="N148" t="s">
        <v>43</v>
      </c>
      <c r="O148" t="s">
        <v>43</v>
      </c>
      <c r="P148" t="s">
        <v>43</v>
      </c>
      <c r="Q148" t="s">
        <v>43</v>
      </c>
      <c r="R148" t="s">
        <v>43</v>
      </c>
      <c r="S148">
        <v>72</v>
      </c>
      <c r="T148" t="s">
        <v>43</v>
      </c>
      <c r="U148" t="s">
        <v>43</v>
      </c>
      <c r="Y148" t="s">
        <v>43</v>
      </c>
      <c r="Z148" t="s">
        <v>43</v>
      </c>
      <c r="AA148" t="s">
        <v>43</v>
      </c>
      <c r="AB148" t="s">
        <v>43</v>
      </c>
      <c r="AC148" t="s">
        <v>43</v>
      </c>
      <c r="AD148" t="s">
        <v>43</v>
      </c>
      <c r="AE148" t="s">
        <v>43</v>
      </c>
      <c r="AH148">
        <v>0.52</v>
      </c>
      <c r="AL148" s="33"/>
      <c r="AT148">
        <v>8</v>
      </c>
      <c r="AU148">
        <v>4</v>
      </c>
      <c r="AV148">
        <v>1</v>
      </c>
      <c r="AX148">
        <f t="shared" si="38"/>
        <v>21.501113630736661</v>
      </c>
      <c r="AZ148">
        <f t="shared" si="37"/>
        <v>13.183347464017316</v>
      </c>
    </row>
    <row r="149" spans="2:52" ht="15" x14ac:dyDescent="0.25">
      <c r="B149" s="33" t="s">
        <v>46</v>
      </c>
      <c r="C149" s="33"/>
      <c r="D149" t="s">
        <v>43</v>
      </c>
      <c r="E149">
        <f t="shared" si="41"/>
        <v>2.1499999999999998E-2</v>
      </c>
      <c r="F149">
        <v>16</v>
      </c>
      <c r="G149">
        <v>29</v>
      </c>
      <c r="H149" t="s">
        <v>43</v>
      </c>
      <c r="I149">
        <v>4.7</v>
      </c>
      <c r="J149" s="12">
        <f t="shared" si="40"/>
        <v>1.5931914893617023</v>
      </c>
      <c r="L149" t="s">
        <v>43</v>
      </c>
      <c r="M149">
        <v>312</v>
      </c>
      <c r="N149" t="s">
        <v>43</v>
      </c>
      <c r="O149" t="s">
        <v>43</v>
      </c>
      <c r="P149" t="s">
        <v>43</v>
      </c>
      <c r="Q149" t="s">
        <v>43</v>
      </c>
      <c r="R149" t="s">
        <v>43</v>
      </c>
      <c r="S149">
        <v>71</v>
      </c>
      <c r="T149" t="s">
        <v>43</v>
      </c>
      <c r="U149" t="s">
        <v>43</v>
      </c>
      <c r="Y149" t="s">
        <v>43</v>
      </c>
      <c r="Z149" t="s">
        <v>43</v>
      </c>
      <c r="AA149" t="s">
        <v>43</v>
      </c>
      <c r="AB149" t="s">
        <v>43</v>
      </c>
      <c r="AC149" t="s">
        <v>43</v>
      </c>
      <c r="AD149" t="s">
        <v>43</v>
      </c>
      <c r="AE149" t="s">
        <v>43</v>
      </c>
      <c r="AH149">
        <v>0.49</v>
      </c>
      <c r="AL149" s="33"/>
      <c r="AT149">
        <v>8</v>
      </c>
      <c r="AU149">
        <v>4</v>
      </c>
      <c r="AV149">
        <v>1</v>
      </c>
      <c r="AX149">
        <f t="shared" si="38"/>
        <v>21.501113630736661</v>
      </c>
      <c r="AZ149">
        <f t="shared" si="37"/>
        <v>13.183347464017316</v>
      </c>
    </row>
    <row r="150" spans="2:52" ht="15" x14ac:dyDescent="0.25">
      <c r="B150" s="33" t="s">
        <v>46</v>
      </c>
      <c r="C150" s="33"/>
      <c r="D150" t="s">
        <v>43</v>
      </c>
      <c r="E150">
        <f t="shared" si="41"/>
        <v>2.1499999999999998E-2</v>
      </c>
      <c r="F150">
        <v>13</v>
      </c>
      <c r="G150">
        <v>25</v>
      </c>
      <c r="H150" t="s">
        <v>43</v>
      </c>
      <c r="I150">
        <v>4.7</v>
      </c>
      <c r="J150" s="12">
        <f t="shared" si="40"/>
        <v>1.5931914893617023</v>
      </c>
      <c r="L150" t="s">
        <v>43</v>
      </c>
      <c r="M150">
        <v>312</v>
      </c>
      <c r="N150" t="s">
        <v>43</v>
      </c>
      <c r="O150" t="s">
        <v>43</v>
      </c>
      <c r="P150" t="s">
        <v>43</v>
      </c>
      <c r="Q150" t="s">
        <v>43</v>
      </c>
      <c r="R150" t="s">
        <v>43</v>
      </c>
      <c r="S150">
        <v>64</v>
      </c>
      <c r="T150" t="s">
        <v>43</v>
      </c>
      <c r="U150" t="s">
        <v>43</v>
      </c>
      <c r="Y150" t="s">
        <v>43</v>
      </c>
      <c r="Z150" t="s">
        <v>43</v>
      </c>
      <c r="AA150" t="s">
        <v>43</v>
      </c>
      <c r="AB150" t="s">
        <v>43</v>
      </c>
      <c r="AC150" t="s">
        <v>43</v>
      </c>
      <c r="AD150" t="s">
        <v>43</v>
      </c>
      <c r="AE150" t="s">
        <v>43</v>
      </c>
      <c r="AH150">
        <v>0.35</v>
      </c>
      <c r="AL150" s="33"/>
      <c r="AT150">
        <v>8</v>
      </c>
      <c r="AU150">
        <v>4</v>
      </c>
      <c r="AV150">
        <v>1</v>
      </c>
      <c r="AX150">
        <f t="shared" si="38"/>
        <v>21.501113630736661</v>
      </c>
      <c r="AZ150">
        <f t="shared" si="37"/>
        <v>13.183347464017316</v>
      </c>
    </row>
    <row r="151" spans="2:52" ht="15" x14ac:dyDescent="0.25">
      <c r="B151" s="33" t="s">
        <v>46</v>
      </c>
      <c r="C151" s="33"/>
      <c r="D151" t="s">
        <v>43</v>
      </c>
      <c r="E151">
        <v>0.15</v>
      </c>
      <c r="F151">
        <v>21</v>
      </c>
      <c r="G151">
        <f>6*30</f>
        <v>180</v>
      </c>
      <c r="H151" t="s">
        <v>43</v>
      </c>
      <c r="I151">
        <v>6</v>
      </c>
      <c r="J151" s="12">
        <f t="shared" si="40"/>
        <v>2.2759999999999998</v>
      </c>
      <c r="L151">
        <v>131</v>
      </c>
      <c r="M151">
        <v>569</v>
      </c>
      <c r="N151">
        <v>49</v>
      </c>
      <c r="O151">
        <v>62</v>
      </c>
      <c r="R151">
        <v>167</v>
      </c>
      <c r="S151">
        <v>71</v>
      </c>
      <c r="T151" s="38"/>
      <c r="U151" s="39">
        <f>(((569-243)-(167-99))/(569-243))*100</f>
        <v>79.141104294478524</v>
      </c>
      <c r="V151" s="38"/>
      <c r="W151" s="38">
        <v>82</v>
      </c>
      <c r="Y151" t="s">
        <v>43</v>
      </c>
      <c r="Z151" t="s">
        <v>43</v>
      </c>
      <c r="AA151" t="s">
        <v>43</v>
      </c>
      <c r="AB151" t="s">
        <v>43</v>
      </c>
      <c r="AC151" t="s">
        <v>43</v>
      </c>
      <c r="AD151" t="s">
        <v>43</v>
      </c>
      <c r="AE151" t="s">
        <v>43</v>
      </c>
      <c r="AG151" t="s">
        <v>43</v>
      </c>
      <c r="AH151" t="s">
        <v>43</v>
      </c>
      <c r="AI151" t="s">
        <v>43</v>
      </c>
      <c r="AJ151" t="s">
        <v>43</v>
      </c>
      <c r="AL151" t="s">
        <v>351</v>
      </c>
      <c r="AT151" t="s">
        <v>43</v>
      </c>
      <c r="AU151" t="s">
        <v>43</v>
      </c>
      <c r="AV151">
        <v>1</v>
      </c>
      <c r="AX151" t="s">
        <v>43</v>
      </c>
      <c r="AZ151" t="s">
        <v>43</v>
      </c>
    </row>
    <row r="152" spans="2:52" ht="15" x14ac:dyDescent="0.25">
      <c r="B152" s="33" t="s">
        <v>46</v>
      </c>
      <c r="C152" s="33"/>
      <c r="D152" t="s">
        <v>43</v>
      </c>
      <c r="E152">
        <v>250</v>
      </c>
      <c r="F152">
        <v>31</v>
      </c>
      <c r="G152">
        <v>200</v>
      </c>
      <c r="H152">
        <v>0.56999999999999995</v>
      </c>
      <c r="I152">
        <v>8.8000000000000007</v>
      </c>
      <c r="J152" s="12">
        <f t="shared" si="40"/>
        <v>0.79090909090909089</v>
      </c>
      <c r="L152">
        <v>139</v>
      </c>
      <c r="M152">
        <v>290</v>
      </c>
      <c r="N152">
        <v>64</v>
      </c>
      <c r="O152" s="9">
        <f t="shared" ref="O152:O154" si="42">((L152-N152)/L152)*100</f>
        <v>53.956834532374096</v>
      </c>
      <c r="R152">
        <v>125</v>
      </c>
      <c r="S152" s="9">
        <f t="shared" ref="S152:S154" si="43">((M152-R152)/M152)*100</f>
        <v>56.896551724137936</v>
      </c>
      <c r="T152" s="38">
        <f>R152-V152</f>
        <v>41</v>
      </c>
      <c r="U152" s="39">
        <f>(((290-140)-T152)/(290-140))*100</f>
        <v>72.666666666666671</v>
      </c>
      <c r="V152" s="38">
        <v>84</v>
      </c>
      <c r="W152" s="38">
        <f>((140-V152)/140)*100</f>
        <v>40</v>
      </c>
      <c r="Y152" t="s">
        <v>43</v>
      </c>
      <c r="Z152" t="s">
        <v>43</v>
      </c>
      <c r="AA152" t="s">
        <v>43</v>
      </c>
      <c r="AB152" t="s">
        <v>43</v>
      </c>
      <c r="AC152" t="s">
        <v>43</v>
      </c>
      <c r="AD152" t="s">
        <v>43</v>
      </c>
      <c r="AE152" t="s">
        <v>43</v>
      </c>
      <c r="AG152" t="s">
        <v>43</v>
      </c>
      <c r="AH152" t="s">
        <v>43</v>
      </c>
      <c r="AI152" t="s">
        <v>43</v>
      </c>
      <c r="AJ152" t="s">
        <v>43</v>
      </c>
      <c r="AL152" s="33" t="s">
        <v>143</v>
      </c>
      <c r="AT152" t="s">
        <v>43</v>
      </c>
      <c r="AU152" t="s">
        <v>43</v>
      </c>
      <c r="AV152">
        <v>1</v>
      </c>
      <c r="AX152" t="s">
        <v>43</v>
      </c>
      <c r="AZ152" t="s">
        <v>43</v>
      </c>
    </row>
    <row r="153" spans="2:52" ht="15" x14ac:dyDescent="0.25">
      <c r="B153" s="33" t="s">
        <v>46</v>
      </c>
      <c r="C153" s="33"/>
      <c r="D153" t="s">
        <v>43</v>
      </c>
      <c r="E153">
        <v>250</v>
      </c>
      <c r="F153">
        <v>31</v>
      </c>
      <c r="G153">
        <v>300</v>
      </c>
      <c r="H153">
        <v>0.53</v>
      </c>
      <c r="I153">
        <v>9.4</v>
      </c>
      <c r="J153" s="12">
        <f t="shared" si="40"/>
        <v>1.4017021276595745</v>
      </c>
      <c r="L153">
        <v>196</v>
      </c>
      <c r="M153">
        <v>549</v>
      </c>
      <c r="N153">
        <v>96</v>
      </c>
      <c r="O153" s="9">
        <f t="shared" si="42"/>
        <v>51.020408163265309</v>
      </c>
      <c r="R153">
        <v>137</v>
      </c>
      <c r="S153" s="9">
        <f t="shared" si="43"/>
        <v>75.045537340619305</v>
      </c>
      <c r="T153" s="38">
        <f t="shared" ref="T153:T154" si="44">R153-V153</f>
        <v>52</v>
      </c>
      <c r="U153" s="39">
        <f>(((549-313)-T153)/(549-313))*100</f>
        <v>77.966101694915253</v>
      </c>
      <c r="V153" s="38">
        <v>85</v>
      </c>
      <c r="W153" s="39">
        <f>((313-V153)/313)*100</f>
        <v>72.843450479233226</v>
      </c>
      <c r="Y153" t="s">
        <v>43</v>
      </c>
      <c r="Z153" t="s">
        <v>43</v>
      </c>
      <c r="AA153" t="s">
        <v>43</v>
      </c>
      <c r="AB153" t="s">
        <v>43</v>
      </c>
      <c r="AC153" t="s">
        <v>43</v>
      </c>
      <c r="AD153" t="s">
        <v>43</v>
      </c>
      <c r="AE153" t="s">
        <v>43</v>
      </c>
      <c r="AG153" t="s">
        <v>43</v>
      </c>
      <c r="AH153" t="s">
        <v>43</v>
      </c>
      <c r="AI153" t="s">
        <v>43</v>
      </c>
      <c r="AJ153" t="s">
        <v>43</v>
      </c>
      <c r="AL153" s="33"/>
      <c r="AT153" t="s">
        <v>43</v>
      </c>
      <c r="AU153" t="s">
        <v>43</v>
      </c>
      <c r="AV153">
        <v>1</v>
      </c>
      <c r="AX153" t="s">
        <v>43</v>
      </c>
      <c r="AZ153" t="s">
        <v>43</v>
      </c>
    </row>
    <row r="154" spans="2:52" ht="15" x14ac:dyDescent="0.25">
      <c r="B154" s="33" t="s">
        <v>46</v>
      </c>
      <c r="C154" s="33"/>
      <c r="D154" t="s">
        <v>43</v>
      </c>
      <c r="E154">
        <v>250</v>
      </c>
      <c r="F154">
        <v>30</v>
      </c>
      <c r="G154">
        <f>950-500</f>
        <v>450</v>
      </c>
      <c r="H154">
        <v>0.52</v>
      </c>
      <c r="I154">
        <v>9.6999999999999993</v>
      </c>
      <c r="J154" s="12">
        <f t="shared" si="40"/>
        <v>1.3929896907216497</v>
      </c>
      <c r="L154">
        <v>204</v>
      </c>
      <c r="M154">
        <v>563</v>
      </c>
      <c r="N154">
        <v>80</v>
      </c>
      <c r="O154" s="9">
        <f t="shared" si="42"/>
        <v>60.784313725490193</v>
      </c>
      <c r="R154">
        <v>202</v>
      </c>
      <c r="S154" s="9">
        <f t="shared" si="43"/>
        <v>64.120781527531079</v>
      </c>
      <c r="T154" s="38">
        <f t="shared" si="44"/>
        <v>77</v>
      </c>
      <c r="U154" s="39">
        <f>(((563-290)-T154)/(563-290))*100</f>
        <v>71.794871794871796</v>
      </c>
      <c r="V154" s="38">
        <v>125</v>
      </c>
      <c r="W154" s="39">
        <f>((290-V154)/290)*100</f>
        <v>56.896551724137936</v>
      </c>
      <c r="Y154" t="s">
        <v>43</v>
      </c>
      <c r="Z154" t="s">
        <v>43</v>
      </c>
      <c r="AA154" t="s">
        <v>43</v>
      </c>
      <c r="AB154" t="s">
        <v>43</v>
      </c>
      <c r="AC154" t="s">
        <v>43</v>
      </c>
      <c r="AD154" t="s">
        <v>43</v>
      </c>
      <c r="AE154" t="s">
        <v>43</v>
      </c>
      <c r="AG154" t="s">
        <v>43</v>
      </c>
      <c r="AH154" t="s">
        <v>43</v>
      </c>
      <c r="AI154" t="s">
        <v>43</v>
      </c>
      <c r="AJ154" t="s">
        <v>43</v>
      </c>
      <c r="AL154" s="33"/>
      <c r="AT154" t="s">
        <v>43</v>
      </c>
      <c r="AU154" t="s">
        <v>43</v>
      </c>
      <c r="AV154">
        <v>1</v>
      </c>
      <c r="AX154" t="s">
        <v>43</v>
      </c>
      <c r="AZ154" t="s">
        <v>43</v>
      </c>
    </row>
    <row r="155" spans="2:52" x14ac:dyDescent="0.2">
      <c r="B155" s="33" t="s">
        <v>46</v>
      </c>
      <c r="C155" s="33"/>
      <c r="D155" t="s">
        <v>43</v>
      </c>
      <c r="E155">
        <v>60</v>
      </c>
      <c r="F155">
        <v>25</v>
      </c>
      <c r="G155" s="2" t="s">
        <v>43</v>
      </c>
      <c r="H155" t="s">
        <v>355</v>
      </c>
      <c r="I155" t="s">
        <v>354</v>
      </c>
      <c r="J155" t="s">
        <v>356</v>
      </c>
      <c r="L155">
        <v>431</v>
      </c>
      <c r="M155">
        <v>1612</v>
      </c>
      <c r="N155" t="s">
        <v>43</v>
      </c>
      <c r="O155">
        <v>60</v>
      </c>
      <c r="P155" t="s">
        <v>43</v>
      </c>
      <c r="Q155">
        <v>70</v>
      </c>
      <c r="R155" t="s">
        <v>43</v>
      </c>
      <c r="S155">
        <v>62</v>
      </c>
      <c r="T155" s="38" t="s">
        <v>43</v>
      </c>
      <c r="U155" s="38">
        <v>55</v>
      </c>
      <c r="V155" s="38"/>
      <c r="W155" s="38">
        <v>26</v>
      </c>
      <c r="Y155" t="s">
        <v>43</v>
      </c>
      <c r="Z155" t="s">
        <v>43</v>
      </c>
      <c r="AA155" t="s">
        <v>43</v>
      </c>
      <c r="AB155" t="s">
        <v>43</v>
      </c>
      <c r="AC155" t="s">
        <v>43</v>
      </c>
      <c r="AD155" t="s">
        <v>43</v>
      </c>
      <c r="AE155" t="s">
        <v>43</v>
      </c>
      <c r="AG155" t="s">
        <v>43</v>
      </c>
      <c r="AH155" t="s">
        <v>43</v>
      </c>
      <c r="AI155" t="s">
        <v>43</v>
      </c>
      <c r="AJ155">
        <v>0.40200000000000002</v>
      </c>
      <c r="AL155" s="33" t="s">
        <v>357</v>
      </c>
      <c r="AT155">
        <v>6</v>
      </c>
      <c r="AU155">
        <v>4</v>
      </c>
      <c r="AV155">
        <v>1</v>
      </c>
      <c r="AX155">
        <f t="shared" ref="AX155:AX158" si="45">(AU155+AT155)*LN((AU155+2))</f>
        <v>17.917594692280549</v>
      </c>
      <c r="AZ155">
        <f t="shared" si="37"/>
        <v>10.986122886681098</v>
      </c>
    </row>
    <row r="156" spans="2:52" x14ac:dyDescent="0.2">
      <c r="B156" s="33" t="s">
        <v>46</v>
      </c>
      <c r="C156" s="33"/>
      <c r="D156" t="s">
        <v>43</v>
      </c>
      <c r="E156">
        <v>60</v>
      </c>
      <c r="F156">
        <v>18</v>
      </c>
      <c r="G156" s="2" t="s">
        <v>43</v>
      </c>
      <c r="H156" t="s">
        <v>355</v>
      </c>
      <c r="I156" t="s">
        <v>354</v>
      </c>
      <c r="J156" t="s">
        <v>356</v>
      </c>
      <c r="L156">
        <v>352</v>
      </c>
      <c r="M156">
        <v>1419</v>
      </c>
      <c r="N156" t="s">
        <v>43</v>
      </c>
      <c r="O156">
        <v>55</v>
      </c>
      <c r="P156" t="s">
        <v>43</v>
      </c>
      <c r="Q156">
        <v>62</v>
      </c>
      <c r="R156" t="s">
        <v>43</v>
      </c>
      <c r="S156">
        <v>51</v>
      </c>
      <c r="T156" s="38" t="s">
        <v>43</v>
      </c>
      <c r="U156" s="38">
        <v>50</v>
      </c>
      <c r="V156" s="38"/>
      <c r="W156" s="38">
        <v>23</v>
      </c>
      <c r="Y156" t="s">
        <v>43</v>
      </c>
      <c r="Z156" t="s">
        <v>43</v>
      </c>
      <c r="AA156" t="s">
        <v>43</v>
      </c>
      <c r="AB156" t="s">
        <v>43</v>
      </c>
      <c r="AC156" t="s">
        <v>43</v>
      </c>
      <c r="AD156" t="s">
        <v>43</v>
      </c>
      <c r="AE156" t="s">
        <v>43</v>
      </c>
      <c r="AG156" t="s">
        <v>43</v>
      </c>
      <c r="AH156" t="s">
        <v>43</v>
      </c>
      <c r="AI156" t="s">
        <v>43</v>
      </c>
      <c r="AJ156">
        <v>0.249</v>
      </c>
      <c r="AL156" s="33"/>
      <c r="AT156">
        <v>6</v>
      </c>
      <c r="AU156">
        <v>4</v>
      </c>
      <c r="AV156">
        <v>1</v>
      </c>
      <c r="AX156">
        <f t="shared" si="45"/>
        <v>17.917594692280549</v>
      </c>
      <c r="AZ156">
        <f t="shared" si="37"/>
        <v>10.986122886681098</v>
      </c>
    </row>
    <row r="157" spans="2:52" x14ac:dyDescent="0.2">
      <c r="B157" s="33" t="s">
        <v>46</v>
      </c>
      <c r="C157" s="33"/>
      <c r="D157" t="s">
        <v>43</v>
      </c>
      <c r="E157">
        <v>60</v>
      </c>
      <c r="F157">
        <v>22</v>
      </c>
      <c r="G157" s="2" t="s">
        <v>43</v>
      </c>
      <c r="H157" t="s">
        <v>355</v>
      </c>
      <c r="I157" t="s">
        <v>354</v>
      </c>
      <c r="J157" t="s">
        <v>356</v>
      </c>
      <c r="L157">
        <v>404</v>
      </c>
      <c r="M157">
        <v>1429</v>
      </c>
      <c r="N157" t="s">
        <v>43</v>
      </c>
      <c r="O157">
        <v>62</v>
      </c>
      <c r="P157" t="s">
        <v>43</v>
      </c>
      <c r="Q157">
        <v>65</v>
      </c>
      <c r="R157" t="s">
        <v>43</v>
      </c>
      <c r="S157">
        <v>58</v>
      </c>
      <c r="T157" s="38" t="s">
        <v>43</v>
      </c>
      <c r="U157" s="38">
        <v>53</v>
      </c>
      <c r="V157" s="38"/>
      <c r="W157" s="38">
        <v>37</v>
      </c>
      <c r="Y157" t="s">
        <v>43</v>
      </c>
      <c r="Z157" t="s">
        <v>43</v>
      </c>
      <c r="AA157" t="s">
        <v>43</v>
      </c>
      <c r="AB157" t="s">
        <v>43</v>
      </c>
      <c r="AC157" t="s">
        <v>43</v>
      </c>
      <c r="AD157" t="s">
        <v>43</v>
      </c>
      <c r="AE157" t="s">
        <v>43</v>
      </c>
      <c r="AG157" t="s">
        <v>43</v>
      </c>
      <c r="AH157" t="s">
        <v>43</v>
      </c>
      <c r="AI157" t="s">
        <v>43</v>
      </c>
      <c r="AJ157">
        <v>0.439</v>
      </c>
      <c r="AL157" s="33"/>
      <c r="AT157">
        <v>6</v>
      </c>
      <c r="AU157">
        <v>4</v>
      </c>
      <c r="AV157">
        <v>1</v>
      </c>
      <c r="AX157">
        <f t="shared" si="45"/>
        <v>17.917594692280549</v>
      </c>
      <c r="AZ157">
        <f t="shared" si="37"/>
        <v>10.986122886681098</v>
      </c>
    </row>
    <row r="158" spans="2:52" ht="15" x14ac:dyDescent="0.25">
      <c r="B158" s="33" t="s">
        <v>46</v>
      </c>
      <c r="C158" s="33"/>
      <c r="D158" t="s">
        <v>273</v>
      </c>
      <c r="E158">
        <v>1.1479999999999999</v>
      </c>
      <c r="F158" t="s">
        <v>358</v>
      </c>
      <c r="G158" s="2" t="s">
        <v>43</v>
      </c>
      <c r="H158" t="s">
        <v>43</v>
      </c>
      <c r="I158">
        <v>6</v>
      </c>
      <c r="J158" s="12">
        <f t="shared" ref="J158:J180" si="46">((M158*(E158/I158)*24)/1000)/E158</f>
        <v>2.1280000000000001</v>
      </c>
      <c r="L158" t="s">
        <v>43</v>
      </c>
      <c r="M158">
        <v>532</v>
      </c>
      <c r="N158" t="s">
        <v>43</v>
      </c>
      <c r="O158" t="s">
        <v>43</v>
      </c>
      <c r="P158" t="s">
        <v>43</v>
      </c>
      <c r="Q158" t="s">
        <v>43</v>
      </c>
      <c r="R158">
        <v>195</v>
      </c>
      <c r="S158">
        <v>63</v>
      </c>
      <c r="T158" s="38">
        <f>R158-V158</f>
        <v>106</v>
      </c>
      <c r="U158" s="39">
        <f>(((532-160)-T158)/(532-160))*100</f>
        <v>71.505376344086031</v>
      </c>
      <c r="V158" s="39">
        <v>89</v>
      </c>
      <c r="W158" s="39">
        <f>((160-V158)/160)*100</f>
        <v>44.375</v>
      </c>
      <c r="Y158" t="s">
        <v>43</v>
      </c>
      <c r="Z158" t="s">
        <v>43</v>
      </c>
      <c r="AA158" t="s">
        <v>43</v>
      </c>
      <c r="AB158" t="s">
        <v>43</v>
      </c>
      <c r="AC158" t="s">
        <v>43</v>
      </c>
      <c r="AD158" t="s">
        <v>43</v>
      </c>
      <c r="AE158" t="s">
        <v>43</v>
      </c>
      <c r="AG158" t="s">
        <v>43</v>
      </c>
      <c r="AH158" t="s">
        <v>43</v>
      </c>
      <c r="AI158" t="s">
        <v>43</v>
      </c>
      <c r="AJ158" t="s">
        <v>43</v>
      </c>
      <c r="AL158" t="s">
        <v>151</v>
      </c>
      <c r="AT158">
        <v>4</v>
      </c>
      <c r="AU158">
        <v>4</v>
      </c>
      <c r="AV158">
        <v>1</v>
      </c>
      <c r="AX158">
        <f t="shared" si="45"/>
        <v>14.33407575382444</v>
      </c>
      <c r="AZ158">
        <f t="shared" si="37"/>
        <v>8.7888983093448783</v>
      </c>
    </row>
    <row r="159" spans="2:52" ht="15" x14ac:dyDescent="0.25">
      <c r="B159" s="33" t="s">
        <v>46</v>
      </c>
      <c r="C159" s="33"/>
      <c r="D159" t="s">
        <v>273</v>
      </c>
      <c r="E159">
        <v>0.12</v>
      </c>
      <c r="F159">
        <v>27</v>
      </c>
      <c r="G159">
        <v>226</v>
      </c>
      <c r="H159" s="13">
        <f>(E159/I159)/(PI()*(0.1)^2)</f>
        <v>0.63661977236758127</v>
      </c>
      <c r="I159">
        <v>6</v>
      </c>
      <c r="J159" s="12">
        <f t="shared" si="46"/>
        <v>3.2640000000000002</v>
      </c>
      <c r="L159" t="s">
        <v>43</v>
      </c>
      <c r="M159">
        <v>816</v>
      </c>
      <c r="N159" t="s">
        <v>43</v>
      </c>
      <c r="O159" t="s">
        <v>43</v>
      </c>
      <c r="P159" t="s">
        <v>43</v>
      </c>
      <c r="Q159" t="s">
        <v>43</v>
      </c>
      <c r="R159">
        <v>343</v>
      </c>
      <c r="S159" s="9">
        <f t="shared" ref="S159:S166" si="47">((M159-R159)/M159)*100</f>
        <v>57.965686274509807</v>
      </c>
      <c r="T159" s="38"/>
      <c r="U159" s="38">
        <v>93.3</v>
      </c>
      <c r="V159" s="38"/>
      <c r="W159" s="38">
        <v>44.6</v>
      </c>
      <c r="Y159" t="s">
        <v>43</v>
      </c>
      <c r="Z159" t="s">
        <v>43</v>
      </c>
      <c r="AA159" t="s">
        <v>43</v>
      </c>
      <c r="AB159" t="s">
        <v>43</v>
      </c>
      <c r="AC159" t="s">
        <v>43</v>
      </c>
      <c r="AD159" t="s">
        <v>43</v>
      </c>
      <c r="AE159" t="s">
        <v>43</v>
      </c>
      <c r="AG159" t="s">
        <v>43</v>
      </c>
      <c r="AH159">
        <f>471/M159</f>
        <v>0.57720588235294112</v>
      </c>
      <c r="AI159" t="s">
        <v>43</v>
      </c>
      <c r="AJ159" t="s">
        <v>43</v>
      </c>
      <c r="AL159" s="33" t="s">
        <v>152</v>
      </c>
      <c r="AM159" t="s">
        <v>376</v>
      </c>
      <c r="AT159" t="s">
        <v>43</v>
      </c>
      <c r="AU159" t="s">
        <v>43</v>
      </c>
      <c r="AV159">
        <v>1</v>
      </c>
      <c r="AX159" t="s">
        <v>43</v>
      </c>
      <c r="AZ159" t="s">
        <v>43</v>
      </c>
    </row>
    <row r="160" spans="2:52" ht="15" x14ac:dyDescent="0.25">
      <c r="B160" s="33" t="s">
        <v>46</v>
      </c>
      <c r="C160" s="33"/>
      <c r="D160" t="s">
        <v>273</v>
      </c>
      <c r="E160">
        <v>0.12</v>
      </c>
      <c r="F160">
        <v>27</v>
      </c>
      <c r="G160">
        <v>209</v>
      </c>
      <c r="H160" s="13">
        <f t="shared" ref="H160:H165" si="48">(E160/I160)/(PI()*(0.1)^2)</f>
        <v>0.63661977236758127</v>
      </c>
      <c r="I160">
        <v>6</v>
      </c>
      <c r="J160" s="12">
        <f t="shared" si="46"/>
        <v>2.2199999999999998</v>
      </c>
      <c r="L160" t="s">
        <v>43</v>
      </c>
      <c r="M160">
        <v>555</v>
      </c>
      <c r="N160" t="s">
        <v>43</v>
      </c>
      <c r="O160" t="s">
        <v>43</v>
      </c>
      <c r="P160" t="s">
        <v>43</v>
      </c>
      <c r="Q160" t="s">
        <v>43</v>
      </c>
      <c r="R160">
        <v>213</v>
      </c>
      <c r="S160" s="9">
        <f t="shared" si="47"/>
        <v>61.621621621621628</v>
      </c>
      <c r="T160" s="38"/>
      <c r="U160" s="38">
        <v>90.7</v>
      </c>
      <c r="V160" s="38"/>
      <c r="W160" s="38">
        <v>42.5</v>
      </c>
      <c r="Y160" t="s">
        <v>43</v>
      </c>
      <c r="Z160" t="s">
        <v>43</v>
      </c>
      <c r="AA160" t="s">
        <v>43</v>
      </c>
      <c r="AB160" t="s">
        <v>43</v>
      </c>
      <c r="AC160" t="s">
        <v>43</v>
      </c>
      <c r="AD160" t="s">
        <v>43</v>
      </c>
      <c r="AE160" t="s">
        <v>43</v>
      </c>
      <c r="AG160" t="s">
        <v>43</v>
      </c>
      <c r="AH160">
        <f>347/M160</f>
        <v>0.62522522522522528</v>
      </c>
      <c r="AI160" t="s">
        <v>43</v>
      </c>
      <c r="AJ160" t="s">
        <v>43</v>
      </c>
      <c r="AL160" s="33"/>
      <c r="AT160" t="s">
        <v>43</v>
      </c>
      <c r="AU160" t="s">
        <v>43</v>
      </c>
      <c r="AV160">
        <v>1</v>
      </c>
      <c r="AX160" t="s">
        <v>43</v>
      </c>
      <c r="AZ160" t="s">
        <v>43</v>
      </c>
    </row>
    <row r="161" spans="2:52" ht="15" x14ac:dyDescent="0.25">
      <c r="B161" s="33" t="s">
        <v>46</v>
      </c>
      <c r="C161" s="33"/>
      <c r="D161" t="s">
        <v>273</v>
      </c>
      <c r="E161">
        <v>0.12</v>
      </c>
      <c r="F161">
        <v>27</v>
      </c>
      <c r="G161">
        <v>209</v>
      </c>
      <c r="H161" s="13">
        <f t="shared" si="48"/>
        <v>0.63661977236758127</v>
      </c>
      <c r="I161">
        <v>6</v>
      </c>
      <c r="J161" s="12">
        <f t="shared" si="46"/>
        <v>1.1919999999999999</v>
      </c>
      <c r="L161" t="s">
        <v>43</v>
      </c>
      <c r="M161">
        <v>298</v>
      </c>
      <c r="N161" t="s">
        <v>43</v>
      </c>
      <c r="O161" t="s">
        <v>43</v>
      </c>
      <c r="P161" t="s">
        <v>43</v>
      </c>
      <c r="Q161" t="s">
        <v>43</v>
      </c>
      <c r="R161">
        <v>104</v>
      </c>
      <c r="S161" s="9">
        <f t="shared" si="47"/>
        <v>65.100671140939596</v>
      </c>
      <c r="T161" s="38"/>
      <c r="U161" s="38">
        <v>90.8</v>
      </c>
      <c r="V161" s="38"/>
      <c r="W161" s="38">
        <v>39.700000000000003</v>
      </c>
      <c r="Y161" t="s">
        <v>43</v>
      </c>
      <c r="Z161" t="s">
        <v>43</v>
      </c>
      <c r="AA161" t="s">
        <v>43</v>
      </c>
      <c r="AB161" t="s">
        <v>43</v>
      </c>
      <c r="AC161" t="s">
        <v>43</v>
      </c>
      <c r="AD161" t="s">
        <v>43</v>
      </c>
      <c r="AE161" t="s">
        <v>43</v>
      </c>
      <c r="AG161" t="s">
        <v>43</v>
      </c>
      <c r="AH161">
        <f>201/M161</f>
        <v>0.67449664429530198</v>
      </c>
      <c r="AI161" t="s">
        <v>43</v>
      </c>
      <c r="AJ161" t="s">
        <v>43</v>
      </c>
      <c r="AL161" s="33"/>
      <c r="AT161" t="s">
        <v>43</v>
      </c>
      <c r="AU161" t="s">
        <v>43</v>
      </c>
      <c r="AV161">
        <v>1</v>
      </c>
      <c r="AX161" t="s">
        <v>43</v>
      </c>
      <c r="AZ161" t="s">
        <v>43</v>
      </c>
    </row>
    <row r="162" spans="2:52" ht="15" x14ac:dyDescent="0.25">
      <c r="B162" s="33" t="s">
        <v>46</v>
      </c>
      <c r="C162" s="33"/>
      <c r="D162" t="s">
        <v>273</v>
      </c>
      <c r="E162">
        <v>0.12</v>
      </c>
      <c r="F162">
        <v>27</v>
      </c>
      <c r="G162">
        <v>209</v>
      </c>
      <c r="H162" s="13">
        <f t="shared" si="48"/>
        <v>0.63661977236758127</v>
      </c>
      <c r="I162">
        <v>6</v>
      </c>
      <c r="J162" s="12">
        <f t="shared" si="46"/>
        <v>0.77999999999999992</v>
      </c>
      <c r="L162" t="s">
        <v>43</v>
      </c>
      <c r="M162">
        <v>195</v>
      </c>
      <c r="N162" t="s">
        <v>43</v>
      </c>
      <c r="O162" t="s">
        <v>43</v>
      </c>
      <c r="P162" t="s">
        <v>43</v>
      </c>
      <c r="Q162" t="s">
        <v>43</v>
      </c>
      <c r="R162">
        <v>89</v>
      </c>
      <c r="S162" s="9">
        <f t="shared" si="47"/>
        <v>54.358974358974358</v>
      </c>
      <c r="T162" s="38"/>
      <c r="U162" s="38">
        <v>97.1</v>
      </c>
      <c r="V162" s="38"/>
      <c r="W162" s="38">
        <v>33.700000000000003</v>
      </c>
      <c r="Y162" t="s">
        <v>43</v>
      </c>
      <c r="Z162" t="s">
        <v>43</v>
      </c>
      <c r="AA162" t="s">
        <v>43</v>
      </c>
      <c r="AB162" t="s">
        <v>43</v>
      </c>
      <c r="AC162" t="s">
        <v>43</v>
      </c>
      <c r="AD162" t="s">
        <v>43</v>
      </c>
      <c r="AE162" t="s">
        <v>43</v>
      </c>
      <c r="AG162" t="s">
        <v>43</v>
      </c>
      <c r="AH162">
        <f>107/M162</f>
        <v>0.54871794871794877</v>
      </c>
      <c r="AI162" t="s">
        <v>43</v>
      </c>
      <c r="AJ162" t="s">
        <v>43</v>
      </c>
      <c r="AL162" s="33"/>
      <c r="AT162" t="s">
        <v>43</v>
      </c>
      <c r="AU162" t="s">
        <v>43</v>
      </c>
      <c r="AV162">
        <v>1</v>
      </c>
      <c r="AX162" t="s">
        <v>43</v>
      </c>
      <c r="AZ162" t="s">
        <v>43</v>
      </c>
    </row>
    <row r="163" spans="2:52" ht="15" x14ac:dyDescent="0.25">
      <c r="B163" s="33" t="s">
        <v>46</v>
      </c>
      <c r="C163" s="33"/>
      <c r="D163" t="s">
        <v>273</v>
      </c>
      <c r="E163">
        <v>0.12</v>
      </c>
      <c r="F163">
        <v>27</v>
      </c>
      <c r="G163">
        <v>83</v>
      </c>
      <c r="H163" s="13">
        <f t="shared" si="48"/>
        <v>0.63661977236758127</v>
      </c>
      <c r="I163">
        <v>6</v>
      </c>
      <c r="J163" s="12">
        <f t="shared" si="46"/>
        <v>0.36800000000000005</v>
      </c>
      <c r="L163" t="s">
        <v>43</v>
      </c>
      <c r="M163">
        <v>92</v>
      </c>
      <c r="N163" t="s">
        <v>43</v>
      </c>
      <c r="O163" t="s">
        <v>43</v>
      </c>
      <c r="P163" t="s">
        <v>43</v>
      </c>
      <c r="Q163" t="s">
        <v>43</v>
      </c>
      <c r="R163">
        <v>43</v>
      </c>
      <c r="S163" s="9">
        <f t="shared" si="47"/>
        <v>53.260869565217398</v>
      </c>
      <c r="T163" s="38"/>
      <c r="U163" s="38">
        <v>96.4</v>
      </c>
      <c r="V163" s="38"/>
      <c r="W163" s="38">
        <v>25</v>
      </c>
      <c r="Y163" t="s">
        <v>43</v>
      </c>
      <c r="Z163" t="s">
        <v>43</v>
      </c>
      <c r="AA163" t="s">
        <v>43</v>
      </c>
      <c r="AB163" t="s">
        <v>43</v>
      </c>
      <c r="AC163" t="s">
        <v>43</v>
      </c>
      <c r="AD163" t="s">
        <v>43</v>
      </c>
      <c r="AE163" t="s">
        <v>43</v>
      </c>
      <c r="AG163" t="s">
        <v>43</v>
      </c>
      <c r="AH163">
        <f>48/M163</f>
        <v>0.52173913043478259</v>
      </c>
      <c r="AI163" t="s">
        <v>43</v>
      </c>
      <c r="AJ163" t="s">
        <v>43</v>
      </c>
      <c r="AL163" s="33"/>
      <c r="AT163" t="s">
        <v>43</v>
      </c>
      <c r="AU163" t="s">
        <v>43</v>
      </c>
      <c r="AV163">
        <v>1</v>
      </c>
      <c r="AX163" t="s">
        <v>43</v>
      </c>
      <c r="AZ163" t="s">
        <v>43</v>
      </c>
    </row>
    <row r="164" spans="2:52" ht="15" x14ac:dyDescent="0.25">
      <c r="B164" s="33" t="s">
        <v>46</v>
      </c>
      <c r="C164" s="33"/>
      <c r="D164" t="s">
        <v>273</v>
      </c>
      <c r="E164">
        <v>0.12</v>
      </c>
      <c r="F164">
        <v>27</v>
      </c>
      <c r="G164">
        <v>154</v>
      </c>
      <c r="H164" s="13">
        <f t="shared" si="48"/>
        <v>0.95492965855137191</v>
      </c>
      <c r="I164">
        <v>4</v>
      </c>
      <c r="J164" s="12">
        <f t="shared" si="46"/>
        <v>4.62</v>
      </c>
      <c r="L164" t="s">
        <v>43</v>
      </c>
      <c r="M164">
        <v>770</v>
      </c>
      <c r="N164" t="s">
        <v>43</v>
      </c>
      <c r="O164" t="s">
        <v>43</v>
      </c>
      <c r="P164" t="s">
        <v>43</v>
      </c>
      <c r="Q164" t="s">
        <v>43</v>
      </c>
      <c r="R164">
        <v>416</v>
      </c>
      <c r="S164" s="9">
        <f t="shared" si="47"/>
        <v>45.97402597402597</v>
      </c>
      <c r="T164" s="38"/>
      <c r="U164" s="38">
        <v>70.2</v>
      </c>
      <c r="V164" s="38"/>
      <c r="W164" s="38">
        <v>75.099999999999994</v>
      </c>
      <c r="Y164" t="s">
        <v>43</v>
      </c>
      <c r="Z164" t="s">
        <v>43</v>
      </c>
      <c r="AA164" t="s">
        <v>43</v>
      </c>
      <c r="AB164" t="s">
        <v>43</v>
      </c>
      <c r="AC164" t="s">
        <v>43</v>
      </c>
      <c r="AD164" t="s">
        <v>43</v>
      </c>
      <c r="AE164" t="s">
        <v>43</v>
      </c>
      <c r="AG164" t="s">
        <v>43</v>
      </c>
      <c r="AH164">
        <f>351/M164</f>
        <v>0.45584415584415583</v>
      </c>
      <c r="AI164" t="s">
        <v>43</v>
      </c>
      <c r="AJ164" t="s">
        <v>43</v>
      </c>
      <c r="AL164" s="33"/>
      <c r="AT164" t="s">
        <v>43</v>
      </c>
      <c r="AU164" t="s">
        <v>43</v>
      </c>
      <c r="AV164">
        <v>1</v>
      </c>
      <c r="AX164" t="s">
        <v>43</v>
      </c>
      <c r="AZ164" t="s">
        <v>43</v>
      </c>
    </row>
    <row r="165" spans="2:52" ht="15" x14ac:dyDescent="0.25">
      <c r="B165" s="33" t="s">
        <v>46</v>
      </c>
      <c r="C165" s="33"/>
      <c r="D165" t="s">
        <v>273</v>
      </c>
      <c r="E165">
        <v>0.12</v>
      </c>
      <c r="F165">
        <v>27</v>
      </c>
      <c r="G165">
        <v>154</v>
      </c>
      <c r="H165" s="13">
        <f t="shared" si="48"/>
        <v>1.9098593171027438</v>
      </c>
      <c r="I165">
        <v>2</v>
      </c>
      <c r="J165" s="12">
        <f t="shared" si="46"/>
        <v>9.4440000000000008</v>
      </c>
      <c r="L165" t="s">
        <v>43</v>
      </c>
      <c r="M165">
        <v>787</v>
      </c>
      <c r="N165" t="s">
        <v>43</v>
      </c>
      <c r="O165" t="s">
        <v>43</v>
      </c>
      <c r="P165" t="s">
        <v>43</v>
      </c>
      <c r="Q165" t="s">
        <v>43</v>
      </c>
      <c r="R165">
        <v>436</v>
      </c>
      <c r="S165" s="9">
        <f t="shared" si="47"/>
        <v>44.599745870393903</v>
      </c>
      <c r="T165" s="38"/>
      <c r="U165" s="38">
        <v>71.3</v>
      </c>
      <c r="V165" s="38"/>
      <c r="W165" s="38">
        <v>67.2</v>
      </c>
      <c r="Y165" t="s">
        <v>43</v>
      </c>
      <c r="Z165" t="s">
        <v>43</v>
      </c>
      <c r="AA165" t="s">
        <v>43</v>
      </c>
      <c r="AB165" t="s">
        <v>43</v>
      </c>
      <c r="AC165" t="s">
        <v>43</v>
      </c>
      <c r="AD165" t="s">
        <v>43</v>
      </c>
      <c r="AE165" t="s">
        <v>43</v>
      </c>
      <c r="AG165" t="s">
        <v>43</v>
      </c>
      <c r="AH165">
        <f>312/M165</f>
        <v>0.39644218551461247</v>
      </c>
      <c r="AI165" t="s">
        <v>43</v>
      </c>
      <c r="AJ165" t="s">
        <v>43</v>
      </c>
      <c r="AL165" s="33"/>
      <c r="AT165" t="s">
        <v>43</v>
      </c>
      <c r="AU165" t="s">
        <v>43</v>
      </c>
      <c r="AV165">
        <v>1</v>
      </c>
      <c r="AX165" t="s">
        <v>43</v>
      </c>
      <c r="AZ165" t="s">
        <v>43</v>
      </c>
    </row>
    <row r="166" spans="2:52" ht="15" x14ac:dyDescent="0.25">
      <c r="B166" s="33" t="s">
        <v>46</v>
      </c>
      <c r="C166" s="33"/>
      <c r="D166" t="s">
        <v>273</v>
      </c>
      <c r="E166">
        <v>0.12</v>
      </c>
      <c r="F166">
        <v>27</v>
      </c>
      <c r="G166">
        <v>83</v>
      </c>
      <c r="H166" s="13">
        <f>(E166/I166)/(PI()*(0.1)^2)</f>
        <v>3.8197186342054876</v>
      </c>
      <c r="I166">
        <v>1</v>
      </c>
      <c r="J166" s="12">
        <f t="shared" si="46"/>
        <v>17.184000000000001</v>
      </c>
      <c r="L166" t="s">
        <v>43</v>
      </c>
      <c r="M166">
        <v>716</v>
      </c>
      <c r="N166" t="s">
        <v>43</v>
      </c>
      <c r="O166" t="s">
        <v>43</v>
      </c>
      <c r="P166" t="s">
        <v>43</v>
      </c>
      <c r="Q166" t="s">
        <v>43</v>
      </c>
      <c r="R166">
        <v>469</v>
      </c>
      <c r="S166" s="9">
        <f t="shared" si="47"/>
        <v>34.497206703910614</v>
      </c>
      <c r="T166" s="38"/>
      <c r="U166" s="38">
        <v>65.400000000000006</v>
      </c>
      <c r="V166" s="38"/>
      <c r="W166" s="38">
        <v>55.2</v>
      </c>
      <c r="Y166" t="s">
        <v>43</v>
      </c>
      <c r="Z166" t="s">
        <v>43</v>
      </c>
      <c r="AA166" t="s">
        <v>43</v>
      </c>
      <c r="AB166" t="s">
        <v>43</v>
      </c>
      <c r="AC166" t="s">
        <v>43</v>
      </c>
      <c r="AD166" t="s">
        <v>43</v>
      </c>
      <c r="AE166" t="s">
        <v>43</v>
      </c>
      <c r="AG166" t="s">
        <v>43</v>
      </c>
      <c r="AH166" t="s">
        <v>43</v>
      </c>
      <c r="AI166" t="s">
        <v>43</v>
      </c>
      <c r="AJ166" t="s">
        <v>43</v>
      </c>
      <c r="AL166" s="33"/>
      <c r="AT166" t="s">
        <v>43</v>
      </c>
      <c r="AU166" t="s">
        <v>43</v>
      </c>
      <c r="AV166">
        <v>1</v>
      </c>
      <c r="AX166" t="s">
        <v>43</v>
      </c>
      <c r="AZ166" t="s">
        <v>43</v>
      </c>
    </row>
    <row r="167" spans="2:52" ht="15" x14ac:dyDescent="0.25">
      <c r="B167" s="33" t="s">
        <v>46</v>
      </c>
      <c r="C167" s="33"/>
      <c r="D167" t="s">
        <v>43</v>
      </c>
      <c r="E167">
        <v>275</v>
      </c>
      <c r="F167" t="s">
        <v>359</v>
      </c>
      <c r="G167" t="s">
        <v>43</v>
      </c>
      <c r="H167" t="s">
        <v>43</v>
      </c>
      <c r="I167">
        <v>10.6</v>
      </c>
      <c r="J167" s="12">
        <f t="shared" si="46"/>
        <v>0.90113207547169805</v>
      </c>
      <c r="L167">
        <v>148</v>
      </c>
      <c r="M167">
        <v>398</v>
      </c>
      <c r="N167">
        <v>54</v>
      </c>
      <c r="O167">
        <v>55.8</v>
      </c>
      <c r="P167" t="s">
        <v>43</v>
      </c>
      <c r="Q167" t="s">
        <v>43</v>
      </c>
      <c r="R167">
        <v>153</v>
      </c>
      <c r="S167" s="9">
        <v>52</v>
      </c>
      <c r="T167" s="38">
        <f>R167-V167</f>
        <v>82</v>
      </c>
      <c r="U167" s="39">
        <f>(((M167-(V167/W167/100))-T167)/(M167-(V167/W167/100)))*100</f>
        <v>79.396328580101041</v>
      </c>
      <c r="V167" s="38">
        <v>71</v>
      </c>
      <c r="W167" s="38">
        <v>56</v>
      </c>
      <c r="Y167" t="s">
        <v>43</v>
      </c>
      <c r="Z167" t="s">
        <v>43</v>
      </c>
      <c r="AA167" t="s">
        <v>43</v>
      </c>
      <c r="AB167" t="s">
        <v>43</v>
      </c>
      <c r="AC167" t="s">
        <v>43</v>
      </c>
      <c r="AD167" t="s">
        <v>43</v>
      </c>
      <c r="AE167" t="s">
        <v>43</v>
      </c>
      <c r="AG167" t="s">
        <v>43</v>
      </c>
      <c r="AH167" t="s">
        <v>43</v>
      </c>
      <c r="AI167" t="s">
        <v>43</v>
      </c>
      <c r="AJ167" t="s">
        <v>43</v>
      </c>
      <c r="AL167" s="33" t="s">
        <v>153</v>
      </c>
      <c r="AT167">
        <v>6</v>
      </c>
      <c r="AU167">
        <v>4</v>
      </c>
      <c r="AV167">
        <v>1</v>
      </c>
      <c r="AX167">
        <f t="shared" ref="AX167" si="49">(AU167+AT167)*LN((AU167+2))</f>
        <v>17.917594692280549</v>
      </c>
      <c r="AZ167">
        <f t="shared" si="37"/>
        <v>10.986122886681098</v>
      </c>
    </row>
    <row r="168" spans="2:52" ht="15" x14ac:dyDescent="0.25">
      <c r="B168" s="33" t="s">
        <v>46</v>
      </c>
      <c r="C168" s="33"/>
      <c r="D168" t="s">
        <v>43</v>
      </c>
      <c r="E168">
        <v>275</v>
      </c>
      <c r="F168" t="s">
        <v>359</v>
      </c>
      <c r="G168" t="s">
        <v>43</v>
      </c>
      <c r="H168" t="s">
        <v>43</v>
      </c>
      <c r="I168">
        <v>9.9</v>
      </c>
      <c r="J168" s="12">
        <f t="shared" si="46"/>
        <v>0.96484848484848473</v>
      </c>
      <c r="L168">
        <v>148</v>
      </c>
      <c r="M168">
        <v>398</v>
      </c>
      <c r="N168">
        <v>74</v>
      </c>
      <c r="O168">
        <v>57.2</v>
      </c>
      <c r="P168" t="s">
        <v>43</v>
      </c>
      <c r="Q168" t="s">
        <v>43</v>
      </c>
      <c r="R168">
        <v>159</v>
      </c>
      <c r="S168" s="9">
        <v>65</v>
      </c>
      <c r="T168" s="38">
        <f t="shared" ref="T168:T174" si="50">R168-V168</f>
        <v>112</v>
      </c>
      <c r="U168" s="39">
        <f t="shared" ref="U168:U174" si="51">(((M168-(V168/W168/100))-T168)/(M168-(V168/W168/100)))*100</f>
        <v>71.85877560311485</v>
      </c>
      <c r="V168" s="38">
        <v>47</v>
      </c>
      <c r="W168" s="38">
        <v>63.8</v>
      </c>
      <c r="Y168" t="s">
        <v>43</v>
      </c>
      <c r="Z168" t="s">
        <v>43</v>
      </c>
      <c r="AA168" t="s">
        <v>43</v>
      </c>
      <c r="AB168" t="s">
        <v>43</v>
      </c>
      <c r="AC168" t="s">
        <v>43</v>
      </c>
      <c r="AD168" t="s">
        <v>43</v>
      </c>
      <c r="AE168" t="s">
        <v>43</v>
      </c>
      <c r="AG168" t="s">
        <v>43</v>
      </c>
      <c r="AH168" t="s">
        <v>43</v>
      </c>
      <c r="AI168" t="s">
        <v>43</v>
      </c>
      <c r="AJ168" t="s">
        <v>43</v>
      </c>
      <c r="AL168" s="33"/>
      <c r="AT168">
        <v>6</v>
      </c>
      <c r="AU168">
        <v>4</v>
      </c>
      <c r="AV168">
        <v>1</v>
      </c>
      <c r="AX168">
        <f t="shared" ref="AX168:AX177" si="52">(AU168+AT168)*LN((AU168+2))</f>
        <v>17.917594692280549</v>
      </c>
      <c r="AZ168">
        <f t="shared" si="37"/>
        <v>10.986122886681098</v>
      </c>
    </row>
    <row r="169" spans="2:52" ht="15" x14ac:dyDescent="0.25">
      <c r="B169" s="33" t="s">
        <v>46</v>
      </c>
      <c r="C169" s="33"/>
      <c r="D169" t="s">
        <v>43</v>
      </c>
      <c r="E169">
        <v>275</v>
      </c>
      <c r="F169" t="s">
        <v>359</v>
      </c>
      <c r="G169" t="s">
        <v>43</v>
      </c>
      <c r="H169" t="s">
        <v>43</v>
      </c>
      <c r="I169">
        <v>7.8</v>
      </c>
      <c r="J169" s="12">
        <f t="shared" si="46"/>
        <v>1.2184615384615383</v>
      </c>
      <c r="L169">
        <v>218</v>
      </c>
      <c r="M169">
        <v>396</v>
      </c>
      <c r="N169">
        <v>81</v>
      </c>
      <c r="O169">
        <v>65</v>
      </c>
      <c r="P169" t="s">
        <v>43</v>
      </c>
      <c r="Q169" t="s">
        <v>43</v>
      </c>
      <c r="R169">
        <v>144</v>
      </c>
      <c r="S169" s="9">
        <v>58</v>
      </c>
      <c r="T169" s="38">
        <f t="shared" si="50"/>
        <v>102</v>
      </c>
      <c r="U169" s="39">
        <f t="shared" si="51"/>
        <v>74.241948299118604</v>
      </c>
      <c r="V169" s="38">
        <v>42</v>
      </c>
      <c r="W169" s="38">
        <v>57.4</v>
      </c>
      <c r="Y169" t="s">
        <v>43</v>
      </c>
      <c r="Z169" t="s">
        <v>43</v>
      </c>
      <c r="AA169" t="s">
        <v>43</v>
      </c>
      <c r="AB169" t="s">
        <v>43</v>
      </c>
      <c r="AC169" t="s">
        <v>43</v>
      </c>
      <c r="AD169" t="s">
        <v>43</v>
      </c>
      <c r="AE169" t="s">
        <v>43</v>
      </c>
      <c r="AG169" t="s">
        <v>43</v>
      </c>
      <c r="AH169" t="s">
        <v>43</v>
      </c>
      <c r="AI169" t="s">
        <v>43</v>
      </c>
      <c r="AJ169" t="s">
        <v>43</v>
      </c>
      <c r="AL169" s="33"/>
      <c r="AT169">
        <v>6</v>
      </c>
      <c r="AU169">
        <v>4</v>
      </c>
      <c r="AV169">
        <v>1</v>
      </c>
      <c r="AX169">
        <f t="shared" si="52"/>
        <v>17.917594692280549</v>
      </c>
      <c r="AZ169">
        <f t="shared" si="37"/>
        <v>10.986122886681098</v>
      </c>
    </row>
    <row r="170" spans="2:52" ht="15" x14ac:dyDescent="0.25">
      <c r="B170" s="33" t="s">
        <v>46</v>
      </c>
      <c r="C170" s="33"/>
      <c r="D170" t="s">
        <v>43</v>
      </c>
      <c r="E170">
        <v>275</v>
      </c>
      <c r="F170" t="s">
        <v>359</v>
      </c>
      <c r="G170" t="s">
        <v>43</v>
      </c>
      <c r="H170" t="s">
        <v>43</v>
      </c>
      <c r="I170">
        <v>7.9</v>
      </c>
      <c r="J170" s="12">
        <f t="shared" si="46"/>
        <v>1.2030379746835442</v>
      </c>
      <c r="L170">
        <v>218</v>
      </c>
      <c r="M170">
        <v>396</v>
      </c>
      <c r="N170">
        <v>143</v>
      </c>
      <c r="O170">
        <v>36</v>
      </c>
      <c r="P170" t="s">
        <v>43</v>
      </c>
      <c r="Q170" t="s">
        <v>43</v>
      </c>
      <c r="R170">
        <v>283</v>
      </c>
      <c r="S170" s="9">
        <v>53</v>
      </c>
      <c r="T170" s="38">
        <f t="shared" si="50"/>
        <v>178</v>
      </c>
      <c r="U170" s="39">
        <f t="shared" si="51"/>
        <v>55.047879693058213</v>
      </c>
      <c r="V170" s="38">
        <v>105</v>
      </c>
      <c r="W170" s="38">
        <v>45.4</v>
      </c>
      <c r="Y170" t="s">
        <v>43</v>
      </c>
      <c r="Z170" t="s">
        <v>43</v>
      </c>
      <c r="AA170" t="s">
        <v>43</v>
      </c>
      <c r="AB170" t="s">
        <v>43</v>
      </c>
      <c r="AC170" t="s">
        <v>43</v>
      </c>
      <c r="AD170" t="s">
        <v>43</v>
      </c>
      <c r="AE170" t="s">
        <v>43</v>
      </c>
      <c r="AG170" t="s">
        <v>43</v>
      </c>
      <c r="AH170" t="s">
        <v>43</v>
      </c>
      <c r="AI170" t="s">
        <v>43</v>
      </c>
      <c r="AJ170" t="s">
        <v>43</v>
      </c>
      <c r="AL170" s="33"/>
      <c r="AT170">
        <v>6</v>
      </c>
      <c r="AU170">
        <v>4</v>
      </c>
      <c r="AV170">
        <v>1</v>
      </c>
      <c r="AX170">
        <f t="shared" si="52"/>
        <v>17.917594692280549</v>
      </c>
      <c r="AZ170">
        <f t="shared" si="37"/>
        <v>10.986122886681098</v>
      </c>
    </row>
    <row r="171" spans="2:52" ht="15" x14ac:dyDescent="0.25">
      <c r="B171" s="33" t="s">
        <v>46</v>
      </c>
      <c r="C171" s="33"/>
      <c r="D171" t="s">
        <v>43</v>
      </c>
      <c r="E171">
        <v>275</v>
      </c>
      <c r="F171" t="s">
        <v>359</v>
      </c>
      <c r="G171" t="s">
        <v>43</v>
      </c>
      <c r="H171" t="s">
        <v>43</v>
      </c>
      <c r="I171">
        <v>5.7</v>
      </c>
      <c r="J171" s="12">
        <f t="shared" si="46"/>
        <v>2.1431578947368419</v>
      </c>
      <c r="L171">
        <v>235</v>
      </c>
      <c r="M171">
        <v>509</v>
      </c>
      <c r="N171">
        <v>101</v>
      </c>
      <c r="O171">
        <v>61</v>
      </c>
      <c r="P171" t="s">
        <v>43</v>
      </c>
      <c r="Q171" t="s">
        <v>43</v>
      </c>
      <c r="R171">
        <v>259</v>
      </c>
      <c r="S171" s="9">
        <v>49</v>
      </c>
      <c r="T171" s="38">
        <f t="shared" si="50"/>
        <v>174</v>
      </c>
      <c r="U171" s="39">
        <f t="shared" si="51"/>
        <v>65.814282410768541</v>
      </c>
      <c r="V171" s="38">
        <v>85</v>
      </c>
      <c r="W171" s="38">
        <v>54.8</v>
      </c>
      <c r="Y171" t="s">
        <v>43</v>
      </c>
      <c r="Z171" t="s">
        <v>43</v>
      </c>
      <c r="AA171" t="s">
        <v>43</v>
      </c>
      <c r="AB171" t="s">
        <v>43</v>
      </c>
      <c r="AC171" t="s">
        <v>43</v>
      </c>
      <c r="AD171" t="s">
        <v>43</v>
      </c>
      <c r="AE171" t="s">
        <v>43</v>
      </c>
      <c r="AG171" t="s">
        <v>43</v>
      </c>
      <c r="AH171" t="s">
        <v>43</v>
      </c>
      <c r="AI171" t="s">
        <v>43</v>
      </c>
      <c r="AJ171" t="s">
        <v>43</v>
      </c>
      <c r="AL171" s="33"/>
      <c r="AT171">
        <v>6</v>
      </c>
      <c r="AU171">
        <v>4</v>
      </c>
      <c r="AV171">
        <v>1</v>
      </c>
      <c r="AX171">
        <f t="shared" si="52"/>
        <v>17.917594692280549</v>
      </c>
      <c r="AZ171">
        <f t="shared" si="37"/>
        <v>10.986122886681098</v>
      </c>
    </row>
    <row r="172" spans="2:52" ht="15" x14ac:dyDescent="0.25">
      <c r="B172" s="33" t="s">
        <v>46</v>
      </c>
      <c r="C172" s="33"/>
      <c r="D172" t="s">
        <v>43</v>
      </c>
      <c r="E172">
        <v>275</v>
      </c>
      <c r="F172" t="s">
        <v>359</v>
      </c>
      <c r="G172" t="s">
        <v>43</v>
      </c>
      <c r="H172" t="s">
        <v>43</v>
      </c>
      <c r="I172">
        <v>5.7</v>
      </c>
      <c r="J172" s="12">
        <f t="shared" si="46"/>
        <v>2.1431578947368419</v>
      </c>
      <c r="L172">
        <v>235</v>
      </c>
      <c r="M172">
        <v>509</v>
      </c>
      <c r="N172">
        <v>145</v>
      </c>
      <c r="O172">
        <v>61</v>
      </c>
      <c r="P172" t="s">
        <v>43</v>
      </c>
      <c r="Q172" t="s">
        <v>43</v>
      </c>
      <c r="R172">
        <v>272</v>
      </c>
      <c r="S172" s="9">
        <v>53</v>
      </c>
      <c r="T172" s="38">
        <f t="shared" si="50"/>
        <v>191</v>
      </c>
      <c r="U172" s="39">
        <f t="shared" si="51"/>
        <v>62.474330000669532</v>
      </c>
      <c r="V172" s="38">
        <v>81</v>
      </c>
      <c r="W172" s="38">
        <v>53.7</v>
      </c>
      <c r="Y172" t="s">
        <v>43</v>
      </c>
      <c r="Z172" t="s">
        <v>43</v>
      </c>
      <c r="AA172" t="s">
        <v>43</v>
      </c>
      <c r="AB172" t="s">
        <v>43</v>
      </c>
      <c r="AC172" t="s">
        <v>43</v>
      </c>
      <c r="AD172" t="s">
        <v>43</v>
      </c>
      <c r="AE172" t="s">
        <v>43</v>
      </c>
      <c r="AG172" t="s">
        <v>43</v>
      </c>
      <c r="AH172" t="s">
        <v>43</v>
      </c>
      <c r="AI172" t="s">
        <v>43</v>
      </c>
      <c r="AJ172" t="s">
        <v>43</v>
      </c>
      <c r="AL172" s="33"/>
      <c r="AT172">
        <v>6</v>
      </c>
      <c r="AU172">
        <v>4</v>
      </c>
      <c r="AV172">
        <v>1</v>
      </c>
      <c r="AX172">
        <f t="shared" si="52"/>
        <v>17.917594692280549</v>
      </c>
      <c r="AZ172">
        <f t="shared" si="37"/>
        <v>10.986122886681098</v>
      </c>
    </row>
    <row r="173" spans="2:52" ht="15" x14ac:dyDescent="0.25">
      <c r="B173" s="33" t="s">
        <v>46</v>
      </c>
      <c r="C173" s="33"/>
      <c r="D173" t="s">
        <v>43</v>
      </c>
      <c r="E173">
        <v>275</v>
      </c>
      <c r="F173" t="s">
        <v>359</v>
      </c>
      <c r="G173" t="s">
        <v>43</v>
      </c>
      <c r="H173" t="s">
        <v>43</v>
      </c>
      <c r="I173">
        <v>4.9000000000000004</v>
      </c>
      <c r="J173" s="12">
        <f t="shared" si="46"/>
        <v>2.7379591836734689</v>
      </c>
      <c r="L173">
        <v>272</v>
      </c>
      <c r="M173">
        <v>559</v>
      </c>
      <c r="N173">
        <v>204</v>
      </c>
      <c r="O173">
        <v>35</v>
      </c>
      <c r="P173" t="s">
        <v>43</v>
      </c>
      <c r="Q173" t="s">
        <v>43</v>
      </c>
      <c r="R173">
        <v>289</v>
      </c>
      <c r="S173" s="9">
        <v>51</v>
      </c>
      <c r="T173" s="38">
        <f t="shared" si="50"/>
        <v>227</v>
      </c>
      <c r="U173" s="39">
        <f t="shared" si="51"/>
        <v>59.391030224282645</v>
      </c>
      <c r="V173" s="38">
        <v>62</v>
      </c>
      <c r="W173" s="38">
        <v>60.8</v>
      </c>
      <c r="Y173" t="s">
        <v>43</v>
      </c>
      <c r="Z173" t="s">
        <v>43</v>
      </c>
      <c r="AA173" t="s">
        <v>43</v>
      </c>
      <c r="AB173" t="s">
        <v>43</v>
      </c>
      <c r="AC173" t="s">
        <v>43</v>
      </c>
      <c r="AD173" t="s">
        <v>43</v>
      </c>
      <c r="AE173" t="s">
        <v>43</v>
      </c>
      <c r="AG173" t="s">
        <v>43</v>
      </c>
      <c r="AH173" t="s">
        <v>43</v>
      </c>
      <c r="AI173" t="s">
        <v>43</v>
      </c>
      <c r="AJ173" t="s">
        <v>43</v>
      </c>
      <c r="AL173" s="33"/>
      <c r="AT173">
        <v>6</v>
      </c>
      <c r="AU173">
        <v>4</v>
      </c>
      <c r="AV173">
        <v>1</v>
      </c>
      <c r="AX173">
        <f t="shared" si="52"/>
        <v>17.917594692280549</v>
      </c>
      <c r="AZ173">
        <f t="shared" si="37"/>
        <v>10.986122886681098</v>
      </c>
    </row>
    <row r="174" spans="2:52" ht="15" x14ac:dyDescent="0.25">
      <c r="B174" s="33" t="s">
        <v>46</v>
      </c>
      <c r="C174" s="33"/>
      <c r="D174" t="s">
        <v>43</v>
      </c>
      <c r="E174">
        <v>275</v>
      </c>
      <c r="F174" t="s">
        <v>359</v>
      </c>
      <c r="G174" t="s">
        <v>43</v>
      </c>
      <c r="H174" t="s">
        <v>43</v>
      </c>
      <c r="I174">
        <v>5.0999999999999996</v>
      </c>
      <c r="J174" s="12">
        <f t="shared" si="46"/>
        <v>2.6305882352941179</v>
      </c>
      <c r="L174">
        <v>272</v>
      </c>
      <c r="M174">
        <v>559</v>
      </c>
      <c r="N174">
        <v>180</v>
      </c>
      <c r="O174">
        <v>39</v>
      </c>
      <c r="P174" t="s">
        <v>43</v>
      </c>
      <c r="Q174" t="s">
        <v>43</v>
      </c>
      <c r="R174">
        <v>279</v>
      </c>
      <c r="S174" s="9">
        <v>49</v>
      </c>
      <c r="T174" s="38">
        <f t="shared" si="50"/>
        <v>178</v>
      </c>
      <c r="U174" s="39">
        <f t="shared" si="51"/>
        <v>68.156383555865105</v>
      </c>
      <c r="V174" s="38">
        <v>101</v>
      </c>
      <c r="W174" s="38">
        <v>55.3</v>
      </c>
      <c r="Y174" t="s">
        <v>43</v>
      </c>
      <c r="Z174" t="s">
        <v>43</v>
      </c>
      <c r="AA174" t="s">
        <v>43</v>
      </c>
      <c r="AB174" t="s">
        <v>43</v>
      </c>
      <c r="AC174" t="s">
        <v>43</v>
      </c>
      <c r="AD174" t="s">
        <v>43</v>
      </c>
      <c r="AE174" t="s">
        <v>43</v>
      </c>
      <c r="AG174" t="s">
        <v>43</v>
      </c>
      <c r="AH174" t="s">
        <v>43</v>
      </c>
      <c r="AI174" t="s">
        <v>43</v>
      </c>
      <c r="AJ174" t="s">
        <v>43</v>
      </c>
      <c r="AL174" s="33"/>
      <c r="AT174">
        <v>6</v>
      </c>
      <c r="AU174">
        <v>4</v>
      </c>
      <c r="AV174">
        <v>1</v>
      </c>
      <c r="AX174">
        <f t="shared" si="52"/>
        <v>17.917594692280549</v>
      </c>
      <c r="AZ174">
        <f t="shared" si="37"/>
        <v>10.986122886681098</v>
      </c>
    </row>
    <row r="175" spans="2:52" ht="15" x14ac:dyDescent="0.25">
      <c r="B175" s="33" t="s">
        <v>46</v>
      </c>
      <c r="C175" s="33"/>
      <c r="D175" t="s">
        <v>43</v>
      </c>
      <c r="E175">
        <v>0.155</v>
      </c>
      <c r="F175">
        <v>25</v>
      </c>
      <c r="G175" t="s">
        <v>43</v>
      </c>
      <c r="H175" t="s">
        <v>43</v>
      </c>
      <c r="I175">
        <v>6</v>
      </c>
      <c r="J175" s="12">
        <f t="shared" si="46"/>
        <v>1.4920000000000002</v>
      </c>
      <c r="L175">
        <v>134</v>
      </c>
      <c r="M175">
        <v>373</v>
      </c>
      <c r="N175">
        <v>71</v>
      </c>
      <c r="O175" s="9">
        <f t="shared" ref="O175:O176" si="53">((L175-N175)/L175)*100</f>
        <v>47.014925373134332</v>
      </c>
      <c r="R175">
        <v>167</v>
      </c>
      <c r="S175" s="9">
        <f t="shared" ref="S175:S191" si="54">((M175-R175)/M175)*100</f>
        <v>55.227882037533519</v>
      </c>
      <c r="T175" s="38">
        <f>R175-V175</f>
        <v>109</v>
      </c>
      <c r="U175" s="39">
        <f>(((373-168)-T175)/(373-168))*100</f>
        <v>46.829268292682933</v>
      </c>
      <c r="V175" s="38">
        <v>58</v>
      </c>
      <c r="W175" s="39">
        <f>((168-V175)/168)*100</f>
        <v>65.476190476190482</v>
      </c>
      <c r="Y175" t="s">
        <v>43</v>
      </c>
      <c r="Z175" t="s">
        <v>43</v>
      </c>
      <c r="AA175" t="s">
        <v>43</v>
      </c>
      <c r="AB175" t="s">
        <v>43</v>
      </c>
      <c r="AC175" t="s">
        <v>43</v>
      </c>
      <c r="AD175" t="s">
        <v>43</v>
      </c>
      <c r="AE175" t="s">
        <v>43</v>
      </c>
      <c r="AG175" t="s">
        <v>43</v>
      </c>
      <c r="AH175" t="s">
        <v>43</v>
      </c>
      <c r="AI175" t="s">
        <v>43</v>
      </c>
      <c r="AJ175" t="s">
        <v>43</v>
      </c>
      <c r="AL175" s="33" t="s">
        <v>360</v>
      </c>
      <c r="AT175">
        <v>4</v>
      </c>
      <c r="AU175">
        <v>4</v>
      </c>
      <c r="AV175">
        <v>1</v>
      </c>
      <c r="AX175">
        <f t="shared" si="52"/>
        <v>14.33407575382444</v>
      </c>
      <c r="AZ175">
        <f t="shared" si="37"/>
        <v>8.7888983093448783</v>
      </c>
    </row>
    <row r="176" spans="2:52" ht="15" x14ac:dyDescent="0.25">
      <c r="B176" s="33" t="s">
        <v>46</v>
      </c>
      <c r="C176" s="33"/>
      <c r="D176" t="s">
        <v>43</v>
      </c>
      <c r="E176">
        <v>0.155</v>
      </c>
      <c r="F176">
        <v>25</v>
      </c>
      <c r="G176" t="s">
        <v>43</v>
      </c>
      <c r="H176" t="s">
        <v>43</v>
      </c>
      <c r="I176">
        <v>4</v>
      </c>
      <c r="J176" s="12">
        <f t="shared" si="46"/>
        <v>2.238</v>
      </c>
      <c r="L176">
        <v>134</v>
      </c>
      <c r="M176">
        <v>373</v>
      </c>
      <c r="N176">
        <v>75</v>
      </c>
      <c r="O176" s="9">
        <f t="shared" si="53"/>
        <v>44.029850746268657</v>
      </c>
      <c r="R176">
        <v>173</v>
      </c>
      <c r="S176" s="9">
        <f t="shared" si="54"/>
        <v>53.619302949061662</v>
      </c>
      <c r="T176" s="38">
        <f>R176-V176</f>
        <v>114</v>
      </c>
      <c r="U176" s="39">
        <f>(((373-168)-T176)/(373-168))*100</f>
        <v>44.390243902439025</v>
      </c>
      <c r="V176" s="38">
        <v>59</v>
      </c>
      <c r="W176" s="39">
        <f>((168-V176)/168)*100</f>
        <v>64.88095238095238</v>
      </c>
      <c r="Y176" t="s">
        <v>43</v>
      </c>
      <c r="Z176" t="s">
        <v>43</v>
      </c>
      <c r="AA176" t="s">
        <v>43</v>
      </c>
      <c r="AB176" t="s">
        <v>43</v>
      </c>
      <c r="AC176" t="s">
        <v>43</v>
      </c>
      <c r="AD176" t="s">
        <v>43</v>
      </c>
      <c r="AE176" t="s">
        <v>43</v>
      </c>
      <c r="AG176" t="s">
        <v>43</v>
      </c>
      <c r="AH176" t="s">
        <v>43</v>
      </c>
      <c r="AI176" t="s">
        <v>43</v>
      </c>
      <c r="AJ176" t="s">
        <v>43</v>
      </c>
      <c r="AL176" s="33"/>
      <c r="AM176" t="s">
        <v>361</v>
      </c>
      <c r="AT176">
        <v>4</v>
      </c>
      <c r="AU176">
        <v>4</v>
      </c>
      <c r="AV176">
        <v>1</v>
      </c>
      <c r="AX176">
        <f t="shared" si="52"/>
        <v>14.33407575382444</v>
      </c>
      <c r="AZ176">
        <f t="shared" si="37"/>
        <v>8.7888983093448783</v>
      </c>
    </row>
    <row r="177" spans="2:52" ht="15" x14ac:dyDescent="0.25">
      <c r="B177" s="33" t="s">
        <v>46</v>
      </c>
      <c r="C177" s="33"/>
      <c r="D177" t="s">
        <v>43</v>
      </c>
      <c r="E177">
        <v>0.155</v>
      </c>
      <c r="F177">
        <v>15</v>
      </c>
      <c r="G177" t="s">
        <v>43</v>
      </c>
      <c r="H177">
        <v>0.5</v>
      </c>
      <c r="I177">
        <v>8</v>
      </c>
      <c r="J177" s="12">
        <f t="shared" si="46"/>
        <v>1.4760000000000002</v>
      </c>
      <c r="L177" t="s">
        <v>43</v>
      </c>
      <c r="M177">
        <v>492</v>
      </c>
      <c r="N177" t="s">
        <v>43</v>
      </c>
      <c r="O177" t="s">
        <v>43</v>
      </c>
      <c r="P177" t="s">
        <v>43</v>
      </c>
      <c r="Q177" t="s">
        <v>43</v>
      </c>
      <c r="R177">
        <v>178</v>
      </c>
      <c r="S177" s="9">
        <v>61</v>
      </c>
      <c r="T177" s="38">
        <v>79</v>
      </c>
      <c r="U177" s="38">
        <v>78</v>
      </c>
      <c r="V177" s="38">
        <v>98</v>
      </c>
      <c r="W177" s="38">
        <v>23</v>
      </c>
      <c r="Y177" t="s">
        <v>43</v>
      </c>
      <c r="Z177" t="s">
        <v>43</v>
      </c>
      <c r="AA177" t="s">
        <v>43</v>
      </c>
      <c r="AB177" t="s">
        <v>43</v>
      </c>
      <c r="AC177" t="s">
        <v>43</v>
      </c>
      <c r="AD177" t="s">
        <v>43</v>
      </c>
      <c r="AE177" t="s">
        <v>43</v>
      </c>
      <c r="AG177" t="s">
        <v>43</v>
      </c>
      <c r="AH177" t="s">
        <v>43</v>
      </c>
      <c r="AI177" t="s">
        <v>43</v>
      </c>
      <c r="AJ177" t="s">
        <v>43</v>
      </c>
      <c r="AL177" t="s">
        <v>155</v>
      </c>
      <c r="AT177">
        <v>5</v>
      </c>
      <c r="AU177">
        <v>4</v>
      </c>
      <c r="AV177">
        <v>1</v>
      </c>
      <c r="AX177">
        <f t="shared" si="52"/>
        <v>16.125835223052494</v>
      </c>
      <c r="AZ177">
        <f t="shared" si="37"/>
        <v>9.8875105980129874</v>
      </c>
    </row>
    <row r="178" spans="2:52" ht="15" x14ac:dyDescent="0.25">
      <c r="B178" s="33" t="s">
        <v>46</v>
      </c>
      <c r="C178" s="33"/>
      <c r="D178" t="s">
        <v>362</v>
      </c>
      <c r="E178">
        <v>1.1479999999999999</v>
      </c>
      <c r="F178" s="22" t="s">
        <v>363</v>
      </c>
      <c r="G178" t="s">
        <v>43</v>
      </c>
      <c r="H178" t="s">
        <v>43</v>
      </c>
      <c r="I178">
        <v>6</v>
      </c>
      <c r="J178" s="12">
        <f t="shared" si="46"/>
        <v>2.4</v>
      </c>
      <c r="L178" t="s">
        <v>43</v>
      </c>
      <c r="M178">
        <v>600</v>
      </c>
      <c r="N178" t="s">
        <v>43</v>
      </c>
      <c r="O178" t="s">
        <v>43</v>
      </c>
      <c r="P178" t="s">
        <v>43</v>
      </c>
      <c r="Q178" t="s">
        <v>43</v>
      </c>
      <c r="R178">
        <v>226.8</v>
      </c>
      <c r="S178" s="9">
        <f t="shared" si="54"/>
        <v>62.2</v>
      </c>
      <c r="T178" t="s">
        <v>43</v>
      </c>
      <c r="U178" t="s">
        <v>43</v>
      </c>
      <c r="Y178" t="s">
        <v>43</v>
      </c>
      <c r="Z178" t="s">
        <v>43</v>
      </c>
      <c r="AA178" t="s">
        <v>43</v>
      </c>
      <c r="AB178" t="s">
        <v>43</v>
      </c>
      <c r="AC178" t="s">
        <v>43</v>
      </c>
      <c r="AD178" t="s">
        <v>43</v>
      </c>
      <c r="AE178" t="s">
        <v>43</v>
      </c>
      <c r="AG178" t="s">
        <v>43</v>
      </c>
      <c r="AH178" t="s">
        <v>43</v>
      </c>
      <c r="AI178" t="s">
        <v>43</v>
      </c>
      <c r="AJ178" t="s">
        <v>43</v>
      </c>
      <c r="AL178" t="s">
        <v>364</v>
      </c>
      <c r="AM178" t="s">
        <v>365</v>
      </c>
      <c r="AT178">
        <v>4</v>
      </c>
      <c r="AU178">
        <v>4</v>
      </c>
      <c r="AV178">
        <v>1</v>
      </c>
      <c r="AX178">
        <f t="shared" ref="AX178" si="55">(AU178+AT178)*LN((AU178+2))</f>
        <v>14.33407575382444</v>
      </c>
      <c r="AZ178">
        <f t="shared" si="37"/>
        <v>8.7888983093448783</v>
      </c>
    </row>
    <row r="179" spans="2:52" ht="15" x14ac:dyDescent="0.25">
      <c r="B179" s="33" t="s">
        <v>46</v>
      </c>
      <c r="C179" s="33"/>
      <c r="D179" t="s">
        <v>43</v>
      </c>
      <c r="E179">
        <f>40/1000</f>
        <v>0.04</v>
      </c>
      <c r="F179" t="s">
        <v>366</v>
      </c>
      <c r="G179" t="s">
        <v>43</v>
      </c>
      <c r="H179" t="s">
        <v>43</v>
      </c>
      <c r="I179">
        <v>6</v>
      </c>
      <c r="J179" s="12">
        <f t="shared" si="46"/>
        <v>2.9960000000000004</v>
      </c>
      <c r="L179">
        <v>380</v>
      </c>
      <c r="M179">
        <v>749</v>
      </c>
      <c r="N179">
        <v>58</v>
      </c>
      <c r="O179" s="9">
        <f t="shared" ref="O179:O180" si="56">((L179-N179)/L179)*100</f>
        <v>84.73684210526315</v>
      </c>
      <c r="P179" t="s">
        <v>43</v>
      </c>
      <c r="Q179" t="s">
        <v>43</v>
      </c>
      <c r="R179">
        <v>151</v>
      </c>
      <c r="S179" s="9">
        <f t="shared" si="54"/>
        <v>79.839786381842458</v>
      </c>
      <c r="T179" t="s">
        <v>43</v>
      </c>
      <c r="U179" t="s">
        <v>43</v>
      </c>
      <c r="Y179" t="s">
        <v>43</v>
      </c>
      <c r="Z179" t="s">
        <v>43</v>
      </c>
      <c r="AA179" t="s">
        <v>43</v>
      </c>
      <c r="AB179" t="s">
        <v>43</v>
      </c>
      <c r="AC179" t="s">
        <v>43</v>
      </c>
      <c r="AD179" t="s">
        <v>43</v>
      </c>
      <c r="AE179" t="s">
        <v>43</v>
      </c>
      <c r="AG179" t="s">
        <v>43</v>
      </c>
      <c r="AH179" t="s">
        <v>43</v>
      </c>
      <c r="AI179" t="s">
        <v>43</v>
      </c>
      <c r="AJ179" t="s">
        <v>43</v>
      </c>
      <c r="AL179" s="33" t="s">
        <v>158</v>
      </c>
      <c r="AT179" t="s">
        <v>43</v>
      </c>
      <c r="AU179" t="s">
        <v>43</v>
      </c>
      <c r="AV179">
        <v>1</v>
      </c>
      <c r="AX179" t="s">
        <v>43</v>
      </c>
      <c r="AZ179" t="s">
        <v>43</v>
      </c>
    </row>
    <row r="180" spans="2:52" ht="15" x14ac:dyDescent="0.25">
      <c r="B180" s="33" t="s">
        <v>46</v>
      </c>
      <c r="C180" s="33"/>
      <c r="D180" t="s">
        <v>43</v>
      </c>
      <c r="E180">
        <f>40/1000</f>
        <v>0.04</v>
      </c>
      <c r="F180" t="s">
        <v>367</v>
      </c>
      <c r="G180" t="s">
        <v>43</v>
      </c>
      <c r="H180" t="s">
        <v>43</v>
      </c>
      <c r="I180">
        <v>6</v>
      </c>
      <c r="J180" s="12">
        <f t="shared" si="46"/>
        <v>3.4840000000000004</v>
      </c>
      <c r="L180">
        <v>330</v>
      </c>
      <c r="M180">
        <v>871</v>
      </c>
      <c r="N180">
        <v>83</v>
      </c>
      <c r="O180" s="9">
        <f t="shared" si="56"/>
        <v>74.848484848484858</v>
      </c>
      <c r="P180" t="s">
        <v>43</v>
      </c>
      <c r="Q180" t="s">
        <v>43</v>
      </c>
      <c r="R180">
        <v>257</v>
      </c>
      <c r="S180" s="9">
        <f t="shared" si="54"/>
        <v>70.493685419058551</v>
      </c>
      <c r="T180" t="s">
        <v>43</v>
      </c>
      <c r="U180" t="s">
        <v>43</v>
      </c>
      <c r="Y180" t="s">
        <v>43</v>
      </c>
      <c r="Z180" t="s">
        <v>43</v>
      </c>
      <c r="AA180" t="s">
        <v>43</v>
      </c>
      <c r="AB180" t="s">
        <v>43</v>
      </c>
      <c r="AC180" t="s">
        <v>43</v>
      </c>
      <c r="AD180" t="s">
        <v>43</v>
      </c>
      <c r="AE180" t="s">
        <v>43</v>
      </c>
      <c r="AG180" t="s">
        <v>43</v>
      </c>
      <c r="AH180" t="s">
        <v>43</v>
      </c>
      <c r="AI180" t="s">
        <v>43</v>
      </c>
      <c r="AJ180" t="s">
        <v>43</v>
      </c>
      <c r="AL180" s="33"/>
      <c r="AT180" t="s">
        <v>43</v>
      </c>
      <c r="AU180" t="s">
        <v>43</v>
      </c>
      <c r="AV180">
        <v>1</v>
      </c>
      <c r="AX180" t="s">
        <v>43</v>
      </c>
      <c r="AZ180" t="s">
        <v>43</v>
      </c>
    </row>
    <row r="181" spans="2:52" x14ac:dyDescent="0.2">
      <c r="B181" s="33" t="s">
        <v>46</v>
      </c>
      <c r="C181" s="33"/>
      <c r="D181" t="s">
        <v>43</v>
      </c>
      <c r="E181">
        <f>0.129+0.267</f>
        <v>0.39600000000000002</v>
      </c>
      <c r="F181">
        <v>20</v>
      </c>
      <c r="G181">
        <v>106</v>
      </c>
      <c r="H181" t="s">
        <v>43</v>
      </c>
      <c r="I181">
        <v>3.2</v>
      </c>
      <c r="J181">
        <v>2.6</v>
      </c>
      <c r="L181">
        <v>189</v>
      </c>
      <c r="M181">
        <v>341</v>
      </c>
      <c r="N181">
        <v>144</v>
      </c>
      <c r="O181" s="9">
        <v>34</v>
      </c>
      <c r="P181" t="s">
        <v>43</v>
      </c>
      <c r="Q181" t="s">
        <v>43</v>
      </c>
      <c r="R181">
        <v>273</v>
      </c>
      <c r="S181" s="9">
        <f t="shared" si="54"/>
        <v>19.941348973607038</v>
      </c>
      <c r="T181" t="s">
        <v>43</v>
      </c>
      <c r="U181" t="s">
        <v>43</v>
      </c>
      <c r="Y181" t="s">
        <v>43</v>
      </c>
      <c r="Z181" t="s">
        <v>43</v>
      </c>
      <c r="AA181" t="s">
        <v>43</v>
      </c>
      <c r="AB181" t="s">
        <v>43</v>
      </c>
      <c r="AC181" t="s">
        <v>43</v>
      </c>
      <c r="AD181" t="s">
        <v>43</v>
      </c>
      <c r="AE181" t="s">
        <v>43</v>
      </c>
      <c r="AG181">
        <v>27.7</v>
      </c>
      <c r="AH181" t="s">
        <v>43</v>
      </c>
      <c r="AI181" t="s">
        <v>43</v>
      </c>
      <c r="AJ181" t="s">
        <v>43</v>
      </c>
      <c r="AL181" t="s">
        <v>368</v>
      </c>
      <c r="AM181" t="s">
        <v>369</v>
      </c>
      <c r="AT181">
        <v>6</v>
      </c>
      <c r="AU181">
        <v>5</v>
      </c>
      <c r="AV181">
        <v>1</v>
      </c>
      <c r="AX181">
        <f t="shared" ref="AX181:AX208" si="57">(AU181+AT181)*LN((AU181+2))</f>
        <v>21.405011639608446</v>
      </c>
      <c r="AZ181">
        <f t="shared" si="37"/>
        <v>12.084735175349207</v>
      </c>
    </row>
    <row r="182" spans="2:52" x14ac:dyDescent="0.2">
      <c r="B182" s="33" t="s">
        <v>46</v>
      </c>
      <c r="C182" s="33"/>
      <c r="E182">
        <v>25.5</v>
      </c>
      <c r="F182">
        <v>20</v>
      </c>
      <c r="I182">
        <v>9.1</v>
      </c>
      <c r="J182">
        <v>0.92</v>
      </c>
      <c r="L182">
        <v>206</v>
      </c>
      <c r="M182">
        <v>351</v>
      </c>
      <c r="N182">
        <v>43</v>
      </c>
      <c r="O182">
        <v>78</v>
      </c>
      <c r="P182" t="s">
        <v>43</v>
      </c>
      <c r="Q182" t="s">
        <v>43</v>
      </c>
      <c r="R182">
        <v>159</v>
      </c>
      <c r="S182" s="9">
        <f t="shared" si="54"/>
        <v>54.700854700854705</v>
      </c>
      <c r="T182" t="s">
        <v>43</v>
      </c>
      <c r="U182" t="s">
        <v>43</v>
      </c>
      <c r="Y182" t="s">
        <v>43</v>
      </c>
      <c r="Z182" t="s">
        <v>43</v>
      </c>
      <c r="AA182" t="s">
        <v>43</v>
      </c>
      <c r="AB182" t="s">
        <v>43</v>
      </c>
      <c r="AC182" t="s">
        <v>43</v>
      </c>
      <c r="AD182" t="s">
        <v>43</v>
      </c>
      <c r="AE182" t="s">
        <v>43</v>
      </c>
      <c r="AG182" t="s">
        <v>43</v>
      </c>
      <c r="AH182" t="s">
        <v>43</v>
      </c>
      <c r="AI182" t="s">
        <v>43</v>
      </c>
      <c r="AJ182" t="s">
        <v>43</v>
      </c>
      <c r="AL182" s="33" t="s">
        <v>160</v>
      </c>
      <c r="AT182">
        <v>4</v>
      </c>
      <c r="AU182">
        <v>4</v>
      </c>
      <c r="AV182">
        <v>1</v>
      </c>
      <c r="AX182">
        <f t="shared" si="57"/>
        <v>14.33407575382444</v>
      </c>
      <c r="AZ182">
        <f t="shared" si="37"/>
        <v>8.7888983093448783</v>
      </c>
    </row>
    <row r="183" spans="2:52" x14ac:dyDescent="0.2">
      <c r="B183" s="33" t="s">
        <v>46</v>
      </c>
      <c r="C183" s="33"/>
      <c r="E183">
        <v>25.5</v>
      </c>
      <c r="F183">
        <v>20</v>
      </c>
      <c r="I183">
        <v>9.5</v>
      </c>
      <c r="J183">
        <v>0.92</v>
      </c>
      <c r="L183">
        <v>224</v>
      </c>
      <c r="M183">
        <v>363</v>
      </c>
      <c r="N183">
        <v>53</v>
      </c>
      <c r="O183">
        <v>74</v>
      </c>
      <c r="P183" t="s">
        <v>43</v>
      </c>
      <c r="Q183" t="s">
        <v>43</v>
      </c>
      <c r="R183">
        <v>150</v>
      </c>
      <c r="S183" s="9">
        <f t="shared" si="54"/>
        <v>58.677685950413228</v>
      </c>
      <c r="T183" t="s">
        <v>43</v>
      </c>
      <c r="U183" t="s">
        <v>43</v>
      </c>
      <c r="Y183" t="s">
        <v>43</v>
      </c>
      <c r="Z183" t="s">
        <v>43</v>
      </c>
      <c r="AA183" t="s">
        <v>43</v>
      </c>
      <c r="AB183" t="s">
        <v>43</v>
      </c>
      <c r="AC183" t="s">
        <v>43</v>
      </c>
      <c r="AD183" t="s">
        <v>43</v>
      </c>
      <c r="AE183" t="s">
        <v>43</v>
      </c>
      <c r="AG183" t="s">
        <v>43</v>
      </c>
      <c r="AH183" t="s">
        <v>43</v>
      </c>
      <c r="AI183" t="s">
        <v>43</v>
      </c>
      <c r="AJ183" t="s">
        <v>43</v>
      </c>
      <c r="AL183" s="33"/>
      <c r="AT183">
        <v>4</v>
      </c>
      <c r="AU183">
        <v>4</v>
      </c>
      <c r="AV183">
        <v>1</v>
      </c>
      <c r="AX183">
        <f t="shared" si="57"/>
        <v>14.33407575382444</v>
      </c>
      <c r="AZ183">
        <f t="shared" si="37"/>
        <v>8.7888983093448783</v>
      </c>
    </row>
    <row r="184" spans="2:52" x14ac:dyDescent="0.2">
      <c r="B184" s="33" t="s">
        <v>46</v>
      </c>
      <c r="C184" s="33"/>
      <c r="E184">
        <v>25.5</v>
      </c>
      <c r="F184">
        <v>20</v>
      </c>
      <c r="I184">
        <v>9.6</v>
      </c>
      <c r="J184">
        <v>1.1100000000000001</v>
      </c>
      <c r="L184">
        <v>229</v>
      </c>
      <c r="M184">
        <v>444</v>
      </c>
      <c r="N184">
        <v>56</v>
      </c>
      <c r="O184">
        <v>71</v>
      </c>
      <c r="P184" t="s">
        <v>43</v>
      </c>
      <c r="Q184" t="s">
        <v>43</v>
      </c>
      <c r="R184">
        <v>228</v>
      </c>
      <c r="S184" s="9">
        <f t="shared" si="54"/>
        <v>48.648648648648653</v>
      </c>
      <c r="T184" t="s">
        <v>43</v>
      </c>
      <c r="U184" t="s">
        <v>43</v>
      </c>
      <c r="Y184" t="s">
        <v>43</v>
      </c>
      <c r="Z184" t="s">
        <v>43</v>
      </c>
      <c r="AA184" t="s">
        <v>43</v>
      </c>
      <c r="AB184" t="s">
        <v>43</v>
      </c>
      <c r="AC184" t="s">
        <v>43</v>
      </c>
      <c r="AD184" t="s">
        <v>43</v>
      </c>
      <c r="AE184" t="s">
        <v>43</v>
      </c>
      <c r="AG184" t="s">
        <v>43</v>
      </c>
      <c r="AH184" t="s">
        <v>43</v>
      </c>
      <c r="AI184" t="s">
        <v>43</v>
      </c>
      <c r="AJ184" t="s">
        <v>43</v>
      </c>
      <c r="AL184" s="33"/>
      <c r="AT184">
        <v>4</v>
      </c>
      <c r="AU184">
        <v>4</v>
      </c>
      <c r="AV184">
        <v>1</v>
      </c>
      <c r="AX184">
        <f t="shared" si="57"/>
        <v>14.33407575382444</v>
      </c>
      <c r="AZ184">
        <f t="shared" si="37"/>
        <v>8.7888983093448783</v>
      </c>
    </row>
    <row r="185" spans="2:52" x14ac:dyDescent="0.2">
      <c r="B185" s="33" t="s">
        <v>46</v>
      </c>
      <c r="C185" s="33"/>
      <c r="E185">
        <v>25.5</v>
      </c>
      <c r="F185">
        <v>20</v>
      </c>
      <c r="I185">
        <v>10.4</v>
      </c>
      <c r="J185">
        <v>0.9</v>
      </c>
      <c r="L185">
        <v>178</v>
      </c>
      <c r="M185">
        <v>392</v>
      </c>
      <c r="N185">
        <v>43</v>
      </c>
      <c r="O185">
        <v>9</v>
      </c>
      <c r="P185" t="s">
        <v>43</v>
      </c>
      <c r="Q185" t="s">
        <v>43</v>
      </c>
      <c r="R185">
        <v>149</v>
      </c>
      <c r="S185" s="9">
        <f t="shared" si="54"/>
        <v>61.989795918367349</v>
      </c>
      <c r="T185" t="s">
        <v>43</v>
      </c>
      <c r="U185" t="s">
        <v>43</v>
      </c>
      <c r="Y185" t="s">
        <v>43</v>
      </c>
      <c r="Z185" t="s">
        <v>43</v>
      </c>
      <c r="AA185" t="s">
        <v>43</v>
      </c>
      <c r="AB185" t="s">
        <v>43</v>
      </c>
      <c r="AC185" t="s">
        <v>43</v>
      </c>
      <c r="AD185" t="s">
        <v>43</v>
      </c>
      <c r="AE185" t="s">
        <v>43</v>
      </c>
      <c r="AG185" t="s">
        <v>43</v>
      </c>
      <c r="AH185" t="s">
        <v>43</v>
      </c>
      <c r="AI185" t="s">
        <v>43</v>
      </c>
      <c r="AJ185" t="s">
        <v>43</v>
      </c>
      <c r="AL185" s="33"/>
      <c r="AT185">
        <v>4</v>
      </c>
      <c r="AU185">
        <v>4</v>
      </c>
      <c r="AV185">
        <v>1</v>
      </c>
      <c r="AX185">
        <f t="shared" si="57"/>
        <v>14.33407575382444</v>
      </c>
      <c r="AZ185">
        <f t="shared" si="37"/>
        <v>8.7888983093448783</v>
      </c>
    </row>
    <row r="186" spans="2:52" x14ac:dyDescent="0.2">
      <c r="B186" s="33" t="s">
        <v>46</v>
      </c>
      <c r="C186" s="33"/>
      <c r="E186">
        <v>25.5</v>
      </c>
      <c r="F186">
        <v>20</v>
      </c>
      <c r="I186">
        <v>12.3</v>
      </c>
      <c r="J186">
        <v>0.43</v>
      </c>
      <c r="L186">
        <v>95</v>
      </c>
      <c r="M186">
        <v>219</v>
      </c>
      <c r="N186">
        <v>38</v>
      </c>
      <c r="O186">
        <v>61</v>
      </c>
      <c r="P186" t="s">
        <v>43</v>
      </c>
      <c r="Q186" t="s">
        <v>43</v>
      </c>
      <c r="R186">
        <v>119</v>
      </c>
      <c r="S186" s="9">
        <f t="shared" si="54"/>
        <v>45.662100456621005</v>
      </c>
      <c r="T186" t="s">
        <v>43</v>
      </c>
      <c r="U186" t="s">
        <v>43</v>
      </c>
      <c r="Y186" t="s">
        <v>43</v>
      </c>
      <c r="Z186" t="s">
        <v>43</v>
      </c>
      <c r="AA186" t="s">
        <v>43</v>
      </c>
      <c r="AB186" t="s">
        <v>43</v>
      </c>
      <c r="AC186" t="s">
        <v>43</v>
      </c>
      <c r="AD186" t="s">
        <v>43</v>
      </c>
      <c r="AE186" t="s">
        <v>43</v>
      </c>
      <c r="AG186" t="s">
        <v>43</v>
      </c>
      <c r="AH186" t="s">
        <v>43</v>
      </c>
      <c r="AI186" t="s">
        <v>43</v>
      </c>
      <c r="AJ186" t="s">
        <v>43</v>
      </c>
      <c r="AL186" s="33"/>
      <c r="AT186">
        <v>4</v>
      </c>
      <c r="AU186">
        <v>4</v>
      </c>
      <c r="AV186">
        <v>1</v>
      </c>
      <c r="AX186">
        <f t="shared" si="57"/>
        <v>14.33407575382444</v>
      </c>
      <c r="AZ186">
        <f t="shared" si="37"/>
        <v>8.7888983093448783</v>
      </c>
    </row>
    <row r="187" spans="2:52" x14ac:dyDescent="0.2">
      <c r="B187" s="33" t="s">
        <v>46</v>
      </c>
      <c r="C187" s="33"/>
      <c r="E187">
        <v>25.5</v>
      </c>
      <c r="F187">
        <v>13.7</v>
      </c>
      <c r="I187">
        <v>14.5</v>
      </c>
      <c r="J187">
        <v>0.56999999999999995</v>
      </c>
      <c r="L187">
        <v>174</v>
      </c>
      <c r="M187">
        <v>346</v>
      </c>
      <c r="N187">
        <v>54</v>
      </c>
      <c r="O187">
        <v>67</v>
      </c>
      <c r="P187" t="s">
        <v>43</v>
      </c>
      <c r="Q187" t="s">
        <v>43</v>
      </c>
      <c r="R187">
        <v>192</v>
      </c>
      <c r="S187" s="9">
        <f t="shared" si="54"/>
        <v>44.508670520231213</v>
      </c>
      <c r="T187" t="s">
        <v>43</v>
      </c>
      <c r="U187" t="s">
        <v>43</v>
      </c>
      <c r="Y187" t="s">
        <v>43</v>
      </c>
      <c r="Z187" t="s">
        <v>43</v>
      </c>
      <c r="AA187" t="s">
        <v>43</v>
      </c>
      <c r="AB187" t="s">
        <v>43</v>
      </c>
      <c r="AC187" t="s">
        <v>43</v>
      </c>
      <c r="AD187" t="s">
        <v>43</v>
      </c>
      <c r="AE187" t="s">
        <v>43</v>
      </c>
      <c r="AG187" t="s">
        <v>43</v>
      </c>
      <c r="AH187" t="s">
        <v>43</v>
      </c>
      <c r="AI187" t="s">
        <v>43</v>
      </c>
      <c r="AJ187" t="s">
        <v>43</v>
      </c>
      <c r="AL187" s="33"/>
      <c r="AM187" t="s">
        <v>414</v>
      </c>
      <c r="AT187">
        <v>4</v>
      </c>
      <c r="AU187">
        <v>4</v>
      </c>
      <c r="AV187">
        <v>1</v>
      </c>
      <c r="AX187">
        <f t="shared" si="57"/>
        <v>14.33407575382444</v>
      </c>
      <c r="AZ187">
        <f t="shared" si="37"/>
        <v>8.7888983093448783</v>
      </c>
    </row>
    <row r="188" spans="2:52" x14ac:dyDescent="0.2">
      <c r="B188" s="33" t="s">
        <v>46</v>
      </c>
      <c r="C188" s="33"/>
      <c r="E188">
        <v>25.5</v>
      </c>
      <c r="F188">
        <v>13.6</v>
      </c>
      <c r="I188">
        <v>7.7</v>
      </c>
      <c r="J188">
        <v>0.85</v>
      </c>
      <c r="L188">
        <v>154</v>
      </c>
      <c r="M188">
        <v>274</v>
      </c>
      <c r="N188">
        <v>74</v>
      </c>
      <c r="O188">
        <v>49</v>
      </c>
      <c r="P188" t="s">
        <v>43</v>
      </c>
      <c r="Q188" t="s">
        <v>43</v>
      </c>
      <c r="R188">
        <v>201</v>
      </c>
      <c r="S188" s="9">
        <f t="shared" si="54"/>
        <v>26.642335766423358</v>
      </c>
      <c r="T188" t="s">
        <v>43</v>
      </c>
      <c r="U188" t="s">
        <v>43</v>
      </c>
      <c r="Y188" t="s">
        <v>43</v>
      </c>
      <c r="Z188" t="s">
        <v>43</v>
      </c>
      <c r="AA188" t="s">
        <v>43</v>
      </c>
      <c r="AB188" t="s">
        <v>43</v>
      </c>
      <c r="AC188" t="s">
        <v>43</v>
      </c>
      <c r="AD188" t="s">
        <v>43</v>
      </c>
      <c r="AE188" t="s">
        <v>43</v>
      </c>
      <c r="AG188" t="s">
        <v>43</v>
      </c>
      <c r="AH188" t="s">
        <v>43</v>
      </c>
      <c r="AI188" t="s">
        <v>43</v>
      </c>
      <c r="AJ188" t="s">
        <v>43</v>
      </c>
      <c r="AL188" s="33"/>
      <c r="AT188">
        <v>4</v>
      </c>
      <c r="AU188">
        <v>4</v>
      </c>
      <c r="AV188">
        <v>1</v>
      </c>
      <c r="AX188">
        <f t="shared" si="57"/>
        <v>14.33407575382444</v>
      </c>
      <c r="AZ188">
        <f t="shared" si="37"/>
        <v>8.7888983093448783</v>
      </c>
    </row>
    <row r="189" spans="2:52" x14ac:dyDescent="0.2">
      <c r="B189" s="33" t="s">
        <v>46</v>
      </c>
      <c r="C189" s="33"/>
      <c r="E189">
        <v>25.5</v>
      </c>
      <c r="F189">
        <v>12.7</v>
      </c>
      <c r="I189">
        <v>13.6</v>
      </c>
      <c r="J189">
        <v>0.71</v>
      </c>
      <c r="L189">
        <v>232</v>
      </c>
      <c r="M189">
        <v>400</v>
      </c>
      <c r="N189">
        <v>65</v>
      </c>
      <c r="O189">
        <v>71</v>
      </c>
      <c r="P189" t="s">
        <v>43</v>
      </c>
      <c r="Q189" t="s">
        <v>43</v>
      </c>
      <c r="R189">
        <v>239</v>
      </c>
      <c r="S189" s="9">
        <f t="shared" si="54"/>
        <v>40.25</v>
      </c>
      <c r="T189" t="s">
        <v>43</v>
      </c>
      <c r="U189" t="s">
        <v>43</v>
      </c>
      <c r="Y189" t="s">
        <v>43</v>
      </c>
      <c r="Z189" t="s">
        <v>43</v>
      </c>
      <c r="AA189" t="s">
        <v>43</v>
      </c>
      <c r="AB189" t="s">
        <v>43</v>
      </c>
      <c r="AC189" t="s">
        <v>43</v>
      </c>
      <c r="AD189" t="s">
        <v>43</v>
      </c>
      <c r="AE189" t="s">
        <v>43</v>
      </c>
      <c r="AG189" t="s">
        <v>43</v>
      </c>
      <c r="AH189" t="s">
        <v>43</v>
      </c>
      <c r="AI189" t="s">
        <v>43</v>
      </c>
      <c r="AJ189" t="s">
        <v>43</v>
      </c>
      <c r="AL189" s="33"/>
      <c r="AT189">
        <v>4</v>
      </c>
      <c r="AU189">
        <v>4</v>
      </c>
      <c r="AV189">
        <v>1</v>
      </c>
      <c r="AX189">
        <f t="shared" si="57"/>
        <v>14.33407575382444</v>
      </c>
      <c r="AZ189">
        <f t="shared" si="37"/>
        <v>8.7888983093448783</v>
      </c>
    </row>
    <row r="190" spans="2:52" x14ac:dyDescent="0.2">
      <c r="B190" s="33" t="s">
        <v>46</v>
      </c>
      <c r="C190" s="33"/>
      <c r="E190">
        <v>25.5</v>
      </c>
      <c r="F190">
        <v>14.4</v>
      </c>
      <c r="I190">
        <v>9.6999999999999993</v>
      </c>
      <c r="J190">
        <v>0.53</v>
      </c>
      <c r="L190">
        <v>126</v>
      </c>
      <c r="M190">
        <v>216</v>
      </c>
      <c r="N190">
        <v>56</v>
      </c>
      <c r="O190">
        <v>53</v>
      </c>
      <c r="P190" t="s">
        <v>43</v>
      </c>
      <c r="Q190" t="s">
        <v>43</v>
      </c>
      <c r="R190">
        <v>130</v>
      </c>
      <c r="S190" s="9">
        <f t="shared" si="54"/>
        <v>39.814814814814817</v>
      </c>
      <c r="T190" t="s">
        <v>43</v>
      </c>
      <c r="U190" t="s">
        <v>43</v>
      </c>
      <c r="Y190" t="s">
        <v>43</v>
      </c>
      <c r="Z190" t="s">
        <v>43</v>
      </c>
      <c r="AA190" t="s">
        <v>43</v>
      </c>
      <c r="AB190" t="s">
        <v>43</v>
      </c>
      <c r="AC190" t="s">
        <v>43</v>
      </c>
      <c r="AD190" t="s">
        <v>43</v>
      </c>
      <c r="AE190" t="s">
        <v>43</v>
      </c>
      <c r="AG190" t="s">
        <v>43</v>
      </c>
      <c r="AH190" t="s">
        <v>43</v>
      </c>
      <c r="AI190" t="s">
        <v>43</v>
      </c>
      <c r="AJ190" t="s">
        <v>43</v>
      </c>
      <c r="AL190" s="33"/>
      <c r="AT190">
        <v>4</v>
      </c>
      <c r="AU190">
        <v>4</v>
      </c>
      <c r="AV190">
        <v>1</v>
      </c>
      <c r="AX190">
        <f t="shared" si="57"/>
        <v>14.33407575382444</v>
      </c>
      <c r="AZ190">
        <f t="shared" si="37"/>
        <v>8.7888983093448783</v>
      </c>
    </row>
    <row r="191" spans="2:52" x14ac:dyDescent="0.2">
      <c r="B191" s="33" t="s">
        <v>46</v>
      </c>
      <c r="C191" s="33"/>
      <c r="E191">
        <v>25.5</v>
      </c>
      <c r="F191">
        <v>14.7</v>
      </c>
      <c r="I191">
        <v>12.8</v>
      </c>
      <c r="J191">
        <v>0.27</v>
      </c>
      <c r="L191">
        <v>89</v>
      </c>
      <c r="M191">
        <v>146</v>
      </c>
      <c r="N191">
        <v>38</v>
      </c>
      <c r="O191">
        <v>55</v>
      </c>
      <c r="P191" t="s">
        <v>43</v>
      </c>
      <c r="Q191" t="s">
        <v>43</v>
      </c>
      <c r="R191">
        <v>88</v>
      </c>
      <c r="S191" s="9">
        <f t="shared" si="54"/>
        <v>39.726027397260275</v>
      </c>
      <c r="T191" t="s">
        <v>43</v>
      </c>
      <c r="U191" t="s">
        <v>43</v>
      </c>
      <c r="Y191" t="s">
        <v>43</v>
      </c>
      <c r="Z191" t="s">
        <v>43</v>
      </c>
      <c r="AA191" t="s">
        <v>43</v>
      </c>
      <c r="AB191" t="s">
        <v>43</v>
      </c>
      <c r="AC191" t="s">
        <v>43</v>
      </c>
      <c r="AD191" t="s">
        <v>43</v>
      </c>
      <c r="AE191" t="s">
        <v>43</v>
      </c>
      <c r="AG191" t="s">
        <v>43</v>
      </c>
      <c r="AH191" t="s">
        <v>43</v>
      </c>
      <c r="AI191" t="s">
        <v>43</v>
      </c>
      <c r="AJ191" t="s">
        <v>43</v>
      </c>
      <c r="AL191" s="33"/>
      <c r="AT191">
        <v>4</v>
      </c>
      <c r="AU191">
        <v>4</v>
      </c>
      <c r="AV191">
        <v>1</v>
      </c>
      <c r="AX191">
        <f t="shared" si="57"/>
        <v>14.33407575382444</v>
      </c>
      <c r="AZ191">
        <f t="shared" si="37"/>
        <v>8.7888983093448783</v>
      </c>
    </row>
    <row r="192" spans="2:52" x14ac:dyDescent="0.2">
      <c r="B192" s="33" t="s">
        <v>46</v>
      </c>
      <c r="C192" s="33"/>
      <c r="D192" t="s">
        <v>43</v>
      </c>
      <c r="E192">
        <f>3.5/1000</f>
        <v>3.5000000000000001E-3</v>
      </c>
      <c r="F192" s="22">
        <v>28</v>
      </c>
      <c r="G192">
        <v>50</v>
      </c>
      <c r="H192" s="13">
        <f>(E192/I192)/(49*10^-4)</f>
        <v>8.9285714285714288E-2</v>
      </c>
      <c r="I192">
        <v>8</v>
      </c>
      <c r="J192">
        <v>0.65</v>
      </c>
      <c r="L192" t="s">
        <v>43</v>
      </c>
      <c r="M192">
        <v>190</v>
      </c>
      <c r="N192" t="s">
        <v>43</v>
      </c>
      <c r="O192" t="s">
        <v>43</v>
      </c>
      <c r="P192" t="s">
        <v>43</v>
      </c>
      <c r="Q192" t="s">
        <v>43</v>
      </c>
      <c r="R192" t="s">
        <v>43</v>
      </c>
      <c r="S192">
        <v>72</v>
      </c>
      <c r="T192" t="s">
        <v>43</v>
      </c>
      <c r="U192" t="s">
        <v>43</v>
      </c>
      <c r="Y192" t="s">
        <v>43</v>
      </c>
      <c r="Z192" t="s">
        <v>43</v>
      </c>
      <c r="AA192" t="s">
        <v>43</v>
      </c>
      <c r="AB192" t="s">
        <v>43</v>
      </c>
      <c r="AC192" t="s">
        <v>43</v>
      </c>
      <c r="AD192" t="s">
        <v>43</v>
      </c>
      <c r="AE192" t="s">
        <v>43</v>
      </c>
      <c r="AG192" t="s">
        <v>43</v>
      </c>
      <c r="AH192" t="s">
        <v>43</v>
      </c>
      <c r="AI192" t="s">
        <v>43</v>
      </c>
      <c r="AJ192" t="s">
        <v>43</v>
      </c>
      <c r="AL192" s="33" t="s">
        <v>171</v>
      </c>
      <c r="AT192">
        <v>4</v>
      </c>
      <c r="AU192">
        <v>3</v>
      </c>
      <c r="AV192">
        <v>1</v>
      </c>
      <c r="AX192">
        <f t="shared" si="57"/>
        <v>11.266065387038703</v>
      </c>
      <c r="AZ192">
        <f t="shared" si="37"/>
        <v>7.6902860206767683</v>
      </c>
    </row>
    <row r="193" spans="2:55" x14ac:dyDescent="0.2">
      <c r="B193" s="33" t="s">
        <v>46</v>
      </c>
      <c r="C193" s="33"/>
      <c r="D193" t="s">
        <v>43</v>
      </c>
      <c r="E193">
        <f t="shared" ref="E193:E197" si="58">3.5/1000</f>
        <v>3.5000000000000001E-3</v>
      </c>
      <c r="F193" s="22">
        <v>26.5</v>
      </c>
      <c r="G193">
        <v>50</v>
      </c>
      <c r="H193" s="13">
        <f t="shared" ref="H193:H197" si="59">(E193/I193)/(49*10^-4)</f>
        <v>0.11904761904761905</v>
      </c>
      <c r="I193">
        <v>6</v>
      </c>
      <c r="J193">
        <v>0.87</v>
      </c>
      <c r="L193" t="s">
        <v>43</v>
      </c>
      <c r="M193">
        <v>200</v>
      </c>
      <c r="N193" t="s">
        <v>43</v>
      </c>
      <c r="O193" t="s">
        <v>43</v>
      </c>
      <c r="P193" t="s">
        <v>43</v>
      </c>
      <c r="Q193" t="s">
        <v>43</v>
      </c>
      <c r="R193" t="s">
        <v>43</v>
      </c>
      <c r="S193">
        <v>70</v>
      </c>
      <c r="T193" t="s">
        <v>43</v>
      </c>
      <c r="U193" t="s">
        <v>43</v>
      </c>
      <c r="Y193" t="s">
        <v>43</v>
      </c>
      <c r="Z193" t="s">
        <v>43</v>
      </c>
      <c r="AA193" t="s">
        <v>43</v>
      </c>
      <c r="AB193" t="s">
        <v>43</v>
      </c>
      <c r="AC193" t="s">
        <v>43</v>
      </c>
      <c r="AD193" t="s">
        <v>43</v>
      </c>
      <c r="AE193" t="s">
        <v>43</v>
      </c>
      <c r="AG193" t="s">
        <v>43</v>
      </c>
      <c r="AH193" t="s">
        <v>43</v>
      </c>
      <c r="AI193" t="s">
        <v>43</v>
      </c>
      <c r="AJ193" t="s">
        <v>43</v>
      </c>
      <c r="AL193" s="33"/>
      <c r="AT193">
        <v>4</v>
      </c>
      <c r="AU193">
        <v>3</v>
      </c>
      <c r="AV193">
        <v>1</v>
      </c>
      <c r="AX193">
        <f t="shared" si="57"/>
        <v>11.266065387038703</v>
      </c>
      <c r="AZ193">
        <f t="shared" si="37"/>
        <v>7.6902860206767683</v>
      </c>
    </row>
    <row r="194" spans="2:55" x14ac:dyDescent="0.2">
      <c r="B194" s="33" t="s">
        <v>46</v>
      </c>
      <c r="C194" s="33"/>
      <c r="D194" t="s">
        <v>43</v>
      </c>
      <c r="E194">
        <f t="shared" si="58"/>
        <v>3.5000000000000001E-3</v>
      </c>
      <c r="F194" s="22">
        <v>30</v>
      </c>
      <c r="G194">
        <v>50</v>
      </c>
      <c r="H194" s="13">
        <f t="shared" si="59"/>
        <v>0.17857142857142858</v>
      </c>
      <c r="I194">
        <v>4</v>
      </c>
      <c r="J194">
        <v>1.1000000000000001</v>
      </c>
      <c r="L194" t="s">
        <v>43</v>
      </c>
      <c r="M194">
        <v>205</v>
      </c>
      <c r="N194" t="s">
        <v>43</v>
      </c>
      <c r="O194">
        <v>47</v>
      </c>
      <c r="P194" t="s">
        <v>43</v>
      </c>
      <c r="Q194" t="s">
        <v>43</v>
      </c>
      <c r="R194" t="s">
        <v>43</v>
      </c>
      <c r="S194">
        <v>67</v>
      </c>
      <c r="T194" t="s">
        <v>43</v>
      </c>
      <c r="U194" t="s">
        <v>43</v>
      </c>
      <c r="Y194" t="s">
        <v>43</v>
      </c>
      <c r="Z194" t="s">
        <v>43</v>
      </c>
      <c r="AA194" t="s">
        <v>43</v>
      </c>
      <c r="AB194" t="s">
        <v>43</v>
      </c>
      <c r="AC194" t="s">
        <v>43</v>
      </c>
      <c r="AD194" t="s">
        <v>43</v>
      </c>
      <c r="AE194" t="s">
        <v>43</v>
      </c>
      <c r="AG194" t="s">
        <v>43</v>
      </c>
      <c r="AH194" t="s">
        <v>43</v>
      </c>
      <c r="AI194" t="s">
        <v>43</v>
      </c>
      <c r="AJ194" t="s">
        <v>43</v>
      </c>
      <c r="AL194" s="33"/>
      <c r="AT194">
        <v>4</v>
      </c>
      <c r="AU194">
        <v>3</v>
      </c>
      <c r="AV194">
        <v>1</v>
      </c>
      <c r="AX194">
        <f t="shared" si="57"/>
        <v>11.266065387038703</v>
      </c>
      <c r="AZ194">
        <f t="shared" si="37"/>
        <v>7.6902860206767683</v>
      </c>
      <c r="BC194">
        <f>AZ195-AZ193</f>
        <v>1.09861228866811</v>
      </c>
    </row>
    <row r="195" spans="2:55" x14ac:dyDescent="0.2">
      <c r="B195" s="33" t="s">
        <v>300</v>
      </c>
      <c r="C195" s="33"/>
      <c r="D195" t="s">
        <v>43</v>
      </c>
      <c r="E195">
        <f t="shared" si="58"/>
        <v>3.5000000000000001E-3</v>
      </c>
      <c r="F195" s="22">
        <v>28</v>
      </c>
      <c r="G195">
        <v>50</v>
      </c>
      <c r="H195" s="13">
        <f t="shared" si="59"/>
        <v>8.9285714285714288E-2</v>
      </c>
      <c r="I195">
        <v>8</v>
      </c>
      <c r="J195">
        <v>0.65</v>
      </c>
      <c r="L195" t="s">
        <v>43</v>
      </c>
      <c r="M195">
        <v>190</v>
      </c>
      <c r="N195" t="s">
        <v>43</v>
      </c>
      <c r="O195" t="s">
        <v>43</v>
      </c>
      <c r="P195" t="s">
        <v>43</v>
      </c>
      <c r="Q195" t="s">
        <v>43</v>
      </c>
      <c r="R195" t="s">
        <v>43</v>
      </c>
      <c r="S195">
        <v>84</v>
      </c>
      <c r="T195" t="s">
        <v>43</v>
      </c>
      <c r="U195" t="s">
        <v>43</v>
      </c>
      <c r="Y195" t="s">
        <v>43</v>
      </c>
      <c r="Z195" t="s">
        <v>43</v>
      </c>
      <c r="AA195" t="s">
        <v>43</v>
      </c>
      <c r="AB195" t="s">
        <v>43</v>
      </c>
      <c r="AC195" t="s">
        <v>43</v>
      </c>
      <c r="AD195" t="s">
        <v>43</v>
      </c>
      <c r="AE195" t="s">
        <v>43</v>
      </c>
      <c r="AG195" t="s">
        <v>43</v>
      </c>
      <c r="AH195" t="s">
        <v>43</v>
      </c>
      <c r="AI195" t="s">
        <v>43</v>
      </c>
      <c r="AJ195" t="s">
        <v>43</v>
      </c>
      <c r="AL195" s="33"/>
      <c r="AT195">
        <v>5</v>
      </c>
      <c r="AU195">
        <v>3</v>
      </c>
      <c r="AV195">
        <v>1</v>
      </c>
      <c r="AX195">
        <f t="shared" si="57"/>
        <v>12.875503299472802</v>
      </c>
      <c r="AZ195">
        <f t="shared" si="37"/>
        <v>8.7888983093448783</v>
      </c>
    </row>
    <row r="196" spans="2:55" x14ac:dyDescent="0.2">
      <c r="B196" s="33" t="s">
        <v>300</v>
      </c>
      <c r="C196" s="33"/>
      <c r="D196" t="s">
        <v>43</v>
      </c>
      <c r="E196">
        <f t="shared" si="58"/>
        <v>3.5000000000000001E-3</v>
      </c>
      <c r="F196" s="22">
        <v>26.5</v>
      </c>
      <c r="G196">
        <v>50</v>
      </c>
      <c r="H196" s="13">
        <f t="shared" si="59"/>
        <v>0.11904761904761905</v>
      </c>
      <c r="I196">
        <v>6</v>
      </c>
      <c r="J196">
        <v>0.87</v>
      </c>
      <c r="L196" t="s">
        <v>43</v>
      </c>
      <c r="M196">
        <v>200</v>
      </c>
      <c r="N196" t="s">
        <v>43</v>
      </c>
      <c r="O196" t="s">
        <v>43</v>
      </c>
      <c r="P196" t="s">
        <v>43</v>
      </c>
      <c r="Q196" t="s">
        <v>43</v>
      </c>
      <c r="R196" t="s">
        <v>43</v>
      </c>
      <c r="S196">
        <v>82</v>
      </c>
      <c r="T196" t="s">
        <v>43</v>
      </c>
      <c r="U196" t="s">
        <v>43</v>
      </c>
      <c r="Y196" t="s">
        <v>43</v>
      </c>
      <c r="Z196" t="s">
        <v>43</v>
      </c>
      <c r="AA196" t="s">
        <v>43</v>
      </c>
      <c r="AB196" t="s">
        <v>43</v>
      </c>
      <c r="AC196" t="s">
        <v>43</v>
      </c>
      <c r="AD196" t="s">
        <v>43</v>
      </c>
      <c r="AE196" t="s">
        <v>43</v>
      </c>
      <c r="AG196" t="s">
        <v>43</v>
      </c>
      <c r="AH196" t="s">
        <v>43</v>
      </c>
      <c r="AI196" t="s">
        <v>43</v>
      </c>
      <c r="AJ196" t="s">
        <v>43</v>
      </c>
      <c r="AL196" s="33"/>
      <c r="AT196">
        <v>5</v>
      </c>
      <c r="AU196">
        <v>3</v>
      </c>
      <c r="AV196">
        <v>1</v>
      </c>
      <c r="AX196">
        <f t="shared" si="57"/>
        <v>12.875503299472802</v>
      </c>
      <c r="AZ196">
        <f t="shared" ref="AZ196:AZ226" si="60">(AT196+AU196)*LN(AV196+2)</f>
        <v>8.7888983093448783</v>
      </c>
    </row>
    <row r="197" spans="2:55" x14ac:dyDescent="0.2">
      <c r="B197" s="33" t="s">
        <v>300</v>
      </c>
      <c r="C197" s="33"/>
      <c r="D197" t="s">
        <v>43</v>
      </c>
      <c r="E197">
        <f t="shared" si="58"/>
        <v>3.5000000000000001E-3</v>
      </c>
      <c r="F197" s="22">
        <v>30</v>
      </c>
      <c r="G197">
        <v>50</v>
      </c>
      <c r="H197" s="13">
        <f t="shared" si="59"/>
        <v>0.17857142857142858</v>
      </c>
      <c r="I197">
        <v>4</v>
      </c>
      <c r="J197">
        <v>1.1000000000000001</v>
      </c>
      <c r="L197" t="s">
        <v>43</v>
      </c>
      <c r="M197">
        <v>205</v>
      </c>
      <c r="N197" t="s">
        <v>43</v>
      </c>
      <c r="O197">
        <v>76</v>
      </c>
      <c r="P197" t="s">
        <v>43</v>
      </c>
      <c r="Q197" t="s">
        <v>43</v>
      </c>
      <c r="R197" t="s">
        <v>43</v>
      </c>
      <c r="S197">
        <v>83.5</v>
      </c>
      <c r="T197" t="s">
        <v>43</v>
      </c>
      <c r="U197" t="s">
        <v>43</v>
      </c>
      <c r="Y197" t="s">
        <v>43</v>
      </c>
      <c r="Z197" t="s">
        <v>43</v>
      </c>
      <c r="AA197" t="s">
        <v>43</v>
      </c>
      <c r="AB197" t="s">
        <v>43</v>
      </c>
      <c r="AC197" t="s">
        <v>43</v>
      </c>
      <c r="AD197" t="s">
        <v>43</v>
      </c>
      <c r="AE197" t="s">
        <v>43</v>
      </c>
      <c r="AG197" t="s">
        <v>43</v>
      </c>
      <c r="AH197" t="s">
        <v>43</v>
      </c>
      <c r="AI197" t="s">
        <v>43</v>
      </c>
      <c r="AJ197" t="s">
        <v>43</v>
      </c>
      <c r="AL197" s="33"/>
      <c r="AT197">
        <v>5</v>
      </c>
      <c r="AU197">
        <v>3</v>
      </c>
      <c r="AV197">
        <v>1</v>
      </c>
      <c r="AX197">
        <f t="shared" si="57"/>
        <v>12.875503299472802</v>
      </c>
      <c r="AZ197">
        <f t="shared" si="60"/>
        <v>8.7888983093448783</v>
      </c>
    </row>
    <row r="198" spans="2:55" x14ac:dyDescent="0.2">
      <c r="B198" s="33" t="s">
        <v>46</v>
      </c>
      <c r="C198" s="33"/>
      <c r="D198" t="s">
        <v>43</v>
      </c>
      <c r="E198">
        <v>1.4</v>
      </c>
      <c r="F198">
        <v>23</v>
      </c>
      <c r="G198" t="s">
        <v>43</v>
      </c>
      <c r="H198">
        <v>0.21</v>
      </c>
      <c r="I198">
        <v>23</v>
      </c>
      <c r="J198">
        <v>1.4</v>
      </c>
      <c r="L198">
        <v>321</v>
      </c>
      <c r="M198">
        <v>1353</v>
      </c>
      <c r="N198" t="s">
        <v>43</v>
      </c>
      <c r="O198" t="s">
        <v>43</v>
      </c>
      <c r="P198" t="s">
        <v>43</v>
      </c>
      <c r="Q198" t="s">
        <v>43</v>
      </c>
      <c r="R198" t="s">
        <v>43</v>
      </c>
      <c r="S198">
        <v>50</v>
      </c>
      <c r="T198" s="38" t="s">
        <v>43</v>
      </c>
      <c r="U198" s="38">
        <v>49</v>
      </c>
      <c r="V198" s="38"/>
      <c r="W198" s="38"/>
      <c r="Y198" t="s">
        <v>43</v>
      </c>
      <c r="Z198" t="s">
        <v>43</v>
      </c>
      <c r="AA198" t="s">
        <v>43</v>
      </c>
      <c r="AB198" t="s">
        <v>43</v>
      </c>
      <c r="AC198" t="s">
        <v>43</v>
      </c>
      <c r="AD198" t="s">
        <v>43</v>
      </c>
      <c r="AE198" t="s">
        <v>43</v>
      </c>
      <c r="AG198" t="s">
        <v>43</v>
      </c>
      <c r="AH198" t="s">
        <v>43</v>
      </c>
      <c r="AI198" t="s">
        <v>43</v>
      </c>
      <c r="AJ198" t="s">
        <v>43</v>
      </c>
      <c r="AL198" t="s">
        <v>172</v>
      </c>
      <c r="AT198">
        <v>4</v>
      </c>
      <c r="AU198">
        <v>4</v>
      </c>
      <c r="AV198">
        <v>1</v>
      </c>
      <c r="AX198">
        <f t="shared" si="57"/>
        <v>14.33407575382444</v>
      </c>
      <c r="AZ198">
        <f t="shared" si="60"/>
        <v>8.7888983093448783</v>
      </c>
    </row>
    <row r="199" spans="2:55" s="3" customFormat="1" ht="15" x14ac:dyDescent="0.25">
      <c r="B199" s="34" t="s">
        <v>202</v>
      </c>
      <c r="C199" s="34"/>
      <c r="D199"/>
      <c r="E199" s="3">
        <v>3</v>
      </c>
      <c r="F199" s="3">
        <v>16.399999999999999</v>
      </c>
      <c r="G199" s="3">
        <v>181</v>
      </c>
      <c r="I199" s="3">
        <v>23</v>
      </c>
      <c r="J199" s="3">
        <v>1.51</v>
      </c>
      <c r="L199" s="3" t="s">
        <v>43</v>
      </c>
      <c r="M199" s="6">
        <f>(J199*E199)/(E199/(I199*24))</f>
        <v>833.5200000000001</v>
      </c>
      <c r="N199" t="s">
        <v>43</v>
      </c>
      <c r="O199" t="s">
        <v>43</v>
      </c>
      <c r="P199" t="s">
        <v>43</v>
      </c>
      <c r="Q199" t="s">
        <v>43</v>
      </c>
      <c r="S199" s="7">
        <v>38</v>
      </c>
      <c r="T199" s="44"/>
      <c r="U199" s="45">
        <v>60</v>
      </c>
      <c r="V199" s="45"/>
      <c r="W199" s="45"/>
      <c r="AA199" s="10"/>
      <c r="AB199" s="3" t="s">
        <v>203</v>
      </c>
      <c r="AD199" s="5" t="s">
        <v>43</v>
      </c>
      <c r="AE199" s="5" t="s">
        <v>43</v>
      </c>
      <c r="AG199" s="3" t="s">
        <v>43</v>
      </c>
      <c r="AJ199" s="3" t="s">
        <v>43</v>
      </c>
      <c r="AL199" s="34" t="s">
        <v>204</v>
      </c>
      <c r="AT199" s="3">
        <v>6</v>
      </c>
      <c r="AU199" s="3">
        <v>4</v>
      </c>
      <c r="AV199">
        <v>1</v>
      </c>
      <c r="AX199" s="3">
        <f t="shared" si="57"/>
        <v>17.917594692280549</v>
      </c>
      <c r="AZ199">
        <f t="shared" si="60"/>
        <v>10.986122886681098</v>
      </c>
    </row>
    <row r="200" spans="2:55" s="3" customFormat="1" ht="15" x14ac:dyDescent="0.25">
      <c r="B200" s="34" t="s">
        <v>202</v>
      </c>
      <c r="C200" s="34"/>
      <c r="D200"/>
      <c r="E200" s="3">
        <v>3</v>
      </c>
      <c r="F200" s="3">
        <v>16.399999999999999</v>
      </c>
      <c r="G200" s="3">
        <v>181</v>
      </c>
      <c r="I200" s="3">
        <v>24</v>
      </c>
      <c r="J200" s="3">
        <v>1.45</v>
      </c>
      <c r="L200" s="3" t="s">
        <v>43</v>
      </c>
      <c r="M200" s="6">
        <f>(J200*E200)/(E200/(I200*24))</f>
        <v>835.19999999999993</v>
      </c>
      <c r="N200" t="s">
        <v>43</v>
      </c>
      <c r="O200" t="s">
        <v>43</v>
      </c>
      <c r="P200" t="s">
        <v>43</v>
      </c>
      <c r="Q200" t="s">
        <v>43</v>
      </c>
      <c r="S200" s="7">
        <v>41</v>
      </c>
      <c r="T200" s="44"/>
      <c r="U200" s="45">
        <v>62</v>
      </c>
      <c r="V200" s="45"/>
      <c r="W200" s="45"/>
      <c r="AA200" s="10"/>
      <c r="AB200" s="3" t="s">
        <v>205</v>
      </c>
      <c r="AD200" s="5" t="s">
        <v>43</v>
      </c>
      <c r="AE200" s="3" t="s">
        <v>43</v>
      </c>
      <c r="AG200" s="3" t="s">
        <v>43</v>
      </c>
      <c r="AJ200" s="3" t="s">
        <v>43</v>
      </c>
      <c r="AL200" s="34"/>
      <c r="AT200" s="3">
        <v>6</v>
      </c>
      <c r="AU200" s="3">
        <v>4</v>
      </c>
      <c r="AV200">
        <v>1</v>
      </c>
      <c r="AX200" s="3">
        <f t="shared" si="57"/>
        <v>17.917594692280549</v>
      </c>
      <c r="AZ200">
        <f t="shared" si="60"/>
        <v>10.986122886681098</v>
      </c>
    </row>
    <row r="201" spans="2:55" s="3" customFormat="1" ht="15" x14ac:dyDescent="0.25">
      <c r="B201" s="33" t="s">
        <v>46</v>
      </c>
      <c r="C201" s="33"/>
      <c r="D201"/>
      <c r="E201" s="3">
        <v>1.4</v>
      </c>
      <c r="F201" s="3">
        <v>15</v>
      </c>
      <c r="G201" s="3" t="s">
        <v>43</v>
      </c>
      <c r="I201" s="3">
        <v>24</v>
      </c>
      <c r="J201" s="3">
        <v>1.38</v>
      </c>
      <c r="L201" s="3" t="s">
        <v>43</v>
      </c>
      <c r="M201" s="6">
        <f>(J201*E201)/(E201/(I201*24))</f>
        <v>794.87999999999988</v>
      </c>
      <c r="N201" t="s">
        <v>43</v>
      </c>
      <c r="O201" t="s">
        <v>43</v>
      </c>
      <c r="P201" t="s">
        <v>43</v>
      </c>
      <c r="Q201" t="s">
        <v>43</v>
      </c>
      <c r="S201" s="7">
        <v>26</v>
      </c>
      <c r="T201" s="44"/>
      <c r="U201" s="45">
        <v>35</v>
      </c>
      <c r="V201" s="45"/>
      <c r="W201" s="45"/>
      <c r="AA201" s="3" t="s">
        <v>43</v>
      </c>
      <c r="AB201" s="3" t="s">
        <v>43</v>
      </c>
      <c r="AD201" s="5" t="s">
        <v>43</v>
      </c>
      <c r="AE201" s="3" t="s">
        <v>43</v>
      </c>
      <c r="AG201" s="3" t="s">
        <v>43</v>
      </c>
      <c r="AJ201" s="3" t="s">
        <v>43</v>
      </c>
      <c r="AL201" s="34"/>
      <c r="AT201" s="3">
        <v>5</v>
      </c>
      <c r="AU201" s="3">
        <v>4</v>
      </c>
      <c r="AV201">
        <v>1</v>
      </c>
      <c r="AX201" s="3">
        <f t="shared" si="57"/>
        <v>16.125835223052494</v>
      </c>
      <c r="AZ201">
        <f t="shared" si="60"/>
        <v>9.8875105980129874</v>
      </c>
    </row>
    <row r="202" spans="2:55" ht="15" x14ac:dyDescent="0.25">
      <c r="B202" s="33" t="s">
        <v>46</v>
      </c>
      <c r="C202" s="33"/>
      <c r="D202" t="s">
        <v>43</v>
      </c>
      <c r="E202">
        <f>10/1000</f>
        <v>0.01</v>
      </c>
      <c r="F202" t="s">
        <v>378</v>
      </c>
      <c r="G202" t="s">
        <v>43</v>
      </c>
      <c r="I202" s="3">
        <v>8</v>
      </c>
      <c r="J202" s="3">
        <v>1.5</v>
      </c>
      <c r="L202" s="3" t="s">
        <v>43</v>
      </c>
      <c r="M202">
        <v>699</v>
      </c>
      <c r="N202" t="s">
        <v>43</v>
      </c>
      <c r="O202" t="s">
        <v>43</v>
      </c>
      <c r="P202" t="s">
        <v>43</v>
      </c>
      <c r="Q202" t="s">
        <v>43</v>
      </c>
      <c r="R202" s="7">
        <v>203</v>
      </c>
      <c r="S202" s="7">
        <v>69</v>
      </c>
      <c r="T202" s="38"/>
      <c r="U202" s="45">
        <v>85</v>
      </c>
      <c r="V202" s="45"/>
      <c r="W202" s="45">
        <v>46</v>
      </c>
      <c r="X202" s="38"/>
      <c r="Y202" t="s">
        <v>43</v>
      </c>
      <c r="Z202" t="s">
        <v>43</v>
      </c>
      <c r="AA202" t="s">
        <v>43</v>
      </c>
      <c r="AB202" t="s">
        <v>43</v>
      </c>
      <c r="AC202" t="s">
        <v>43</v>
      </c>
      <c r="AD202" t="s">
        <v>43</v>
      </c>
      <c r="AE202" t="s">
        <v>43</v>
      </c>
      <c r="AG202" t="s">
        <v>43</v>
      </c>
      <c r="AH202" t="s">
        <v>43</v>
      </c>
      <c r="AI202" t="s">
        <v>43</v>
      </c>
      <c r="AJ202" t="s">
        <v>43</v>
      </c>
      <c r="AL202" s="33" t="s">
        <v>176</v>
      </c>
      <c r="AT202" s="3">
        <v>5</v>
      </c>
      <c r="AU202" s="3">
        <v>4</v>
      </c>
      <c r="AV202">
        <v>1</v>
      </c>
      <c r="AX202" s="3">
        <f t="shared" si="57"/>
        <v>16.125835223052494</v>
      </c>
      <c r="AZ202">
        <f t="shared" si="60"/>
        <v>9.8875105980129874</v>
      </c>
    </row>
    <row r="203" spans="2:55" ht="15" x14ac:dyDescent="0.25">
      <c r="B203" s="33" t="s">
        <v>46</v>
      </c>
      <c r="C203" s="33"/>
      <c r="D203" t="s">
        <v>43</v>
      </c>
      <c r="E203">
        <f t="shared" ref="E203:E204" si="61">10/1000</f>
        <v>0.01</v>
      </c>
      <c r="F203" t="s">
        <v>378</v>
      </c>
      <c r="G203" s="3" t="s">
        <v>43</v>
      </c>
      <c r="I203" s="3">
        <v>6</v>
      </c>
      <c r="J203" s="3">
        <v>2.4</v>
      </c>
      <c r="L203" s="3" t="s">
        <v>43</v>
      </c>
      <c r="M203">
        <v>733</v>
      </c>
      <c r="N203" t="s">
        <v>43</v>
      </c>
      <c r="O203" t="s">
        <v>43</v>
      </c>
      <c r="P203" t="s">
        <v>43</v>
      </c>
      <c r="Q203" t="s">
        <v>43</v>
      </c>
      <c r="R203">
        <v>244</v>
      </c>
      <c r="S203" s="7">
        <v>64</v>
      </c>
      <c r="T203" s="38"/>
      <c r="U203" s="45">
        <v>80</v>
      </c>
      <c r="V203" s="45"/>
      <c r="W203" s="45">
        <v>24</v>
      </c>
      <c r="X203" s="38"/>
      <c r="Y203" t="s">
        <v>43</v>
      </c>
      <c r="Z203" t="s">
        <v>43</v>
      </c>
      <c r="AA203" t="s">
        <v>43</v>
      </c>
      <c r="AB203" t="s">
        <v>43</v>
      </c>
      <c r="AC203" t="s">
        <v>43</v>
      </c>
      <c r="AD203" t="s">
        <v>43</v>
      </c>
      <c r="AE203" t="s">
        <v>43</v>
      </c>
      <c r="AG203" t="s">
        <v>43</v>
      </c>
      <c r="AH203" t="s">
        <v>43</v>
      </c>
      <c r="AI203" t="s">
        <v>43</v>
      </c>
      <c r="AJ203" t="s">
        <v>43</v>
      </c>
      <c r="AL203" s="33"/>
      <c r="AT203" s="3">
        <v>5</v>
      </c>
      <c r="AU203" s="3">
        <v>4</v>
      </c>
      <c r="AV203">
        <v>1</v>
      </c>
      <c r="AX203" s="3">
        <f t="shared" si="57"/>
        <v>16.125835223052494</v>
      </c>
      <c r="AZ203">
        <f t="shared" si="60"/>
        <v>9.8875105980129874</v>
      </c>
    </row>
    <row r="204" spans="2:55" ht="15" x14ac:dyDescent="0.25">
      <c r="B204" s="33" t="s">
        <v>46</v>
      </c>
      <c r="C204" s="33"/>
      <c r="D204" t="s">
        <v>43</v>
      </c>
      <c r="E204">
        <f t="shared" si="61"/>
        <v>0.01</v>
      </c>
      <c r="F204" t="s">
        <v>378</v>
      </c>
      <c r="G204" s="3" t="s">
        <v>43</v>
      </c>
      <c r="I204" s="3">
        <v>3</v>
      </c>
      <c r="J204" s="3">
        <v>5.8</v>
      </c>
      <c r="L204" s="3" t="s">
        <v>43</v>
      </c>
      <c r="M204">
        <v>803</v>
      </c>
      <c r="N204" t="s">
        <v>43</v>
      </c>
      <c r="O204" t="s">
        <v>43</v>
      </c>
      <c r="P204" t="s">
        <v>43</v>
      </c>
      <c r="Q204" t="s">
        <v>43</v>
      </c>
      <c r="R204">
        <v>293</v>
      </c>
      <c r="S204" s="7">
        <v>58</v>
      </c>
      <c r="T204" s="38"/>
      <c r="U204" s="45">
        <v>74</v>
      </c>
      <c r="V204" s="45"/>
      <c r="W204" s="45">
        <v>15</v>
      </c>
      <c r="X204" s="38"/>
      <c r="Y204" t="s">
        <v>43</v>
      </c>
      <c r="Z204" t="s">
        <v>43</v>
      </c>
      <c r="AA204" t="s">
        <v>43</v>
      </c>
      <c r="AB204" t="s">
        <v>43</v>
      </c>
      <c r="AC204" t="s">
        <v>43</v>
      </c>
      <c r="AD204" t="s">
        <v>43</v>
      </c>
      <c r="AE204" t="s">
        <v>43</v>
      </c>
      <c r="AG204" t="s">
        <v>43</v>
      </c>
      <c r="AH204" t="s">
        <v>43</v>
      </c>
      <c r="AI204" t="s">
        <v>43</v>
      </c>
      <c r="AJ204" t="s">
        <v>43</v>
      </c>
      <c r="AL204" s="33"/>
      <c r="AT204" s="3">
        <v>5</v>
      </c>
      <c r="AU204" s="3">
        <v>4</v>
      </c>
      <c r="AV204">
        <v>1</v>
      </c>
      <c r="AX204" s="3">
        <f t="shared" si="57"/>
        <v>16.125835223052494</v>
      </c>
      <c r="AZ204">
        <f t="shared" si="60"/>
        <v>9.8875105980129874</v>
      </c>
    </row>
    <row r="205" spans="2:55" ht="15" x14ac:dyDescent="0.25">
      <c r="B205" s="33" t="s">
        <v>46</v>
      </c>
      <c r="C205" s="33"/>
      <c r="D205" t="s">
        <v>43</v>
      </c>
      <c r="E205">
        <v>1.08</v>
      </c>
      <c r="F205" s="22" t="s">
        <v>381</v>
      </c>
      <c r="G205" s="3" t="s">
        <v>43</v>
      </c>
      <c r="H205">
        <v>0.42</v>
      </c>
      <c r="I205" s="3">
        <v>4</v>
      </c>
      <c r="J205" s="12">
        <f t="shared" ref="J205:J210" si="62">((M205*(E205/I205)*24)/1000)/E205</f>
        <v>1.9259999999999997</v>
      </c>
      <c r="L205">
        <v>200</v>
      </c>
      <c r="M205">
        <v>321</v>
      </c>
      <c r="N205">
        <v>76</v>
      </c>
      <c r="O205" s="9">
        <f t="shared" ref="O205" si="63">((L205-N205)/L205)*100</f>
        <v>62</v>
      </c>
      <c r="P205" t="s">
        <v>43</v>
      </c>
      <c r="Q205" t="s">
        <v>43</v>
      </c>
      <c r="R205">
        <v>153</v>
      </c>
      <c r="S205" s="9">
        <f t="shared" ref="S205:S206" si="64">((M205-R205)/M205)*100</f>
        <v>52.336448598130836</v>
      </c>
      <c r="T205" s="38">
        <v>86</v>
      </c>
      <c r="U205" s="39">
        <f>((212-86)/212)*100</f>
        <v>59.433962264150942</v>
      </c>
      <c r="V205" s="39">
        <v>66.64</v>
      </c>
      <c r="W205" s="39">
        <f>((108.92-66.64)/108.92)*100</f>
        <v>38.817480719794347</v>
      </c>
      <c r="Y205" t="s">
        <v>43</v>
      </c>
      <c r="Z205" t="s">
        <v>43</v>
      </c>
      <c r="AA205" t="s">
        <v>43</v>
      </c>
      <c r="AB205" t="s">
        <v>43</v>
      </c>
      <c r="AC205" t="s">
        <v>43</v>
      </c>
      <c r="AD205" t="s">
        <v>43</v>
      </c>
      <c r="AE205" t="s">
        <v>43</v>
      </c>
      <c r="AG205" t="s">
        <v>43</v>
      </c>
      <c r="AH205" t="s">
        <v>43</v>
      </c>
      <c r="AI205">
        <v>0.12</v>
      </c>
      <c r="AJ205">
        <v>0.2</v>
      </c>
      <c r="AL205" t="s">
        <v>180</v>
      </c>
      <c r="AT205" s="3">
        <v>6</v>
      </c>
      <c r="AU205" s="3">
        <v>4</v>
      </c>
      <c r="AV205">
        <v>1</v>
      </c>
      <c r="AX205" s="3">
        <f t="shared" si="57"/>
        <v>17.917594692280549</v>
      </c>
      <c r="AZ205">
        <f t="shared" si="60"/>
        <v>10.986122886681098</v>
      </c>
    </row>
    <row r="206" spans="2:55" ht="15" x14ac:dyDescent="0.25">
      <c r="B206" s="33" t="s">
        <v>46</v>
      </c>
      <c r="C206" s="33"/>
      <c r="D206" t="s">
        <v>43</v>
      </c>
      <c r="E206">
        <v>22</v>
      </c>
      <c r="F206">
        <v>23</v>
      </c>
      <c r="G206" s="3" t="s">
        <v>43</v>
      </c>
      <c r="H206">
        <v>0.59</v>
      </c>
      <c r="I206" s="3">
        <v>7.7</v>
      </c>
      <c r="J206" s="12">
        <f t="shared" si="62"/>
        <v>1.5335064935064935</v>
      </c>
      <c r="L206">
        <v>218</v>
      </c>
      <c r="M206">
        <v>492</v>
      </c>
      <c r="N206">
        <v>80</v>
      </c>
      <c r="O206" s="9">
        <f>((L206-N206)/L206)*100</f>
        <v>63.302752293577981</v>
      </c>
      <c r="R206">
        <v>202</v>
      </c>
      <c r="S206" s="9">
        <f t="shared" si="64"/>
        <v>58.943089430894311</v>
      </c>
      <c r="T206" t="s">
        <v>43</v>
      </c>
      <c r="U206" t="s">
        <v>43</v>
      </c>
      <c r="Y206" t="s">
        <v>43</v>
      </c>
      <c r="Z206" t="s">
        <v>43</v>
      </c>
      <c r="AA206" t="s">
        <v>43</v>
      </c>
      <c r="AB206" t="s">
        <v>43</v>
      </c>
      <c r="AC206" t="s">
        <v>43</v>
      </c>
      <c r="AD206" t="s">
        <v>43</v>
      </c>
      <c r="AE206" t="s">
        <v>43</v>
      </c>
      <c r="AG206" t="s">
        <v>43</v>
      </c>
      <c r="AH206" t="s">
        <v>43</v>
      </c>
      <c r="AI206" t="s">
        <v>43</v>
      </c>
      <c r="AJ206" t="s">
        <v>43</v>
      </c>
      <c r="AL206" t="s">
        <v>183</v>
      </c>
      <c r="AT206" s="3">
        <v>5</v>
      </c>
      <c r="AU206" s="3">
        <v>5</v>
      </c>
      <c r="AV206">
        <v>1</v>
      </c>
      <c r="AX206" s="3">
        <f t="shared" si="57"/>
        <v>19.459101490553131</v>
      </c>
      <c r="AZ206">
        <f t="shared" si="60"/>
        <v>10.986122886681098</v>
      </c>
    </row>
    <row r="207" spans="2:55" ht="15" x14ac:dyDescent="0.25">
      <c r="B207" s="33" t="s">
        <v>46</v>
      </c>
      <c r="C207" s="33"/>
      <c r="D207" t="s">
        <v>43</v>
      </c>
      <c r="E207">
        <f>9/1000</f>
        <v>8.9999999999999993E-3</v>
      </c>
      <c r="F207">
        <v>32</v>
      </c>
      <c r="G207" s="3" t="s">
        <v>43</v>
      </c>
      <c r="H207" t="s">
        <v>43</v>
      </c>
      <c r="I207" s="3">
        <v>24</v>
      </c>
      <c r="J207" s="12">
        <f t="shared" si="62"/>
        <v>0.31799999999999995</v>
      </c>
      <c r="L207" s="3" t="s">
        <v>43</v>
      </c>
      <c r="M207">
        <v>318</v>
      </c>
      <c r="N207" t="s">
        <v>43</v>
      </c>
      <c r="O207" t="s">
        <v>43</v>
      </c>
      <c r="P207" t="s">
        <v>43</v>
      </c>
      <c r="Q207" t="s">
        <v>43</v>
      </c>
      <c r="R207" t="s">
        <v>43</v>
      </c>
      <c r="S207" s="7">
        <v>57.9</v>
      </c>
      <c r="T207" t="s">
        <v>43</v>
      </c>
      <c r="U207" t="s">
        <v>43</v>
      </c>
      <c r="Y207" t="s">
        <v>43</v>
      </c>
      <c r="Z207" t="s">
        <v>43</v>
      </c>
      <c r="AA207" t="s">
        <v>43</v>
      </c>
      <c r="AB207" t="s">
        <v>43</v>
      </c>
      <c r="AC207" t="s">
        <v>43</v>
      </c>
      <c r="AD207" t="s">
        <v>43</v>
      </c>
      <c r="AE207" t="s">
        <v>43</v>
      </c>
      <c r="AG207" t="s">
        <v>43</v>
      </c>
      <c r="AH207" t="s">
        <v>43</v>
      </c>
      <c r="AI207" t="s">
        <v>43</v>
      </c>
      <c r="AJ207" t="s">
        <v>43</v>
      </c>
      <c r="AL207" s="33" t="s">
        <v>186</v>
      </c>
      <c r="AT207" s="3">
        <v>4</v>
      </c>
      <c r="AU207" s="3">
        <v>4</v>
      </c>
      <c r="AV207">
        <v>1</v>
      </c>
      <c r="AX207" s="3">
        <f t="shared" si="57"/>
        <v>14.33407575382444</v>
      </c>
      <c r="AZ207">
        <f t="shared" si="60"/>
        <v>8.7888983093448783</v>
      </c>
    </row>
    <row r="208" spans="2:55" ht="15" x14ac:dyDescent="0.25">
      <c r="B208" s="33" t="s">
        <v>390</v>
      </c>
      <c r="C208" s="33"/>
      <c r="D208" t="s">
        <v>43</v>
      </c>
      <c r="E208">
        <f>9/1000</f>
        <v>8.9999999999999993E-3</v>
      </c>
      <c r="F208">
        <v>32</v>
      </c>
      <c r="G208" s="3" t="s">
        <v>43</v>
      </c>
      <c r="H208" t="s">
        <v>43</v>
      </c>
      <c r="I208" s="3">
        <v>24</v>
      </c>
      <c r="J208" s="12">
        <f t="shared" si="62"/>
        <v>0.31799999999999995</v>
      </c>
      <c r="L208" s="3" t="s">
        <v>43</v>
      </c>
      <c r="M208">
        <v>318</v>
      </c>
      <c r="N208" t="s">
        <v>43</v>
      </c>
      <c r="O208" t="s">
        <v>43</v>
      </c>
      <c r="P208" t="s">
        <v>43</v>
      </c>
      <c r="Q208" t="s">
        <v>43</v>
      </c>
      <c r="R208" t="s">
        <v>43</v>
      </c>
      <c r="S208" s="7">
        <v>57</v>
      </c>
      <c r="T208" t="s">
        <v>43</v>
      </c>
      <c r="U208" t="s">
        <v>43</v>
      </c>
      <c r="Y208" t="s">
        <v>43</v>
      </c>
      <c r="Z208" t="s">
        <v>43</v>
      </c>
      <c r="AA208" t="s">
        <v>43</v>
      </c>
      <c r="AB208" t="s">
        <v>43</v>
      </c>
      <c r="AC208" t="s">
        <v>43</v>
      </c>
      <c r="AD208" t="s">
        <v>43</v>
      </c>
      <c r="AE208" t="s">
        <v>43</v>
      </c>
      <c r="AG208" t="s">
        <v>43</v>
      </c>
      <c r="AH208" t="s">
        <v>43</v>
      </c>
      <c r="AI208" t="s">
        <v>43</v>
      </c>
      <c r="AJ208" t="s">
        <v>43</v>
      </c>
      <c r="AL208" s="33"/>
      <c r="AT208" s="3">
        <v>4</v>
      </c>
      <c r="AU208" s="3">
        <v>5</v>
      </c>
      <c r="AV208">
        <v>1</v>
      </c>
      <c r="AX208" s="3">
        <f t="shared" si="57"/>
        <v>17.513191341497819</v>
      </c>
      <c r="AZ208">
        <f t="shared" si="60"/>
        <v>9.8875105980129874</v>
      </c>
    </row>
    <row r="209" spans="2:52" ht="15" x14ac:dyDescent="0.25">
      <c r="B209" s="33" t="s">
        <v>46</v>
      </c>
      <c r="C209" s="33"/>
      <c r="D209" t="s">
        <v>391</v>
      </c>
      <c r="E209">
        <v>1.1499999999999999</v>
      </c>
      <c r="F209" s="22" t="s">
        <v>392</v>
      </c>
      <c r="G209" s="3" t="s">
        <v>43</v>
      </c>
      <c r="H209" t="s">
        <v>43</v>
      </c>
      <c r="I209" s="3">
        <v>8</v>
      </c>
      <c r="J209" s="12">
        <f t="shared" si="62"/>
        <v>1.026</v>
      </c>
      <c r="L209">
        <v>120</v>
      </c>
      <c r="M209">
        <v>342</v>
      </c>
      <c r="N209">
        <v>66</v>
      </c>
      <c r="O209">
        <v>66</v>
      </c>
      <c r="P209" t="s">
        <v>43</v>
      </c>
      <c r="Q209" t="s">
        <v>43</v>
      </c>
      <c r="R209">
        <v>118</v>
      </c>
      <c r="S209" s="7">
        <v>66</v>
      </c>
      <c r="T209" t="s">
        <v>43</v>
      </c>
      <c r="U209" t="s">
        <v>43</v>
      </c>
      <c r="Y209" t="s">
        <v>43</v>
      </c>
      <c r="Z209" t="s">
        <v>43</v>
      </c>
      <c r="AA209" t="s">
        <v>43</v>
      </c>
      <c r="AB209" t="s">
        <v>43</v>
      </c>
      <c r="AC209" t="s">
        <v>43</v>
      </c>
      <c r="AD209" t="s">
        <v>43</v>
      </c>
      <c r="AE209" t="s">
        <v>43</v>
      </c>
      <c r="AG209" t="s">
        <v>43</v>
      </c>
      <c r="AH209" t="s">
        <v>43</v>
      </c>
      <c r="AI209" t="s">
        <v>43</v>
      </c>
      <c r="AJ209" t="s">
        <v>43</v>
      </c>
      <c r="AL209" t="s">
        <v>184</v>
      </c>
      <c r="AT209" s="3">
        <v>4</v>
      </c>
      <c r="AU209" s="3">
        <v>4</v>
      </c>
      <c r="AV209">
        <v>1</v>
      </c>
      <c r="AX209" s="3">
        <f>(AU209+AT209)*LN((AU209+2))</f>
        <v>14.33407575382444</v>
      </c>
      <c r="AZ209">
        <f t="shared" si="60"/>
        <v>8.7888983093448783</v>
      </c>
    </row>
    <row r="210" spans="2:52" ht="15" x14ac:dyDescent="0.25">
      <c r="B210" s="33" t="s">
        <v>46</v>
      </c>
      <c r="C210" s="33"/>
      <c r="D210" t="s">
        <v>43</v>
      </c>
      <c r="E210">
        <v>20.2</v>
      </c>
      <c r="F210" t="s">
        <v>393</v>
      </c>
      <c r="G210" s="3" t="s">
        <v>43</v>
      </c>
      <c r="H210" t="s">
        <v>43</v>
      </c>
      <c r="I210" s="3">
        <v>9.6999999999999993</v>
      </c>
      <c r="J210" s="12">
        <f t="shared" si="62"/>
        <v>0.99463917525773216</v>
      </c>
      <c r="L210">
        <v>208</v>
      </c>
      <c r="M210">
        <v>402</v>
      </c>
      <c r="N210" t="s">
        <v>43</v>
      </c>
      <c r="O210">
        <v>68</v>
      </c>
      <c r="P210" t="s">
        <v>43</v>
      </c>
      <c r="Q210" t="s">
        <v>43</v>
      </c>
      <c r="R210" t="s">
        <v>43</v>
      </c>
      <c r="S210" s="7">
        <v>64</v>
      </c>
      <c r="T210" t="s">
        <v>43</v>
      </c>
      <c r="U210" t="s">
        <v>43</v>
      </c>
      <c r="Y210" t="s">
        <v>43</v>
      </c>
      <c r="Z210" t="s">
        <v>43</v>
      </c>
      <c r="AA210" t="s">
        <v>43</v>
      </c>
      <c r="AB210" t="s">
        <v>43</v>
      </c>
      <c r="AC210" t="s">
        <v>43</v>
      </c>
      <c r="AD210" t="s">
        <v>43</v>
      </c>
      <c r="AE210" t="s">
        <v>43</v>
      </c>
      <c r="AG210" t="s">
        <v>43</v>
      </c>
      <c r="AH210" t="s">
        <v>43</v>
      </c>
      <c r="AI210" t="s">
        <v>43</v>
      </c>
      <c r="AJ210" t="s">
        <v>43</v>
      </c>
      <c r="AL210" t="s">
        <v>191</v>
      </c>
      <c r="AT210" s="3">
        <v>4</v>
      </c>
      <c r="AU210" s="3">
        <v>4</v>
      </c>
      <c r="AV210">
        <v>1</v>
      </c>
      <c r="AX210" s="3">
        <f>(AU210+AT210)*LN((AU210+2))</f>
        <v>14.33407575382444</v>
      </c>
      <c r="AZ210">
        <f t="shared" si="60"/>
        <v>8.7888983093448783</v>
      </c>
    </row>
    <row r="211" spans="2:52" ht="15" x14ac:dyDescent="0.25">
      <c r="B211" s="33" t="s">
        <v>46</v>
      </c>
      <c r="C211" s="33"/>
      <c r="D211" t="s">
        <v>43</v>
      </c>
      <c r="E211" s="20">
        <f>1.6*PI()*0.05^2</f>
        <v>1.2566370614359175E-2</v>
      </c>
      <c r="F211">
        <v>27.3</v>
      </c>
      <c r="G211" s="3" t="s">
        <v>43</v>
      </c>
      <c r="H211" s="13">
        <f>(E211/I211)/(PI()*0.05^2)</f>
        <v>0.16</v>
      </c>
      <c r="I211" s="3">
        <v>10</v>
      </c>
      <c r="J211">
        <v>0.47</v>
      </c>
      <c r="L211">
        <v>69</v>
      </c>
      <c r="M211">
        <v>199</v>
      </c>
      <c r="N211">
        <v>24</v>
      </c>
      <c r="O211" s="9">
        <f>((L211-N211)/L211)*100</f>
        <v>65.217391304347828</v>
      </c>
      <c r="P211" t="s">
        <v>43</v>
      </c>
      <c r="Q211" t="s">
        <v>43</v>
      </c>
      <c r="R211">
        <v>63</v>
      </c>
      <c r="S211" s="9">
        <f t="shared" ref="S211:S217" si="65">((M211-R211)/M211)*100</f>
        <v>68.341708542713562</v>
      </c>
      <c r="T211" t="s">
        <v>43</v>
      </c>
      <c r="U211" t="s">
        <v>43</v>
      </c>
      <c r="Y211" t="s">
        <v>43</v>
      </c>
      <c r="Z211" t="s">
        <v>43</v>
      </c>
      <c r="AA211" t="s">
        <v>43</v>
      </c>
      <c r="AB211" t="s">
        <v>43</v>
      </c>
      <c r="AC211" t="s">
        <v>43</v>
      </c>
      <c r="AD211" t="s">
        <v>43</v>
      </c>
      <c r="AE211" t="s">
        <v>43</v>
      </c>
      <c r="AG211" t="s">
        <v>43</v>
      </c>
      <c r="AH211" t="s">
        <v>43</v>
      </c>
      <c r="AI211" t="s">
        <v>43</v>
      </c>
      <c r="AJ211" t="s">
        <v>43</v>
      </c>
      <c r="AL211" s="33" t="s">
        <v>394</v>
      </c>
      <c r="AT211" t="s">
        <v>43</v>
      </c>
      <c r="AU211" t="s">
        <v>43</v>
      </c>
      <c r="AV211">
        <v>1</v>
      </c>
      <c r="AX211" t="s">
        <v>43</v>
      </c>
      <c r="AZ211" t="s">
        <v>43</v>
      </c>
    </row>
    <row r="212" spans="2:52" ht="15" x14ac:dyDescent="0.25">
      <c r="B212" s="33" t="s">
        <v>46</v>
      </c>
      <c r="C212" s="33"/>
      <c r="D212" t="s">
        <v>43</v>
      </c>
      <c r="E212" s="20">
        <f t="shared" ref="E212:E216" si="66">1.6*PI()*0.05^2</f>
        <v>1.2566370614359175E-2</v>
      </c>
      <c r="F212">
        <v>25.5</v>
      </c>
      <c r="G212" s="3" t="s">
        <v>43</v>
      </c>
      <c r="H212" s="13">
        <f t="shared" ref="H212:H216" si="67">(E212/I212)/(PI()*0.05^2)</f>
        <v>0.11678832116788324</v>
      </c>
      <c r="I212" s="3">
        <v>13.7</v>
      </c>
      <c r="J212">
        <v>0.26</v>
      </c>
      <c r="L212">
        <v>58</v>
      </c>
      <c r="M212">
        <v>151</v>
      </c>
      <c r="N212">
        <v>6.4</v>
      </c>
      <c r="O212" s="9">
        <f t="shared" ref="O212:O217" si="68">((L212-N212)/L212)*100</f>
        <v>88.965517241379317</v>
      </c>
      <c r="P212" t="s">
        <v>43</v>
      </c>
      <c r="Q212" t="s">
        <v>43</v>
      </c>
      <c r="R212">
        <v>68.5</v>
      </c>
      <c r="S212" s="9">
        <f t="shared" si="65"/>
        <v>54.635761589403977</v>
      </c>
      <c r="T212" t="s">
        <v>43</v>
      </c>
      <c r="U212" t="s">
        <v>43</v>
      </c>
      <c r="Y212" t="s">
        <v>43</v>
      </c>
      <c r="Z212" t="s">
        <v>43</v>
      </c>
      <c r="AA212" t="s">
        <v>43</v>
      </c>
      <c r="AB212" t="s">
        <v>43</v>
      </c>
      <c r="AC212" t="s">
        <v>43</v>
      </c>
      <c r="AD212" t="s">
        <v>43</v>
      </c>
      <c r="AE212" t="s">
        <v>43</v>
      </c>
      <c r="AG212" t="s">
        <v>43</v>
      </c>
      <c r="AH212" t="s">
        <v>43</v>
      </c>
      <c r="AI212" t="s">
        <v>43</v>
      </c>
      <c r="AJ212" t="s">
        <v>43</v>
      </c>
      <c r="AL212" s="33"/>
      <c r="AT212" t="s">
        <v>43</v>
      </c>
      <c r="AU212" t="s">
        <v>43</v>
      </c>
      <c r="AV212">
        <v>1</v>
      </c>
      <c r="AX212" t="s">
        <v>43</v>
      </c>
      <c r="AZ212" t="s">
        <v>43</v>
      </c>
    </row>
    <row r="213" spans="2:52" ht="15" x14ac:dyDescent="0.25">
      <c r="B213" s="33" t="s">
        <v>46</v>
      </c>
      <c r="C213" s="33"/>
      <c r="D213" t="s">
        <v>43</v>
      </c>
      <c r="E213" s="20">
        <f t="shared" si="66"/>
        <v>1.2566370614359175E-2</v>
      </c>
      <c r="F213">
        <v>27.9</v>
      </c>
      <c r="G213" s="3" t="s">
        <v>43</v>
      </c>
      <c r="H213" s="13">
        <f t="shared" si="67"/>
        <v>9.5808383233532954E-2</v>
      </c>
      <c r="I213" s="3">
        <v>16.7</v>
      </c>
      <c r="J213">
        <v>0.23</v>
      </c>
      <c r="L213">
        <v>71</v>
      </c>
      <c r="M213">
        <v>162</v>
      </c>
      <c r="N213">
        <v>10.3</v>
      </c>
      <c r="O213" s="9">
        <f t="shared" si="68"/>
        <v>85.492957746478879</v>
      </c>
      <c r="P213" t="s">
        <v>43</v>
      </c>
      <c r="Q213" t="s">
        <v>43</v>
      </c>
      <c r="R213">
        <v>74</v>
      </c>
      <c r="S213" s="9">
        <f t="shared" si="65"/>
        <v>54.320987654320987</v>
      </c>
      <c r="T213" t="s">
        <v>43</v>
      </c>
      <c r="U213" t="s">
        <v>43</v>
      </c>
      <c r="Y213" t="s">
        <v>43</v>
      </c>
      <c r="Z213" t="s">
        <v>43</v>
      </c>
      <c r="AA213" t="s">
        <v>43</v>
      </c>
      <c r="AB213" t="s">
        <v>43</v>
      </c>
      <c r="AC213" t="s">
        <v>43</v>
      </c>
      <c r="AD213" t="s">
        <v>43</v>
      </c>
      <c r="AE213" t="s">
        <v>43</v>
      </c>
      <c r="AG213" t="s">
        <v>43</v>
      </c>
      <c r="AH213" t="s">
        <v>43</v>
      </c>
      <c r="AI213" t="s">
        <v>43</v>
      </c>
      <c r="AJ213" t="s">
        <v>43</v>
      </c>
      <c r="AL213" s="33"/>
      <c r="AT213" t="s">
        <v>43</v>
      </c>
      <c r="AU213" t="s">
        <v>43</v>
      </c>
      <c r="AV213">
        <v>1</v>
      </c>
      <c r="AX213" t="s">
        <v>43</v>
      </c>
      <c r="AZ213" t="s">
        <v>43</v>
      </c>
    </row>
    <row r="214" spans="2:52" ht="15" x14ac:dyDescent="0.25">
      <c r="B214" s="33" t="s">
        <v>46</v>
      </c>
      <c r="C214" s="33"/>
      <c r="D214" t="s">
        <v>43</v>
      </c>
      <c r="E214" s="20">
        <f t="shared" si="66"/>
        <v>1.2566370614359175E-2</v>
      </c>
      <c r="F214">
        <v>28.1</v>
      </c>
      <c r="G214" s="3" t="s">
        <v>43</v>
      </c>
      <c r="H214" s="13">
        <f t="shared" si="67"/>
        <v>6.4000000000000001E-2</v>
      </c>
      <c r="I214" s="3">
        <v>25</v>
      </c>
      <c r="J214">
        <v>0.18</v>
      </c>
      <c r="L214">
        <v>62</v>
      </c>
      <c r="M214">
        <v>188</v>
      </c>
      <c r="N214">
        <v>13.1</v>
      </c>
      <c r="O214" s="9">
        <f t="shared" si="68"/>
        <v>78.870967741935488</v>
      </c>
      <c r="P214" t="s">
        <v>43</v>
      </c>
      <c r="Q214" t="s">
        <v>43</v>
      </c>
      <c r="R214">
        <v>76</v>
      </c>
      <c r="S214" s="9">
        <f t="shared" si="65"/>
        <v>59.574468085106382</v>
      </c>
      <c r="T214" t="s">
        <v>43</v>
      </c>
      <c r="U214" t="s">
        <v>43</v>
      </c>
      <c r="Y214" t="s">
        <v>43</v>
      </c>
      <c r="Z214" t="s">
        <v>43</v>
      </c>
      <c r="AA214" t="s">
        <v>43</v>
      </c>
      <c r="AB214" t="s">
        <v>43</v>
      </c>
      <c r="AC214" t="s">
        <v>43</v>
      </c>
      <c r="AD214" t="s">
        <v>43</v>
      </c>
      <c r="AE214" t="s">
        <v>43</v>
      </c>
      <c r="AG214" t="s">
        <v>43</v>
      </c>
      <c r="AH214" t="s">
        <v>43</v>
      </c>
      <c r="AI214" t="s">
        <v>43</v>
      </c>
      <c r="AJ214" t="s">
        <v>43</v>
      </c>
      <c r="AL214" s="33"/>
      <c r="AT214" t="s">
        <v>43</v>
      </c>
      <c r="AU214" t="s">
        <v>43</v>
      </c>
      <c r="AV214">
        <v>1</v>
      </c>
      <c r="AX214" t="s">
        <v>43</v>
      </c>
      <c r="AZ214" t="s">
        <v>43</v>
      </c>
    </row>
    <row r="215" spans="2:52" ht="15" x14ac:dyDescent="0.25">
      <c r="B215" s="33" t="s">
        <v>46</v>
      </c>
      <c r="C215" s="33"/>
      <c r="D215" t="s">
        <v>43</v>
      </c>
      <c r="E215" s="20">
        <f t="shared" si="66"/>
        <v>1.2566370614359175E-2</v>
      </c>
      <c r="F215">
        <v>31.5</v>
      </c>
      <c r="G215" s="3" t="s">
        <v>43</v>
      </c>
      <c r="H215" s="13">
        <f t="shared" si="67"/>
        <v>4.7761194029850747E-2</v>
      </c>
      <c r="I215" s="3">
        <v>33.5</v>
      </c>
      <c r="J215">
        <v>0.13</v>
      </c>
      <c r="L215">
        <v>68</v>
      </c>
      <c r="M215">
        <v>179</v>
      </c>
      <c r="N215">
        <v>13.9</v>
      </c>
      <c r="O215" s="9">
        <f t="shared" si="68"/>
        <v>79.558823529411768</v>
      </c>
      <c r="P215" t="s">
        <v>43</v>
      </c>
      <c r="Q215" t="s">
        <v>43</v>
      </c>
      <c r="R215">
        <v>81</v>
      </c>
      <c r="S215" s="9">
        <f t="shared" si="65"/>
        <v>54.748603351955303</v>
      </c>
      <c r="T215" t="s">
        <v>43</v>
      </c>
      <c r="U215" t="s">
        <v>43</v>
      </c>
      <c r="Y215" t="s">
        <v>43</v>
      </c>
      <c r="Z215" t="s">
        <v>43</v>
      </c>
      <c r="AA215" t="s">
        <v>43</v>
      </c>
      <c r="AB215" t="s">
        <v>43</v>
      </c>
      <c r="AC215" t="s">
        <v>43</v>
      </c>
      <c r="AD215" t="s">
        <v>43</v>
      </c>
      <c r="AE215" t="s">
        <v>43</v>
      </c>
      <c r="AG215" t="s">
        <v>43</v>
      </c>
      <c r="AH215" t="s">
        <v>43</v>
      </c>
      <c r="AI215" t="s">
        <v>43</v>
      </c>
      <c r="AJ215" t="s">
        <v>43</v>
      </c>
      <c r="AL215" s="33"/>
      <c r="AT215" t="s">
        <v>43</v>
      </c>
      <c r="AU215" t="s">
        <v>43</v>
      </c>
      <c r="AV215">
        <v>1</v>
      </c>
      <c r="AX215" t="s">
        <v>43</v>
      </c>
      <c r="AZ215" t="s">
        <v>43</v>
      </c>
    </row>
    <row r="216" spans="2:52" ht="15" x14ac:dyDescent="0.25">
      <c r="B216" s="33" t="s">
        <v>46</v>
      </c>
      <c r="C216" s="33"/>
      <c r="D216" t="s">
        <v>43</v>
      </c>
      <c r="E216" s="20">
        <f t="shared" si="66"/>
        <v>1.2566370614359175E-2</v>
      </c>
      <c r="F216">
        <v>34</v>
      </c>
      <c r="G216" s="3" t="s">
        <v>43</v>
      </c>
      <c r="H216" s="13">
        <f t="shared" si="67"/>
        <v>4.2440318302387273E-2</v>
      </c>
      <c r="I216" s="3">
        <v>37.700000000000003</v>
      </c>
      <c r="J216">
        <v>0.11</v>
      </c>
      <c r="L216">
        <v>71</v>
      </c>
      <c r="M216">
        <v>182</v>
      </c>
      <c r="N216">
        <v>14.6</v>
      </c>
      <c r="O216" s="9">
        <f t="shared" si="68"/>
        <v>79.436619718309856</v>
      </c>
      <c r="P216" t="s">
        <v>43</v>
      </c>
      <c r="Q216" t="s">
        <v>43</v>
      </c>
      <c r="R216">
        <v>83</v>
      </c>
      <c r="S216" s="9">
        <f t="shared" si="65"/>
        <v>54.395604395604394</v>
      </c>
      <c r="T216" t="s">
        <v>43</v>
      </c>
      <c r="U216" t="s">
        <v>43</v>
      </c>
      <c r="Y216" t="s">
        <v>43</v>
      </c>
      <c r="Z216" t="s">
        <v>43</v>
      </c>
      <c r="AA216" t="s">
        <v>43</v>
      </c>
      <c r="AB216" t="s">
        <v>43</v>
      </c>
      <c r="AC216" t="s">
        <v>43</v>
      </c>
      <c r="AD216" t="s">
        <v>43</v>
      </c>
      <c r="AE216" t="s">
        <v>43</v>
      </c>
      <c r="AG216" t="s">
        <v>43</v>
      </c>
      <c r="AH216" t="s">
        <v>43</v>
      </c>
      <c r="AI216" t="s">
        <v>43</v>
      </c>
      <c r="AJ216" t="s">
        <v>43</v>
      </c>
      <c r="AL216" s="33"/>
      <c r="AT216" t="s">
        <v>43</v>
      </c>
      <c r="AU216" t="s">
        <v>43</v>
      </c>
      <c r="AV216">
        <v>1</v>
      </c>
      <c r="AX216" t="s">
        <v>43</v>
      </c>
      <c r="AZ216" t="s">
        <v>43</v>
      </c>
    </row>
    <row r="217" spans="2:52" ht="15" x14ac:dyDescent="0.25">
      <c r="B217" s="33" t="s">
        <v>46</v>
      </c>
      <c r="C217" s="33"/>
      <c r="D217" t="s">
        <v>382</v>
      </c>
      <c r="E217">
        <v>125</v>
      </c>
      <c r="F217">
        <v>24.3</v>
      </c>
      <c r="G217" s="3" t="s">
        <v>43</v>
      </c>
      <c r="H217">
        <v>0.37</v>
      </c>
      <c r="I217" s="3">
        <v>13.6</v>
      </c>
      <c r="J217">
        <v>1.54</v>
      </c>
      <c r="L217">
        <v>403</v>
      </c>
      <c r="M217">
        <v>875</v>
      </c>
      <c r="N217">
        <v>141</v>
      </c>
      <c r="O217" s="9">
        <f t="shared" si="68"/>
        <v>65.012406947890824</v>
      </c>
      <c r="P217" t="s">
        <v>43</v>
      </c>
      <c r="Q217" t="s">
        <v>43</v>
      </c>
      <c r="R217">
        <v>253</v>
      </c>
      <c r="S217" s="9">
        <f t="shared" si="65"/>
        <v>71.085714285714289</v>
      </c>
      <c r="T217" t="s">
        <v>43</v>
      </c>
      <c r="U217" t="s">
        <v>43</v>
      </c>
      <c r="Y217" t="s">
        <v>43</v>
      </c>
      <c r="Z217" t="s">
        <v>43</v>
      </c>
      <c r="AA217" t="s">
        <v>43</v>
      </c>
      <c r="AB217" t="s">
        <v>43</v>
      </c>
      <c r="AC217" t="s">
        <v>43</v>
      </c>
      <c r="AD217" t="s">
        <v>43</v>
      </c>
      <c r="AE217" t="s">
        <v>43</v>
      </c>
      <c r="AG217" t="s">
        <v>43</v>
      </c>
      <c r="AH217" t="s">
        <v>43</v>
      </c>
      <c r="AI217" t="s">
        <v>43</v>
      </c>
      <c r="AJ217" t="s">
        <v>43</v>
      </c>
      <c r="AL217" t="s">
        <v>197</v>
      </c>
      <c r="AT217">
        <v>4</v>
      </c>
      <c r="AU217">
        <v>4</v>
      </c>
      <c r="AV217">
        <v>1</v>
      </c>
      <c r="AX217" s="3">
        <f>(AU217+AT217)*LN((AU217+2))</f>
        <v>14.33407575382444</v>
      </c>
      <c r="AZ217">
        <f t="shared" si="60"/>
        <v>8.7888983093448783</v>
      </c>
    </row>
    <row r="218" spans="2:52" ht="15" x14ac:dyDescent="0.25">
      <c r="B218" s="33" t="s">
        <v>46</v>
      </c>
      <c r="C218" s="33"/>
      <c r="D218" t="s">
        <v>43</v>
      </c>
      <c r="E218" s="20">
        <f>62/1000</f>
        <v>6.2E-2</v>
      </c>
      <c r="F218" t="s">
        <v>396</v>
      </c>
      <c r="G218" s="3" t="s">
        <v>43</v>
      </c>
      <c r="H218" s="13">
        <f>(E218/I218)/(0.16^2)</f>
        <v>0.302734375</v>
      </c>
      <c r="I218" s="3">
        <v>8</v>
      </c>
      <c r="J218">
        <v>0.63</v>
      </c>
      <c r="L218" t="s">
        <v>43</v>
      </c>
      <c r="M218">
        <v>207</v>
      </c>
      <c r="N218" t="s">
        <v>43</v>
      </c>
      <c r="O218" t="s">
        <v>43</v>
      </c>
      <c r="P218" t="s">
        <v>43</v>
      </c>
      <c r="Q218" t="s">
        <v>43</v>
      </c>
      <c r="R218">
        <v>73</v>
      </c>
      <c r="S218" s="9">
        <v>61</v>
      </c>
      <c r="T218" t="s">
        <v>43</v>
      </c>
      <c r="U218" t="s">
        <v>43</v>
      </c>
      <c r="Y218" t="s">
        <v>43</v>
      </c>
      <c r="Z218" t="s">
        <v>43</v>
      </c>
      <c r="AA218" t="s">
        <v>43</v>
      </c>
      <c r="AB218" t="s">
        <v>43</v>
      </c>
      <c r="AC218" t="s">
        <v>43</v>
      </c>
      <c r="AD218" t="s">
        <v>43</v>
      </c>
      <c r="AE218" t="s">
        <v>43</v>
      </c>
      <c r="AG218" t="s">
        <v>43</v>
      </c>
      <c r="AH218" t="s">
        <v>43</v>
      </c>
      <c r="AI218" t="s">
        <v>43</v>
      </c>
      <c r="AJ218" t="s">
        <v>43</v>
      </c>
      <c r="AL218" s="33" t="s">
        <v>198</v>
      </c>
      <c r="AT218">
        <v>4</v>
      </c>
      <c r="AU218">
        <v>4</v>
      </c>
      <c r="AV218">
        <v>1</v>
      </c>
      <c r="AX218" s="3">
        <f t="shared" ref="AX218:AX226" si="69">(AU218+AT218)*LN((AU218+2))</f>
        <v>14.33407575382444</v>
      </c>
      <c r="AZ218">
        <f t="shared" si="60"/>
        <v>8.7888983093448783</v>
      </c>
    </row>
    <row r="219" spans="2:52" ht="15" x14ac:dyDescent="0.25">
      <c r="B219" s="33" t="s">
        <v>46</v>
      </c>
      <c r="C219" s="33"/>
      <c r="D219" t="s">
        <v>43</v>
      </c>
      <c r="E219" s="20">
        <f t="shared" ref="E219:E225" si="70">62/1000</f>
        <v>6.2E-2</v>
      </c>
      <c r="F219" t="s">
        <v>396</v>
      </c>
      <c r="G219" s="3" t="s">
        <v>43</v>
      </c>
      <c r="H219" s="13">
        <f t="shared" ref="H219:H226" si="71">(E219/I219)/(0.16^2)</f>
        <v>0.40364583333333331</v>
      </c>
      <c r="I219" s="3">
        <v>6</v>
      </c>
      <c r="J219">
        <v>0.53</v>
      </c>
      <c r="L219" t="s">
        <v>43</v>
      </c>
      <c r="M219">
        <v>132</v>
      </c>
      <c r="N219" t="s">
        <v>43</v>
      </c>
      <c r="O219" t="s">
        <v>43</v>
      </c>
      <c r="P219" t="s">
        <v>43</v>
      </c>
      <c r="Q219" t="s">
        <v>43</v>
      </c>
      <c r="R219">
        <v>70</v>
      </c>
      <c r="S219" s="9">
        <v>47</v>
      </c>
      <c r="T219" t="s">
        <v>43</v>
      </c>
      <c r="U219" t="s">
        <v>43</v>
      </c>
      <c r="Y219" t="s">
        <v>43</v>
      </c>
      <c r="Z219" t="s">
        <v>43</v>
      </c>
      <c r="AA219" t="s">
        <v>43</v>
      </c>
      <c r="AB219" t="s">
        <v>43</v>
      </c>
      <c r="AC219" t="s">
        <v>43</v>
      </c>
      <c r="AD219" t="s">
        <v>43</v>
      </c>
      <c r="AE219" t="s">
        <v>43</v>
      </c>
      <c r="AG219" t="s">
        <v>43</v>
      </c>
      <c r="AH219" t="s">
        <v>43</v>
      </c>
      <c r="AI219" t="s">
        <v>43</v>
      </c>
      <c r="AJ219" t="s">
        <v>43</v>
      </c>
      <c r="AL219" s="33"/>
      <c r="AT219">
        <v>4</v>
      </c>
      <c r="AU219">
        <v>4</v>
      </c>
      <c r="AV219">
        <v>1</v>
      </c>
      <c r="AX219" s="3">
        <f t="shared" si="69"/>
        <v>14.33407575382444</v>
      </c>
      <c r="AZ219">
        <f t="shared" si="60"/>
        <v>8.7888983093448783</v>
      </c>
    </row>
    <row r="220" spans="2:52" ht="15" x14ac:dyDescent="0.25">
      <c r="B220" s="33" t="s">
        <v>46</v>
      </c>
      <c r="C220" s="33"/>
      <c r="D220" t="s">
        <v>43</v>
      </c>
      <c r="E220" s="20">
        <f t="shared" si="70"/>
        <v>6.2E-2</v>
      </c>
      <c r="F220" t="s">
        <v>396</v>
      </c>
      <c r="G220" s="3" t="s">
        <v>43</v>
      </c>
      <c r="H220" s="13">
        <f t="shared" si="71"/>
        <v>0.60546875</v>
      </c>
      <c r="I220" s="3">
        <v>4</v>
      </c>
      <c r="J220">
        <v>1</v>
      </c>
      <c r="L220" t="s">
        <v>43</v>
      </c>
      <c r="M220">
        <v>164</v>
      </c>
      <c r="N220" t="s">
        <v>43</v>
      </c>
      <c r="O220" t="s">
        <v>43</v>
      </c>
      <c r="P220" t="s">
        <v>43</v>
      </c>
      <c r="Q220" t="s">
        <v>43</v>
      </c>
      <c r="R220">
        <v>71</v>
      </c>
      <c r="S220">
        <v>53</v>
      </c>
      <c r="T220" t="s">
        <v>43</v>
      </c>
      <c r="U220" t="s">
        <v>43</v>
      </c>
      <c r="Y220" t="s">
        <v>43</v>
      </c>
      <c r="Z220" t="s">
        <v>43</v>
      </c>
      <c r="AA220" t="s">
        <v>43</v>
      </c>
      <c r="AB220" t="s">
        <v>43</v>
      </c>
      <c r="AC220" t="s">
        <v>43</v>
      </c>
      <c r="AD220" t="s">
        <v>43</v>
      </c>
      <c r="AE220" t="s">
        <v>43</v>
      </c>
      <c r="AG220" t="s">
        <v>43</v>
      </c>
      <c r="AH220" t="s">
        <v>43</v>
      </c>
      <c r="AI220" t="s">
        <v>43</v>
      </c>
      <c r="AJ220" t="s">
        <v>43</v>
      </c>
      <c r="AL220" s="33"/>
      <c r="AT220">
        <v>4</v>
      </c>
      <c r="AU220">
        <v>4</v>
      </c>
      <c r="AV220">
        <v>1</v>
      </c>
      <c r="AX220" s="3">
        <f t="shared" si="69"/>
        <v>14.33407575382444</v>
      </c>
      <c r="AZ220">
        <f t="shared" si="60"/>
        <v>8.7888983093448783</v>
      </c>
    </row>
    <row r="221" spans="2:52" ht="15" x14ac:dyDescent="0.25">
      <c r="B221" s="33" t="s">
        <v>395</v>
      </c>
      <c r="C221" s="33"/>
      <c r="D221" t="s">
        <v>43</v>
      </c>
      <c r="E221" s="20">
        <f t="shared" si="70"/>
        <v>6.2E-2</v>
      </c>
      <c r="F221" t="s">
        <v>396</v>
      </c>
      <c r="G221" s="3" t="s">
        <v>43</v>
      </c>
      <c r="H221" s="13">
        <f t="shared" si="71"/>
        <v>0.302734375</v>
      </c>
      <c r="I221" s="3">
        <v>8</v>
      </c>
      <c r="J221">
        <v>0.63</v>
      </c>
      <c r="L221" t="s">
        <v>43</v>
      </c>
      <c r="M221">
        <v>207</v>
      </c>
      <c r="N221" t="s">
        <v>43</v>
      </c>
      <c r="O221" t="s">
        <v>43</v>
      </c>
      <c r="P221" t="s">
        <v>43</v>
      </c>
      <c r="Q221" t="s">
        <v>43</v>
      </c>
      <c r="R221">
        <v>63</v>
      </c>
      <c r="S221" s="9">
        <v>65</v>
      </c>
      <c r="T221" t="s">
        <v>43</v>
      </c>
      <c r="U221" t="s">
        <v>43</v>
      </c>
      <c r="Y221" t="s">
        <v>43</v>
      </c>
      <c r="Z221" t="s">
        <v>43</v>
      </c>
      <c r="AA221" t="s">
        <v>43</v>
      </c>
      <c r="AB221" t="s">
        <v>43</v>
      </c>
      <c r="AC221" t="s">
        <v>43</v>
      </c>
      <c r="AD221" t="s">
        <v>43</v>
      </c>
      <c r="AE221" t="s">
        <v>43</v>
      </c>
      <c r="AG221" t="s">
        <v>43</v>
      </c>
      <c r="AH221" t="s">
        <v>43</v>
      </c>
      <c r="AI221" t="s">
        <v>43</v>
      </c>
      <c r="AJ221" t="s">
        <v>43</v>
      </c>
      <c r="AL221" s="33"/>
      <c r="AT221">
        <v>5</v>
      </c>
      <c r="AU221">
        <v>4</v>
      </c>
      <c r="AV221">
        <v>1</v>
      </c>
      <c r="AX221" s="3">
        <f t="shared" si="69"/>
        <v>16.125835223052494</v>
      </c>
      <c r="AZ221">
        <f t="shared" si="60"/>
        <v>9.8875105980129874</v>
      </c>
    </row>
    <row r="222" spans="2:52" ht="15" x14ac:dyDescent="0.25">
      <c r="B222" s="33" t="s">
        <v>395</v>
      </c>
      <c r="C222" s="33"/>
      <c r="D222" t="s">
        <v>43</v>
      </c>
      <c r="E222" s="20">
        <f t="shared" si="70"/>
        <v>6.2E-2</v>
      </c>
      <c r="F222" t="s">
        <v>396</v>
      </c>
      <c r="G222" s="3" t="s">
        <v>43</v>
      </c>
      <c r="H222" s="13">
        <f t="shared" si="71"/>
        <v>0.40364583333333331</v>
      </c>
      <c r="I222" s="3">
        <v>6</v>
      </c>
      <c r="J222">
        <v>0.53</v>
      </c>
      <c r="L222" t="s">
        <v>43</v>
      </c>
      <c r="M222">
        <v>132</v>
      </c>
      <c r="N222" t="s">
        <v>43</v>
      </c>
      <c r="O222" t="s">
        <v>43</v>
      </c>
      <c r="P222" t="s">
        <v>43</v>
      </c>
      <c r="Q222" t="s">
        <v>43</v>
      </c>
      <c r="R222">
        <v>66</v>
      </c>
      <c r="S222" s="9">
        <v>47</v>
      </c>
      <c r="T222" t="s">
        <v>43</v>
      </c>
      <c r="U222" t="s">
        <v>43</v>
      </c>
      <c r="Y222" t="s">
        <v>43</v>
      </c>
      <c r="Z222" t="s">
        <v>43</v>
      </c>
      <c r="AA222" t="s">
        <v>43</v>
      </c>
      <c r="AB222" t="s">
        <v>43</v>
      </c>
      <c r="AC222" t="s">
        <v>43</v>
      </c>
      <c r="AD222" t="s">
        <v>43</v>
      </c>
      <c r="AE222" t="s">
        <v>43</v>
      </c>
      <c r="AG222" t="s">
        <v>43</v>
      </c>
      <c r="AH222" t="s">
        <v>43</v>
      </c>
      <c r="AI222" t="s">
        <v>43</v>
      </c>
      <c r="AJ222" t="s">
        <v>43</v>
      </c>
      <c r="AL222" s="33"/>
      <c r="AT222">
        <v>5</v>
      </c>
      <c r="AU222">
        <v>4</v>
      </c>
      <c r="AV222">
        <v>1</v>
      </c>
      <c r="AX222" s="3">
        <f t="shared" si="69"/>
        <v>16.125835223052494</v>
      </c>
      <c r="AZ222">
        <f t="shared" si="60"/>
        <v>9.8875105980129874</v>
      </c>
    </row>
    <row r="223" spans="2:52" ht="15" x14ac:dyDescent="0.25">
      <c r="B223" s="33" t="s">
        <v>395</v>
      </c>
      <c r="C223" s="33"/>
      <c r="D223" t="s">
        <v>43</v>
      </c>
      <c r="E223" s="20">
        <f t="shared" si="70"/>
        <v>6.2E-2</v>
      </c>
      <c r="F223" t="s">
        <v>396</v>
      </c>
      <c r="G223" s="3" t="s">
        <v>43</v>
      </c>
      <c r="H223" s="13">
        <f t="shared" si="71"/>
        <v>0.60546875</v>
      </c>
      <c r="I223" s="3">
        <v>4</v>
      </c>
      <c r="J223">
        <v>1</v>
      </c>
      <c r="L223" t="s">
        <v>43</v>
      </c>
      <c r="M223">
        <v>164</v>
      </c>
      <c r="N223" t="s">
        <v>43</v>
      </c>
      <c r="O223" t="s">
        <v>43</v>
      </c>
      <c r="P223" t="s">
        <v>43</v>
      </c>
      <c r="Q223" t="s">
        <v>43</v>
      </c>
      <c r="R223">
        <v>62</v>
      </c>
      <c r="S223" s="9">
        <v>61</v>
      </c>
      <c r="T223" t="s">
        <v>43</v>
      </c>
      <c r="U223" t="s">
        <v>43</v>
      </c>
      <c r="Y223" t="s">
        <v>43</v>
      </c>
      <c r="Z223" t="s">
        <v>43</v>
      </c>
      <c r="AA223" t="s">
        <v>43</v>
      </c>
      <c r="AB223" t="s">
        <v>43</v>
      </c>
      <c r="AC223" t="s">
        <v>43</v>
      </c>
      <c r="AD223" t="s">
        <v>43</v>
      </c>
      <c r="AE223" t="s">
        <v>43</v>
      </c>
      <c r="AG223" t="s">
        <v>43</v>
      </c>
      <c r="AH223" t="s">
        <v>43</v>
      </c>
      <c r="AI223" t="s">
        <v>43</v>
      </c>
      <c r="AJ223" t="s">
        <v>43</v>
      </c>
      <c r="AL223" s="33"/>
      <c r="AT223">
        <v>5</v>
      </c>
      <c r="AU223">
        <v>4</v>
      </c>
      <c r="AV223">
        <v>1</v>
      </c>
      <c r="AX223" s="3">
        <f t="shared" si="69"/>
        <v>16.125835223052494</v>
      </c>
      <c r="AZ223">
        <f t="shared" si="60"/>
        <v>9.8875105980129874</v>
      </c>
    </row>
    <row r="224" spans="2:52" ht="15" x14ac:dyDescent="0.25">
      <c r="B224" s="33" t="s">
        <v>300</v>
      </c>
      <c r="C224" s="33"/>
      <c r="D224" t="s">
        <v>43</v>
      </c>
      <c r="E224" s="20">
        <f t="shared" si="70"/>
        <v>6.2E-2</v>
      </c>
      <c r="F224" t="s">
        <v>396</v>
      </c>
      <c r="G224" s="3" t="s">
        <v>43</v>
      </c>
      <c r="H224" s="13">
        <f t="shared" si="71"/>
        <v>0.302734375</v>
      </c>
      <c r="I224" s="3">
        <v>8</v>
      </c>
      <c r="J224">
        <v>0.63</v>
      </c>
      <c r="L224" t="s">
        <v>43</v>
      </c>
      <c r="M224">
        <v>207</v>
      </c>
      <c r="N224" t="s">
        <v>43</v>
      </c>
      <c r="O224" t="s">
        <v>43</v>
      </c>
      <c r="P224" t="s">
        <v>43</v>
      </c>
      <c r="Q224" t="s">
        <v>43</v>
      </c>
      <c r="R224">
        <v>35</v>
      </c>
      <c r="S224" s="9">
        <v>81</v>
      </c>
      <c r="T224" t="s">
        <v>43</v>
      </c>
      <c r="U224" t="s">
        <v>43</v>
      </c>
      <c r="Y224" t="s">
        <v>43</v>
      </c>
      <c r="Z224" t="s">
        <v>43</v>
      </c>
      <c r="AA224" t="s">
        <v>43</v>
      </c>
      <c r="AB224" t="s">
        <v>43</v>
      </c>
      <c r="AC224" t="s">
        <v>43</v>
      </c>
      <c r="AD224" t="s">
        <v>43</v>
      </c>
      <c r="AE224" t="s">
        <v>43</v>
      </c>
      <c r="AG224" t="s">
        <v>43</v>
      </c>
      <c r="AH224" t="s">
        <v>43</v>
      </c>
      <c r="AI224" t="s">
        <v>43</v>
      </c>
      <c r="AJ224" t="s">
        <v>43</v>
      </c>
      <c r="AL224" s="33"/>
      <c r="AT224">
        <v>5</v>
      </c>
      <c r="AU224">
        <v>4</v>
      </c>
      <c r="AV224">
        <v>1</v>
      </c>
      <c r="AX224" s="3">
        <f t="shared" si="69"/>
        <v>16.125835223052494</v>
      </c>
      <c r="AZ224">
        <f t="shared" si="60"/>
        <v>9.8875105980129874</v>
      </c>
    </row>
    <row r="225" spans="1:52" ht="15" x14ac:dyDescent="0.25">
      <c r="B225" s="33" t="s">
        <v>300</v>
      </c>
      <c r="C225" s="33"/>
      <c r="D225" t="s">
        <v>43</v>
      </c>
      <c r="E225" s="20">
        <f t="shared" si="70"/>
        <v>6.2E-2</v>
      </c>
      <c r="F225" t="s">
        <v>396</v>
      </c>
      <c r="G225" s="3" t="s">
        <v>43</v>
      </c>
      <c r="H225" s="13">
        <f t="shared" si="71"/>
        <v>0.40364583333333331</v>
      </c>
      <c r="I225" s="3">
        <v>6</v>
      </c>
      <c r="J225">
        <v>0.53</v>
      </c>
      <c r="L225" t="s">
        <v>43</v>
      </c>
      <c r="M225">
        <v>132</v>
      </c>
      <c r="N225" t="s">
        <v>43</v>
      </c>
      <c r="O225" t="s">
        <v>43</v>
      </c>
      <c r="P225" t="s">
        <v>43</v>
      </c>
      <c r="Q225" t="s">
        <v>43</v>
      </c>
      <c r="R225">
        <v>41</v>
      </c>
      <c r="S225" s="9">
        <v>62</v>
      </c>
      <c r="T225" t="s">
        <v>43</v>
      </c>
      <c r="U225" t="s">
        <v>43</v>
      </c>
      <c r="Y225" t="s">
        <v>43</v>
      </c>
      <c r="Z225" t="s">
        <v>43</v>
      </c>
      <c r="AA225" t="s">
        <v>43</v>
      </c>
      <c r="AB225" t="s">
        <v>43</v>
      </c>
      <c r="AC225" t="s">
        <v>43</v>
      </c>
      <c r="AD225" t="s">
        <v>43</v>
      </c>
      <c r="AE225" t="s">
        <v>43</v>
      </c>
      <c r="AG225" t="s">
        <v>43</v>
      </c>
      <c r="AH225" t="s">
        <v>43</v>
      </c>
      <c r="AI225" t="s">
        <v>43</v>
      </c>
      <c r="AJ225" t="s">
        <v>43</v>
      </c>
      <c r="AL225" s="33"/>
      <c r="AT225">
        <v>5</v>
      </c>
      <c r="AU225">
        <v>4</v>
      </c>
      <c r="AV225">
        <v>1</v>
      </c>
      <c r="AX225" s="3">
        <f t="shared" si="69"/>
        <v>16.125835223052494</v>
      </c>
      <c r="AZ225">
        <f t="shared" si="60"/>
        <v>9.8875105980129874</v>
      </c>
    </row>
    <row r="226" spans="1:52" ht="15" x14ac:dyDescent="0.25">
      <c r="B226" s="33" t="s">
        <v>300</v>
      </c>
      <c r="C226" s="33"/>
      <c r="D226" t="s">
        <v>43</v>
      </c>
      <c r="E226" s="20">
        <f>62/1000</f>
        <v>6.2E-2</v>
      </c>
      <c r="F226" t="s">
        <v>396</v>
      </c>
      <c r="G226" s="3" t="s">
        <v>43</v>
      </c>
      <c r="H226" s="13">
        <f t="shared" si="71"/>
        <v>0.60546875</v>
      </c>
      <c r="I226" s="3">
        <v>4</v>
      </c>
      <c r="J226">
        <v>1</v>
      </c>
      <c r="L226" t="s">
        <v>43</v>
      </c>
      <c r="M226">
        <v>164</v>
      </c>
      <c r="N226" t="s">
        <v>43</v>
      </c>
      <c r="O226" t="s">
        <v>43</v>
      </c>
      <c r="P226" t="s">
        <v>43</v>
      </c>
      <c r="Q226" t="s">
        <v>43</v>
      </c>
      <c r="R226">
        <v>44</v>
      </c>
      <c r="S226" s="9">
        <v>73</v>
      </c>
      <c r="T226" t="s">
        <v>43</v>
      </c>
      <c r="U226" t="s">
        <v>43</v>
      </c>
      <c r="Y226" t="s">
        <v>43</v>
      </c>
      <c r="Z226" t="s">
        <v>43</v>
      </c>
      <c r="AA226" t="s">
        <v>43</v>
      </c>
      <c r="AB226" t="s">
        <v>43</v>
      </c>
      <c r="AC226" t="s">
        <v>43</v>
      </c>
      <c r="AD226" t="s">
        <v>43</v>
      </c>
      <c r="AE226" t="s">
        <v>43</v>
      </c>
      <c r="AG226" t="s">
        <v>43</v>
      </c>
      <c r="AH226" t="s">
        <v>43</v>
      </c>
      <c r="AI226" t="s">
        <v>43</v>
      </c>
      <c r="AJ226" t="s">
        <v>43</v>
      </c>
      <c r="AL226" s="33"/>
      <c r="AT226">
        <v>5</v>
      </c>
      <c r="AU226">
        <v>4</v>
      </c>
      <c r="AV226">
        <v>1</v>
      </c>
      <c r="AX226" s="3">
        <f t="shared" si="69"/>
        <v>16.125835223052494</v>
      </c>
      <c r="AZ226">
        <f t="shared" si="60"/>
        <v>9.8875105980129874</v>
      </c>
    </row>
    <row r="227" spans="1:52" ht="15" x14ac:dyDescent="0.25">
      <c r="B227" s="33" t="s">
        <v>46</v>
      </c>
      <c r="C227" s="33"/>
      <c r="D227" t="s">
        <v>43</v>
      </c>
      <c r="E227">
        <v>14.2</v>
      </c>
      <c r="F227" t="s">
        <v>397</v>
      </c>
      <c r="G227" s="3" t="s">
        <v>43</v>
      </c>
      <c r="H227" t="s">
        <v>43</v>
      </c>
      <c r="I227" s="9">
        <f>E227/(33/24)</f>
        <v>10.327272727272726</v>
      </c>
      <c r="J227" s="12">
        <f t="shared" ref="J227" si="72">((M227*(E227/I227)*24)/1000)/E227</f>
        <v>0.8668309859154929</v>
      </c>
      <c r="L227">
        <v>194</v>
      </c>
      <c r="M227">
        <v>373</v>
      </c>
      <c r="N227">
        <v>74</v>
      </c>
      <c r="O227">
        <v>62</v>
      </c>
      <c r="R227">
        <v>161</v>
      </c>
      <c r="S227" s="9">
        <v>57</v>
      </c>
      <c r="T227" t="s">
        <v>43</v>
      </c>
      <c r="U227" t="s">
        <v>43</v>
      </c>
      <c r="Y227" t="s">
        <v>43</v>
      </c>
      <c r="Z227" t="s">
        <v>43</v>
      </c>
      <c r="AA227" t="s">
        <v>43</v>
      </c>
      <c r="AB227" t="s">
        <v>43</v>
      </c>
      <c r="AC227" t="s">
        <v>43</v>
      </c>
      <c r="AD227" t="s">
        <v>43</v>
      </c>
      <c r="AE227" t="s">
        <v>43</v>
      </c>
      <c r="AG227" t="s">
        <v>43</v>
      </c>
      <c r="AH227" t="s">
        <v>43</v>
      </c>
      <c r="AI227" t="s">
        <v>43</v>
      </c>
      <c r="AJ227" t="s">
        <v>43</v>
      </c>
      <c r="AL227" s="33" t="s">
        <v>201</v>
      </c>
      <c r="AT227" t="s">
        <v>43</v>
      </c>
      <c r="AU227" t="s">
        <v>43</v>
      </c>
      <c r="AV227">
        <v>1</v>
      </c>
      <c r="AX227" t="s">
        <v>43</v>
      </c>
      <c r="AZ227" t="s">
        <v>43</v>
      </c>
    </row>
    <row r="228" spans="1:52" ht="15" x14ac:dyDescent="0.25">
      <c r="B228" s="33" t="s">
        <v>46</v>
      </c>
      <c r="C228" s="33"/>
      <c r="D228" t="s">
        <v>43</v>
      </c>
      <c r="E228">
        <v>7.2</v>
      </c>
      <c r="F228" t="s">
        <v>397</v>
      </c>
      <c r="G228" s="3" t="s">
        <v>43</v>
      </c>
      <c r="H228" t="s">
        <v>43</v>
      </c>
      <c r="I228">
        <f>E228/(8/24)</f>
        <v>21.6</v>
      </c>
      <c r="J228" s="12">
        <f>((M228*(E228/I228)*24)/1000)/E228</f>
        <v>0.45999999999999996</v>
      </c>
      <c r="L228">
        <v>296</v>
      </c>
      <c r="M228">
        <v>414</v>
      </c>
      <c r="N228">
        <v>51</v>
      </c>
      <c r="O228">
        <v>83</v>
      </c>
      <c r="R228">
        <v>179</v>
      </c>
      <c r="S228" s="9">
        <v>57</v>
      </c>
      <c r="T228" t="s">
        <v>43</v>
      </c>
      <c r="U228" t="s">
        <v>43</v>
      </c>
      <c r="Y228" t="s">
        <v>43</v>
      </c>
      <c r="Z228" t="s">
        <v>43</v>
      </c>
      <c r="AA228" t="s">
        <v>43</v>
      </c>
      <c r="AB228" t="s">
        <v>43</v>
      </c>
      <c r="AC228" t="s">
        <v>43</v>
      </c>
      <c r="AD228" t="s">
        <v>43</v>
      </c>
      <c r="AE228" t="s">
        <v>43</v>
      </c>
      <c r="AG228" t="s">
        <v>43</v>
      </c>
      <c r="AH228" t="s">
        <v>43</v>
      </c>
      <c r="AI228" t="s">
        <v>43</v>
      </c>
      <c r="AJ228" t="s">
        <v>43</v>
      </c>
      <c r="AL228" s="33"/>
      <c r="AT228" t="s">
        <v>43</v>
      </c>
      <c r="AU228" t="s">
        <v>43</v>
      </c>
      <c r="AV228">
        <v>1</v>
      </c>
      <c r="AX228" t="s">
        <v>43</v>
      </c>
      <c r="AZ228" t="s">
        <v>43</v>
      </c>
    </row>
    <row r="229" spans="1:52" ht="15" x14ac:dyDescent="0.25">
      <c r="A229" s="3"/>
      <c r="B229" s="33" t="s">
        <v>46</v>
      </c>
      <c r="C229" s="33"/>
      <c r="E229" s="3">
        <v>2200</v>
      </c>
      <c r="F229" s="3">
        <v>20</v>
      </c>
      <c r="G229" s="3" t="s">
        <v>43</v>
      </c>
      <c r="H229" t="s">
        <v>43</v>
      </c>
      <c r="I229" s="3">
        <v>20.3</v>
      </c>
      <c r="J229" s="3">
        <v>0.7</v>
      </c>
      <c r="K229" s="3"/>
      <c r="L229" s="3" t="s">
        <v>43</v>
      </c>
      <c r="M229" s="6">
        <f t="shared" ref="M229:M245" si="73">(J229*E229)/(E229/(I229*24))</f>
        <v>341.04000000000008</v>
      </c>
      <c r="N229" s="6"/>
      <c r="O229" s="7" t="s">
        <v>43</v>
      </c>
      <c r="P229" s="7"/>
      <c r="Q229" s="3" t="s">
        <v>43</v>
      </c>
      <c r="R229" s="3"/>
      <c r="S229" s="7" t="s">
        <v>206</v>
      </c>
      <c r="T229" s="7"/>
      <c r="U229" s="3" t="s">
        <v>43</v>
      </c>
      <c r="V229" s="3"/>
      <c r="W229" s="3"/>
      <c r="X229" s="3"/>
      <c r="Y229" s="3"/>
      <c r="Z229" s="3"/>
      <c r="AA229" s="3" t="s">
        <v>43</v>
      </c>
      <c r="AB229" s="3" t="s">
        <v>43</v>
      </c>
      <c r="AC229" s="3"/>
      <c r="AD229" s="5" t="s">
        <v>43</v>
      </c>
      <c r="AE229" s="3" t="s">
        <v>43</v>
      </c>
      <c r="AF229" s="3"/>
      <c r="AG229" s="3" t="s">
        <v>43</v>
      </c>
      <c r="AH229" s="3"/>
      <c r="AI229" s="3"/>
      <c r="AJ229" s="3" t="s">
        <v>43</v>
      </c>
      <c r="AK229" s="3"/>
      <c r="AL229" s="34" t="s">
        <v>207</v>
      </c>
      <c r="AT229" t="s">
        <v>43</v>
      </c>
      <c r="AU229" t="s">
        <v>43</v>
      </c>
      <c r="AV229">
        <v>1</v>
      </c>
      <c r="AX229" t="s">
        <v>43</v>
      </c>
      <c r="AZ229" t="s">
        <v>43</v>
      </c>
    </row>
    <row r="230" spans="1:52" ht="15" x14ac:dyDescent="0.25">
      <c r="A230" s="3"/>
      <c r="B230" s="33" t="s">
        <v>46</v>
      </c>
      <c r="C230" s="33"/>
      <c r="E230" s="3">
        <v>2200</v>
      </c>
      <c r="F230" s="3">
        <v>20</v>
      </c>
      <c r="G230" s="3" t="s">
        <v>43</v>
      </c>
      <c r="H230" t="s">
        <v>43</v>
      </c>
      <c r="I230" s="3">
        <v>20.3</v>
      </c>
      <c r="J230" s="3">
        <v>0.7</v>
      </c>
      <c r="K230" s="3"/>
      <c r="L230" s="3" t="s">
        <v>43</v>
      </c>
      <c r="M230" s="6">
        <f t="shared" si="73"/>
        <v>341.04000000000008</v>
      </c>
      <c r="N230" s="6"/>
      <c r="O230" s="7" t="s">
        <v>43</v>
      </c>
      <c r="P230" s="7"/>
      <c r="Q230" s="3" t="s">
        <v>43</v>
      </c>
      <c r="R230" s="3"/>
      <c r="S230" s="7" t="s">
        <v>206</v>
      </c>
      <c r="T230" s="7"/>
      <c r="U230" s="3" t="s">
        <v>43</v>
      </c>
      <c r="V230" s="3"/>
      <c r="W230" s="3"/>
      <c r="X230" s="3"/>
      <c r="Y230" s="3"/>
      <c r="Z230" s="3"/>
      <c r="AA230" s="3" t="s">
        <v>43</v>
      </c>
      <c r="AB230" s="3" t="s">
        <v>43</v>
      </c>
      <c r="AC230" s="3"/>
      <c r="AD230" s="5" t="s">
        <v>43</v>
      </c>
      <c r="AE230" s="3" t="s">
        <v>43</v>
      </c>
      <c r="AF230" s="3"/>
      <c r="AG230" s="3" t="s">
        <v>43</v>
      </c>
      <c r="AH230" s="3"/>
      <c r="AI230" s="3"/>
      <c r="AJ230" s="3" t="s">
        <v>43</v>
      </c>
      <c r="AK230" s="3"/>
      <c r="AL230" s="34"/>
      <c r="AT230" t="s">
        <v>43</v>
      </c>
      <c r="AU230" t="s">
        <v>43</v>
      </c>
      <c r="AV230">
        <v>1</v>
      </c>
      <c r="AX230" t="s">
        <v>43</v>
      </c>
      <c r="AZ230" t="s">
        <v>43</v>
      </c>
    </row>
    <row r="231" spans="1:52" ht="15" x14ac:dyDescent="0.25">
      <c r="A231" s="3"/>
      <c r="B231" s="33" t="s">
        <v>46</v>
      </c>
      <c r="C231" s="33"/>
      <c r="E231" s="3">
        <v>4.25</v>
      </c>
      <c r="F231" s="3">
        <v>20</v>
      </c>
      <c r="G231" s="3" t="s">
        <v>43</v>
      </c>
      <c r="H231" t="s">
        <v>43</v>
      </c>
      <c r="I231" s="3">
        <v>6</v>
      </c>
      <c r="J231" s="3">
        <v>1.83</v>
      </c>
      <c r="K231" s="3"/>
      <c r="L231" s="3" t="s">
        <v>43</v>
      </c>
      <c r="M231" s="6">
        <f t="shared" si="73"/>
        <v>263.52</v>
      </c>
      <c r="N231" s="6"/>
      <c r="O231" s="7" t="s">
        <v>43</v>
      </c>
      <c r="P231" s="7"/>
      <c r="Q231" s="3" t="s">
        <v>43</v>
      </c>
      <c r="R231" s="3"/>
      <c r="S231" s="7">
        <v>70</v>
      </c>
      <c r="T231" s="7"/>
      <c r="U231" s="3" t="s">
        <v>43</v>
      </c>
      <c r="V231" s="3"/>
      <c r="W231" s="3"/>
      <c r="X231" s="3"/>
      <c r="Y231" s="3"/>
      <c r="Z231" s="3"/>
      <c r="AA231" s="3" t="s">
        <v>43</v>
      </c>
      <c r="AB231" s="3" t="s">
        <v>43</v>
      </c>
      <c r="AC231" s="3"/>
      <c r="AD231" s="5" t="s">
        <v>43</v>
      </c>
      <c r="AE231" s="3" t="s">
        <v>43</v>
      </c>
      <c r="AF231" s="3"/>
      <c r="AG231" s="3">
        <v>82</v>
      </c>
      <c r="AH231" s="3"/>
      <c r="AI231" s="3"/>
      <c r="AJ231" s="10" t="s">
        <v>43</v>
      </c>
      <c r="AK231" s="3"/>
      <c r="AL231" s="34"/>
      <c r="AT231" t="s">
        <v>43</v>
      </c>
      <c r="AU231" t="s">
        <v>43</v>
      </c>
      <c r="AV231">
        <v>1</v>
      </c>
      <c r="AX231" t="s">
        <v>43</v>
      </c>
      <c r="AZ231" t="s">
        <v>43</v>
      </c>
    </row>
    <row r="232" spans="1:52" ht="15" x14ac:dyDescent="0.25">
      <c r="A232" s="3"/>
      <c r="B232" s="33" t="s">
        <v>46</v>
      </c>
      <c r="C232" s="33"/>
      <c r="E232" s="3">
        <v>21.6</v>
      </c>
      <c r="F232" s="3">
        <v>20</v>
      </c>
      <c r="G232" s="3" t="s">
        <v>43</v>
      </c>
      <c r="H232" t="s">
        <v>43</v>
      </c>
      <c r="I232" s="3">
        <v>6</v>
      </c>
      <c r="J232" s="3">
        <v>2</v>
      </c>
      <c r="K232" s="3"/>
      <c r="L232" s="3" t="s">
        <v>43</v>
      </c>
      <c r="M232" s="6">
        <f t="shared" si="73"/>
        <v>288</v>
      </c>
      <c r="N232" s="6"/>
      <c r="O232" s="7" t="s">
        <v>43</v>
      </c>
      <c r="P232" s="7"/>
      <c r="Q232" s="3" t="s">
        <v>43</v>
      </c>
      <c r="R232" s="3"/>
      <c r="S232" s="7">
        <v>75</v>
      </c>
      <c r="T232" s="7"/>
      <c r="U232" s="3" t="s">
        <v>43</v>
      </c>
      <c r="V232" s="3"/>
      <c r="W232" s="3"/>
      <c r="X232" s="3"/>
      <c r="Y232" s="3"/>
      <c r="Z232" s="3"/>
      <c r="AA232" s="3" t="s">
        <v>43</v>
      </c>
      <c r="AB232" s="3" t="s">
        <v>43</v>
      </c>
      <c r="AC232" s="3"/>
      <c r="AD232" s="5" t="s">
        <v>43</v>
      </c>
      <c r="AE232" s="3" t="s">
        <v>43</v>
      </c>
      <c r="AF232" s="3"/>
      <c r="AG232" s="3" t="s">
        <v>43</v>
      </c>
      <c r="AH232" s="3"/>
      <c r="AI232" s="3"/>
      <c r="AJ232" s="3" t="s">
        <v>43</v>
      </c>
      <c r="AK232" s="3"/>
      <c r="AL232" s="34"/>
      <c r="AT232" t="s">
        <v>43</v>
      </c>
      <c r="AU232" t="s">
        <v>43</v>
      </c>
      <c r="AV232">
        <v>1</v>
      </c>
      <c r="AX232" t="s">
        <v>43</v>
      </c>
      <c r="AZ232" t="s">
        <v>43</v>
      </c>
    </row>
    <row r="233" spans="1:52" ht="15" x14ac:dyDescent="0.25">
      <c r="A233" s="3"/>
      <c r="B233" s="33" t="s">
        <v>46</v>
      </c>
      <c r="C233" s="33"/>
      <c r="E233" s="3">
        <v>2.17</v>
      </c>
      <c r="F233" s="3">
        <v>20</v>
      </c>
      <c r="G233" s="3" t="s">
        <v>43</v>
      </c>
      <c r="H233" t="s">
        <v>43</v>
      </c>
      <c r="I233" s="3">
        <v>6</v>
      </c>
      <c r="J233" s="3">
        <v>2</v>
      </c>
      <c r="K233" s="3"/>
      <c r="L233" s="3" t="s">
        <v>43</v>
      </c>
      <c r="M233" s="6">
        <f t="shared" si="73"/>
        <v>288</v>
      </c>
      <c r="N233" s="6"/>
      <c r="O233" s="7" t="s">
        <v>43</v>
      </c>
      <c r="P233" s="7"/>
      <c r="Q233" s="3" t="s">
        <v>43</v>
      </c>
      <c r="R233" s="3"/>
      <c r="S233" s="7">
        <v>70</v>
      </c>
      <c r="T233" s="7"/>
      <c r="U233" s="3" t="s">
        <v>43</v>
      </c>
      <c r="V233" s="3"/>
      <c r="W233" s="3"/>
      <c r="X233" s="3"/>
      <c r="Y233" s="3"/>
      <c r="Z233" s="3"/>
      <c r="AA233" s="3" t="s">
        <v>43</v>
      </c>
      <c r="AB233" s="3" t="s">
        <v>43</v>
      </c>
      <c r="AC233" s="3"/>
      <c r="AD233" s="5" t="s">
        <v>43</v>
      </c>
      <c r="AE233" s="3" t="s">
        <v>43</v>
      </c>
      <c r="AF233" s="3"/>
      <c r="AG233" s="3" t="s">
        <v>43</v>
      </c>
      <c r="AH233" s="3"/>
      <c r="AI233" s="3"/>
      <c r="AJ233" s="3" t="s">
        <v>43</v>
      </c>
      <c r="AK233" s="3"/>
      <c r="AL233" s="34"/>
      <c r="AT233" t="s">
        <v>43</v>
      </c>
      <c r="AU233" t="s">
        <v>43</v>
      </c>
      <c r="AV233">
        <v>1</v>
      </c>
      <c r="AX233" t="s">
        <v>43</v>
      </c>
      <c r="AZ233" t="s">
        <v>43</v>
      </c>
    </row>
    <row r="234" spans="1:52" ht="15" x14ac:dyDescent="0.25">
      <c r="A234" s="3"/>
      <c r="B234" s="33" t="s">
        <v>46</v>
      </c>
      <c r="C234" s="33"/>
      <c r="E234" s="3">
        <v>48.4</v>
      </c>
      <c r="F234" s="3">
        <v>20</v>
      </c>
      <c r="G234" s="3" t="s">
        <v>43</v>
      </c>
      <c r="H234" t="s">
        <v>43</v>
      </c>
      <c r="I234" s="3">
        <v>6.6</v>
      </c>
      <c r="J234" s="3">
        <v>1.8</v>
      </c>
      <c r="K234" s="3"/>
      <c r="L234" s="3" t="s">
        <v>43</v>
      </c>
      <c r="M234" s="6">
        <f t="shared" si="73"/>
        <v>285.12</v>
      </c>
      <c r="N234" s="6"/>
      <c r="O234" s="7" t="s">
        <v>43</v>
      </c>
      <c r="P234" s="7"/>
      <c r="Q234" s="3" t="s">
        <v>43</v>
      </c>
      <c r="R234" s="3"/>
      <c r="S234" s="7">
        <v>95</v>
      </c>
      <c r="T234" s="7"/>
      <c r="U234" s="3" t="s">
        <v>43</v>
      </c>
      <c r="V234" s="3"/>
      <c r="W234" s="3"/>
      <c r="X234" s="3"/>
      <c r="Y234" s="3"/>
      <c r="Z234" s="3"/>
      <c r="AA234" s="3" t="s">
        <v>43</v>
      </c>
      <c r="AB234" s="3" t="s">
        <v>43</v>
      </c>
      <c r="AC234" s="3"/>
      <c r="AD234" s="5" t="s">
        <v>43</v>
      </c>
      <c r="AE234" s="3" t="s">
        <v>43</v>
      </c>
      <c r="AF234" s="3"/>
      <c r="AG234" s="3" t="s">
        <v>43</v>
      </c>
      <c r="AH234" s="3"/>
      <c r="AI234" s="3"/>
      <c r="AJ234" s="3" t="s">
        <v>43</v>
      </c>
      <c r="AK234" s="3"/>
      <c r="AL234" s="34"/>
      <c r="AT234" t="s">
        <v>43</v>
      </c>
      <c r="AU234" t="s">
        <v>43</v>
      </c>
      <c r="AV234">
        <v>1</v>
      </c>
      <c r="AX234" t="s">
        <v>43</v>
      </c>
      <c r="AZ234" t="s">
        <v>43</v>
      </c>
    </row>
    <row r="235" spans="1:52" ht="15" x14ac:dyDescent="0.25">
      <c r="A235" s="3"/>
      <c r="B235" s="33" t="s">
        <v>46</v>
      </c>
      <c r="C235" s="33"/>
      <c r="E235" s="3">
        <v>105</v>
      </c>
      <c r="F235" s="3">
        <v>20</v>
      </c>
      <c r="G235" s="3" t="s">
        <v>43</v>
      </c>
      <c r="H235" t="s">
        <v>43</v>
      </c>
      <c r="I235" s="3">
        <v>6</v>
      </c>
      <c r="J235" s="3">
        <v>2</v>
      </c>
      <c r="K235" s="3"/>
      <c r="L235" s="3" t="s">
        <v>43</v>
      </c>
      <c r="M235" s="6">
        <f t="shared" si="73"/>
        <v>288</v>
      </c>
      <c r="N235" s="6"/>
      <c r="O235" s="7" t="s">
        <v>43</v>
      </c>
      <c r="P235" s="7"/>
      <c r="Q235" s="3" t="s">
        <v>43</v>
      </c>
      <c r="R235" s="3"/>
      <c r="S235" s="7">
        <v>75</v>
      </c>
      <c r="T235" s="7"/>
      <c r="U235" s="3" t="s">
        <v>43</v>
      </c>
      <c r="V235" s="3"/>
      <c r="W235" s="3"/>
      <c r="X235" s="3"/>
      <c r="Y235" s="3"/>
      <c r="Z235" s="3"/>
      <c r="AA235" s="3" t="s">
        <v>43</v>
      </c>
      <c r="AB235" s="3" t="s">
        <v>43</v>
      </c>
      <c r="AC235" s="3"/>
      <c r="AD235" s="5" t="s">
        <v>43</v>
      </c>
      <c r="AE235" s="3" t="s">
        <v>43</v>
      </c>
      <c r="AF235" s="3"/>
      <c r="AG235" s="3" t="s">
        <v>43</v>
      </c>
      <c r="AH235" s="3"/>
      <c r="AI235" s="3"/>
      <c r="AJ235" s="3" t="s">
        <v>43</v>
      </c>
      <c r="AK235" s="3"/>
      <c r="AL235" s="34"/>
      <c r="AT235" t="s">
        <v>43</v>
      </c>
      <c r="AU235" t="s">
        <v>43</v>
      </c>
      <c r="AV235">
        <v>1</v>
      </c>
      <c r="AX235" t="s">
        <v>43</v>
      </c>
      <c r="AZ235" t="s">
        <v>43</v>
      </c>
    </row>
    <row r="236" spans="1:52" ht="15" x14ac:dyDescent="0.25">
      <c r="A236" s="3"/>
      <c r="B236" s="33" t="s">
        <v>46</v>
      </c>
      <c r="C236" s="33"/>
      <c r="E236" s="3">
        <v>25</v>
      </c>
      <c r="F236" s="3">
        <v>20</v>
      </c>
      <c r="G236" s="3" t="s">
        <v>43</v>
      </c>
      <c r="H236" t="s">
        <v>43</v>
      </c>
      <c r="I236" s="3">
        <v>7</v>
      </c>
      <c r="J236" s="3">
        <v>2.04</v>
      </c>
      <c r="K236" s="3"/>
      <c r="L236" s="3" t="s">
        <v>43</v>
      </c>
      <c r="M236" s="6">
        <f t="shared" si="73"/>
        <v>342.72</v>
      </c>
      <c r="N236" s="6"/>
      <c r="O236" s="7" t="s">
        <v>43</v>
      </c>
      <c r="P236" s="7"/>
      <c r="Q236" s="3" t="s">
        <v>43</v>
      </c>
      <c r="R236" s="3"/>
      <c r="S236" s="7">
        <v>90</v>
      </c>
      <c r="T236" s="7"/>
      <c r="U236" s="3" t="s">
        <v>43</v>
      </c>
      <c r="V236" s="3"/>
      <c r="W236" s="3"/>
      <c r="X236" s="3"/>
      <c r="Y236" s="3"/>
      <c r="Z236" s="3"/>
      <c r="AA236" s="3" t="s">
        <v>43</v>
      </c>
      <c r="AB236" s="3" t="s">
        <v>43</v>
      </c>
      <c r="AC236" s="3"/>
      <c r="AD236" s="5" t="s">
        <v>43</v>
      </c>
      <c r="AE236" s="3" t="s">
        <v>43</v>
      </c>
      <c r="AF236" s="3"/>
      <c r="AG236" s="3" t="s">
        <v>43</v>
      </c>
      <c r="AH236" s="3"/>
      <c r="AI236" s="3"/>
      <c r="AJ236" s="3" t="s">
        <v>43</v>
      </c>
      <c r="AK236" s="3"/>
      <c r="AL236" s="34"/>
      <c r="AT236" t="s">
        <v>43</v>
      </c>
      <c r="AU236" t="s">
        <v>43</v>
      </c>
      <c r="AV236">
        <v>1</v>
      </c>
      <c r="AX236" t="s">
        <v>43</v>
      </c>
      <c r="AZ236" t="s">
        <v>43</v>
      </c>
    </row>
    <row r="237" spans="1:52" ht="15" x14ac:dyDescent="0.25">
      <c r="A237" s="3"/>
      <c r="B237" s="33" t="s">
        <v>46</v>
      </c>
      <c r="C237" s="33"/>
      <c r="E237" s="3">
        <v>339</v>
      </c>
      <c r="F237" s="3">
        <v>20</v>
      </c>
      <c r="G237" s="3" t="s">
        <v>43</v>
      </c>
      <c r="H237" t="s">
        <v>43</v>
      </c>
      <c r="I237" s="3">
        <v>30</v>
      </c>
      <c r="J237" s="3">
        <v>0.43</v>
      </c>
      <c r="K237" s="3"/>
      <c r="L237" s="3" t="s">
        <v>43</v>
      </c>
      <c r="M237" s="6">
        <f t="shared" si="73"/>
        <v>309.60000000000002</v>
      </c>
      <c r="N237" s="6"/>
      <c r="O237" s="7" t="s">
        <v>43</v>
      </c>
      <c r="P237" s="7"/>
      <c r="Q237" s="3" t="s">
        <v>43</v>
      </c>
      <c r="R237" s="3"/>
      <c r="S237" s="7">
        <v>70</v>
      </c>
      <c r="T237" s="7"/>
      <c r="U237" s="3" t="s">
        <v>43</v>
      </c>
      <c r="V237" s="3"/>
      <c r="W237" s="3"/>
      <c r="X237" s="3"/>
      <c r="Y237" s="3"/>
      <c r="Z237" s="3"/>
      <c r="AA237" s="3" t="s">
        <v>43</v>
      </c>
      <c r="AB237" s="3" t="s">
        <v>43</v>
      </c>
      <c r="AC237" s="3"/>
      <c r="AD237" s="5" t="s">
        <v>43</v>
      </c>
      <c r="AE237" s="3" t="s">
        <v>43</v>
      </c>
      <c r="AF237" s="3"/>
      <c r="AG237" s="3" t="s">
        <v>43</v>
      </c>
      <c r="AH237" s="3"/>
      <c r="AI237" s="3"/>
      <c r="AJ237" s="3" t="s">
        <v>43</v>
      </c>
      <c r="AK237" s="3"/>
      <c r="AL237" s="34"/>
      <c r="AT237" t="s">
        <v>43</v>
      </c>
      <c r="AU237" t="s">
        <v>43</v>
      </c>
      <c r="AV237">
        <v>1</v>
      </c>
      <c r="AX237" t="s">
        <v>43</v>
      </c>
      <c r="AZ237" t="s">
        <v>43</v>
      </c>
    </row>
    <row r="238" spans="1:52" ht="15" x14ac:dyDescent="0.25">
      <c r="A238" s="3"/>
      <c r="B238" s="33" t="s">
        <v>46</v>
      </c>
      <c r="C238" s="33"/>
      <c r="E238" s="3">
        <v>43.2</v>
      </c>
      <c r="F238" s="3">
        <v>20</v>
      </c>
      <c r="G238" s="3" t="s">
        <v>43</v>
      </c>
      <c r="H238" t="s">
        <v>43</v>
      </c>
      <c r="I238" s="3">
        <v>12</v>
      </c>
      <c r="J238" s="3">
        <v>0.4</v>
      </c>
      <c r="K238" s="3"/>
      <c r="L238" s="3" t="s">
        <v>43</v>
      </c>
      <c r="M238" s="6">
        <f t="shared" si="73"/>
        <v>115.19999999999999</v>
      </c>
      <c r="N238" s="6"/>
      <c r="O238" s="7" t="s">
        <v>43</v>
      </c>
      <c r="P238" s="7"/>
      <c r="Q238" s="3" t="s">
        <v>43</v>
      </c>
      <c r="R238" s="3"/>
      <c r="S238" s="7" t="s">
        <v>208</v>
      </c>
      <c r="T238" s="7"/>
      <c r="U238" s="3" t="s">
        <v>43</v>
      </c>
      <c r="V238" s="3"/>
      <c r="W238" s="3"/>
      <c r="X238" s="3"/>
      <c r="Y238" s="3"/>
      <c r="Z238" s="3"/>
      <c r="AA238" s="3" t="s">
        <v>43</v>
      </c>
      <c r="AB238" s="3" t="s">
        <v>43</v>
      </c>
      <c r="AC238" s="3"/>
      <c r="AD238" s="5" t="s">
        <v>43</v>
      </c>
      <c r="AE238" s="3" t="s">
        <v>43</v>
      </c>
      <c r="AF238" s="3"/>
      <c r="AG238" s="3" t="s">
        <v>43</v>
      </c>
      <c r="AH238" s="3"/>
      <c r="AI238" s="3"/>
      <c r="AJ238" s="3" t="s">
        <v>43</v>
      </c>
      <c r="AK238" s="3"/>
      <c r="AL238" s="34"/>
      <c r="AT238" t="s">
        <v>43</v>
      </c>
      <c r="AU238" t="s">
        <v>43</v>
      </c>
      <c r="AV238">
        <v>1</v>
      </c>
      <c r="AX238" t="s">
        <v>43</v>
      </c>
      <c r="AZ238" t="s">
        <v>43</v>
      </c>
    </row>
    <row r="239" spans="1:52" ht="15" x14ac:dyDescent="0.25">
      <c r="A239" s="3"/>
      <c r="B239" s="33" t="s">
        <v>46</v>
      </c>
      <c r="C239" s="33"/>
      <c r="E239" s="3">
        <v>75</v>
      </c>
      <c r="F239" s="3">
        <v>20</v>
      </c>
      <c r="G239" s="3" t="s">
        <v>43</v>
      </c>
      <c r="H239" t="s">
        <v>43</v>
      </c>
      <c r="I239" s="3">
        <v>8</v>
      </c>
      <c r="J239" s="3">
        <v>0.8</v>
      </c>
      <c r="K239" s="3"/>
      <c r="L239" s="3" t="s">
        <v>43</v>
      </c>
      <c r="M239" s="6">
        <f t="shared" si="73"/>
        <v>153.6</v>
      </c>
      <c r="N239" s="6"/>
      <c r="O239" s="7" t="s">
        <v>43</v>
      </c>
      <c r="P239" s="7"/>
      <c r="Q239" s="3" t="s">
        <v>43</v>
      </c>
      <c r="R239" s="3"/>
      <c r="S239" s="7">
        <v>70</v>
      </c>
      <c r="T239" s="7"/>
      <c r="U239" s="3" t="s">
        <v>43</v>
      </c>
      <c r="V239" s="3"/>
      <c r="W239" s="3"/>
      <c r="X239" s="3"/>
      <c r="Y239" s="3"/>
      <c r="Z239" s="3"/>
      <c r="AA239" s="3" t="s">
        <v>43</v>
      </c>
      <c r="AB239" s="3" t="s">
        <v>43</v>
      </c>
      <c r="AC239" s="3"/>
      <c r="AD239" s="5" t="s">
        <v>43</v>
      </c>
      <c r="AE239" s="3" t="s">
        <v>43</v>
      </c>
      <c r="AF239" s="3"/>
      <c r="AG239" s="3">
        <v>12</v>
      </c>
      <c r="AH239" s="3"/>
      <c r="AI239" s="3"/>
      <c r="AJ239" s="10" t="s">
        <v>43</v>
      </c>
      <c r="AK239" s="3"/>
      <c r="AL239" s="34"/>
      <c r="AT239" t="s">
        <v>43</v>
      </c>
      <c r="AU239" t="s">
        <v>43</v>
      </c>
      <c r="AV239">
        <v>1</v>
      </c>
      <c r="AX239" t="s">
        <v>43</v>
      </c>
      <c r="AZ239" t="s">
        <v>43</v>
      </c>
    </row>
    <row r="240" spans="1:52" ht="15" x14ac:dyDescent="0.25">
      <c r="A240" s="3"/>
      <c r="B240" s="33" t="s">
        <v>46</v>
      </c>
      <c r="C240" s="33"/>
      <c r="E240" s="3">
        <v>89.6</v>
      </c>
      <c r="F240" s="3">
        <v>20</v>
      </c>
      <c r="G240" s="3" t="s">
        <v>43</v>
      </c>
      <c r="H240" t="s">
        <v>43</v>
      </c>
      <c r="I240" s="3">
        <v>8</v>
      </c>
      <c r="J240" s="3">
        <v>0.8</v>
      </c>
      <c r="K240" s="3"/>
      <c r="L240" s="3" t="s">
        <v>43</v>
      </c>
      <c r="M240" s="6">
        <f t="shared" si="73"/>
        <v>153.6</v>
      </c>
      <c r="N240" s="6"/>
      <c r="O240" s="7" t="s">
        <v>43</v>
      </c>
      <c r="P240" s="7"/>
      <c r="Q240" s="3" t="s">
        <v>43</v>
      </c>
      <c r="R240" s="3"/>
      <c r="S240" s="7">
        <v>70</v>
      </c>
      <c r="T240" s="7"/>
      <c r="U240" s="3" t="s">
        <v>43</v>
      </c>
      <c r="V240" s="3"/>
      <c r="W240" s="3"/>
      <c r="X240" s="3"/>
      <c r="Y240" s="3"/>
      <c r="Z240" s="3"/>
      <c r="AA240" s="3" t="s">
        <v>43</v>
      </c>
      <c r="AB240" s="3" t="s">
        <v>43</v>
      </c>
      <c r="AC240" s="3"/>
      <c r="AD240" s="5" t="s">
        <v>43</v>
      </c>
      <c r="AE240" s="3" t="s">
        <v>43</v>
      </c>
      <c r="AF240" s="3"/>
      <c r="AG240" s="3">
        <v>12</v>
      </c>
      <c r="AH240" s="3"/>
      <c r="AI240" s="3"/>
      <c r="AJ240" s="10" t="s">
        <v>43</v>
      </c>
      <c r="AK240" s="3"/>
      <c r="AL240" s="34"/>
      <c r="AT240" t="s">
        <v>43</v>
      </c>
      <c r="AU240" t="s">
        <v>43</v>
      </c>
      <c r="AV240">
        <v>1</v>
      </c>
      <c r="AX240" t="s">
        <v>43</v>
      </c>
      <c r="AZ240" t="s">
        <v>43</v>
      </c>
    </row>
    <row r="241" spans="1:52" ht="15" x14ac:dyDescent="0.25">
      <c r="A241" s="3"/>
      <c r="B241" s="33" t="s">
        <v>46</v>
      </c>
      <c r="C241" s="33"/>
      <c r="E241" s="3">
        <v>135.36000000000001</v>
      </c>
      <c r="F241" s="3">
        <v>20</v>
      </c>
      <c r="G241" s="3" t="s">
        <v>43</v>
      </c>
      <c r="H241" t="s">
        <v>43</v>
      </c>
      <c r="I241" s="3">
        <v>8</v>
      </c>
      <c r="J241" s="3">
        <v>0.8</v>
      </c>
      <c r="K241" s="3"/>
      <c r="L241" s="3" t="s">
        <v>43</v>
      </c>
      <c r="M241" s="6">
        <f t="shared" si="73"/>
        <v>153.6</v>
      </c>
      <c r="N241" s="6"/>
      <c r="O241" s="7" t="s">
        <v>43</v>
      </c>
      <c r="P241" s="7"/>
      <c r="Q241" s="3" t="s">
        <v>43</v>
      </c>
      <c r="R241" s="3"/>
      <c r="S241" s="7">
        <v>70</v>
      </c>
      <c r="T241" s="7"/>
      <c r="U241" s="3" t="s">
        <v>43</v>
      </c>
      <c r="V241" s="3"/>
      <c r="W241" s="3"/>
      <c r="X241" s="3"/>
      <c r="Y241" s="3"/>
      <c r="Z241" s="3"/>
      <c r="AA241" s="3" t="s">
        <v>43</v>
      </c>
      <c r="AB241" s="3" t="s">
        <v>43</v>
      </c>
      <c r="AC241" s="3"/>
      <c r="AD241" s="5" t="s">
        <v>43</v>
      </c>
      <c r="AE241" s="3" t="s">
        <v>43</v>
      </c>
      <c r="AF241" s="3"/>
      <c r="AG241" s="3">
        <v>12</v>
      </c>
      <c r="AH241" s="3"/>
      <c r="AI241" s="3"/>
      <c r="AJ241" s="10" t="s">
        <v>43</v>
      </c>
      <c r="AK241" s="3"/>
      <c r="AL241" s="34"/>
      <c r="AT241" t="s">
        <v>43</v>
      </c>
      <c r="AU241" t="s">
        <v>43</v>
      </c>
      <c r="AV241">
        <v>1</v>
      </c>
      <c r="AX241" t="s">
        <v>43</v>
      </c>
      <c r="AZ241" t="s">
        <v>43</v>
      </c>
    </row>
    <row r="242" spans="1:52" ht="15" x14ac:dyDescent="0.25">
      <c r="A242" s="3"/>
      <c r="B242" s="33" t="s">
        <v>46</v>
      </c>
      <c r="C242" s="33"/>
      <c r="E242" s="3">
        <v>21.32</v>
      </c>
      <c r="F242" s="3">
        <v>16</v>
      </c>
      <c r="G242" s="3" t="s">
        <v>43</v>
      </c>
      <c r="H242" t="s">
        <v>43</v>
      </c>
      <c r="I242" s="3">
        <v>10</v>
      </c>
      <c r="J242" s="3">
        <v>0.7</v>
      </c>
      <c r="K242" s="3"/>
      <c r="L242" s="3" t="s">
        <v>43</v>
      </c>
      <c r="M242" s="6">
        <f t="shared" si="73"/>
        <v>168</v>
      </c>
      <c r="N242" s="6"/>
      <c r="O242" s="7" t="s">
        <v>43</v>
      </c>
      <c r="P242" s="7"/>
      <c r="Q242" s="3" t="s">
        <v>43</v>
      </c>
      <c r="R242" s="3"/>
      <c r="S242" s="7">
        <v>70</v>
      </c>
      <c r="T242" s="7"/>
      <c r="U242" s="3" t="s">
        <v>43</v>
      </c>
      <c r="V242" s="3"/>
      <c r="W242" s="3"/>
      <c r="X242" s="3"/>
      <c r="Y242" s="3"/>
      <c r="Z242" s="3"/>
      <c r="AA242" s="3" t="s">
        <v>43</v>
      </c>
      <c r="AB242" s="3" t="s">
        <v>43</v>
      </c>
      <c r="AC242" s="3"/>
      <c r="AD242" s="5" t="s">
        <v>43</v>
      </c>
      <c r="AE242" s="3" t="s">
        <v>43</v>
      </c>
      <c r="AF242" s="3"/>
      <c r="AG242" s="3">
        <v>12</v>
      </c>
      <c r="AH242" s="3"/>
      <c r="AI242" s="3"/>
      <c r="AJ242" s="10" t="s">
        <v>43</v>
      </c>
      <c r="AK242" s="3"/>
      <c r="AL242" s="34"/>
      <c r="AT242" t="s">
        <v>43</v>
      </c>
      <c r="AU242" t="s">
        <v>43</v>
      </c>
      <c r="AV242">
        <v>1</v>
      </c>
      <c r="AX242" t="s">
        <v>43</v>
      </c>
      <c r="AZ242" t="s">
        <v>43</v>
      </c>
    </row>
    <row r="243" spans="1:52" ht="15" x14ac:dyDescent="0.25">
      <c r="A243" s="3"/>
      <c r="B243" s="33" t="s">
        <v>46</v>
      </c>
      <c r="C243" s="33"/>
      <c r="E243" s="3">
        <v>97</v>
      </c>
      <c r="F243" s="3">
        <v>15</v>
      </c>
      <c r="G243" s="3" t="s">
        <v>43</v>
      </c>
      <c r="H243" t="s">
        <v>43</v>
      </c>
      <c r="I243" s="3">
        <v>8</v>
      </c>
      <c r="J243" s="3">
        <v>0.9</v>
      </c>
      <c r="K243" s="3"/>
      <c r="L243" s="3" t="s">
        <v>43</v>
      </c>
      <c r="M243" s="6">
        <f t="shared" si="73"/>
        <v>172.79999999999998</v>
      </c>
      <c r="N243" s="6"/>
      <c r="O243" s="7" t="s">
        <v>43</v>
      </c>
      <c r="P243" s="7"/>
      <c r="Q243" s="3" t="s">
        <v>43</v>
      </c>
      <c r="R243" s="3"/>
      <c r="S243" s="7">
        <v>70</v>
      </c>
      <c r="T243" s="7"/>
      <c r="U243" s="3" t="s">
        <v>43</v>
      </c>
      <c r="V243" s="3"/>
      <c r="W243" s="3"/>
      <c r="X243" s="3"/>
      <c r="Y243" s="3"/>
      <c r="Z243" s="3"/>
      <c r="AA243" s="3" t="s">
        <v>43</v>
      </c>
      <c r="AB243" s="3" t="s">
        <v>43</v>
      </c>
      <c r="AC243" s="3"/>
      <c r="AD243" s="5" t="s">
        <v>43</v>
      </c>
      <c r="AE243" s="3" t="s">
        <v>43</v>
      </c>
      <c r="AF243" s="3"/>
      <c r="AG243" s="3">
        <v>9.1999999999999993</v>
      </c>
      <c r="AH243" s="3"/>
      <c r="AI243" s="3"/>
      <c r="AJ243" s="10" t="s">
        <v>43</v>
      </c>
      <c r="AK243" s="3"/>
      <c r="AL243" s="34"/>
      <c r="AT243" t="s">
        <v>43</v>
      </c>
      <c r="AU243" t="s">
        <v>43</v>
      </c>
      <c r="AV243">
        <v>1</v>
      </c>
      <c r="AX243" t="s">
        <v>43</v>
      </c>
      <c r="AZ243" t="s">
        <v>43</v>
      </c>
    </row>
    <row r="244" spans="1:52" ht="15" x14ac:dyDescent="0.25">
      <c r="A244" s="3"/>
      <c r="B244" s="33" t="s">
        <v>46</v>
      </c>
      <c r="C244" s="33"/>
      <c r="E244" s="3">
        <v>20</v>
      </c>
      <c r="F244" s="3">
        <v>20</v>
      </c>
      <c r="G244" s="3" t="s">
        <v>43</v>
      </c>
      <c r="H244" t="s">
        <v>43</v>
      </c>
      <c r="I244" s="3">
        <v>6</v>
      </c>
      <c r="J244" s="3">
        <v>1.2</v>
      </c>
      <c r="K244" s="3"/>
      <c r="L244" s="3" t="s">
        <v>43</v>
      </c>
      <c r="M244" s="6">
        <f t="shared" si="73"/>
        <v>172.79999999999998</v>
      </c>
      <c r="N244" s="6"/>
      <c r="O244" s="7" t="s">
        <v>43</v>
      </c>
      <c r="P244" s="7"/>
      <c r="Q244" s="3" t="s">
        <v>43</v>
      </c>
      <c r="R244" s="3"/>
      <c r="S244" s="7">
        <v>70</v>
      </c>
      <c r="T244" s="7"/>
      <c r="U244" s="3" t="s">
        <v>43</v>
      </c>
      <c r="V244" s="3"/>
      <c r="W244" s="3"/>
      <c r="X244" s="3"/>
      <c r="Y244" s="3"/>
      <c r="Z244" s="3"/>
      <c r="AA244" s="3" t="s">
        <v>43</v>
      </c>
      <c r="AB244" s="3" t="s">
        <v>43</v>
      </c>
      <c r="AC244" s="3"/>
      <c r="AD244" s="5" t="s">
        <v>43</v>
      </c>
      <c r="AE244" s="3" t="s">
        <v>43</v>
      </c>
      <c r="AF244" s="3"/>
      <c r="AG244" s="3" t="s">
        <v>43</v>
      </c>
      <c r="AH244" s="3"/>
      <c r="AI244" s="3"/>
      <c r="AJ244" s="3" t="s">
        <v>43</v>
      </c>
      <c r="AK244" s="3"/>
      <c r="AL244" s="34"/>
      <c r="AT244" t="s">
        <v>43</v>
      </c>
      <c r="AU244" t="s">
        <v>43</v>
      </c>
      <c r="AV244">
        <v>1</v>
      </c>
      <c r="AX244" t="s">
        <v>43</v>
      </c>
      <c r="AZ244" t="s">
        <v>43</v>
      </c>
    </row>
    <row r="245" spans="1:52" ht="15" x14ac:dyDescent="0.25">
      <c r="A245" s="3"/>
      <c r="B245" s="33" t="s">
        <v>46</v>
      </c>
      <c r="C245" s="33"/>
      <c r="E245" s="3">
        <v>68</v>
      </c>
      <c r="F245" s="3">
        <v>20</v>
      </c>
      <c r="G245" s="3" t="s">
        <v>43</v>
      </c>
      <c r="H245" t="s">
        <v>43</v>
      </c>
      <c r="I245" s="3">
        <v>8</v>
      </c>
      <c r="J245" s="3">
        <v>0.75</v>
      </c>
      <c r="K245" s="3"/>
      <c r="L245" s="3" t="s">
        <v>43</v>
      </c>
      <c r="M245" s="6">
        <f t="shared" si="73"/>
        <v>144</v>
      </c>
      <c r="N245" s="6"/>
      <c r="O245" s="7" t="s">
        <v>43</v>
      </c>
      <c r="P245" s="7"/>
      <c r="Q245" s="3" t="s">
        <v>43</v>
      </c>
      <c r="R245" s="3"/>
      <c r="S245" s="7">
        <v>70</v>
      </c>
      <c r="T245" s="7"/>
      <c r="U245" s="3" t="s">
        <v>43</v>
      </c>
      <c r="V245" s="3"/>
      <c r="W245" s="3"/>
      <c r="X245" s="3"/>
      <c r="Y245" s="3"/>
      <c r="Z245" s="3"/>
      <c r="AA245" s="3" t="s">
        <v>43</v>
      </c>
      <c r="AB245" s="3" t="s">
        <v>43</v>
      </c>
      <c r="AC245" s="3"/>
      <c r="AD245" s="5" t="s">
        <v>43</v>
      </c>
      <c r="AE245" s="3" t="s">
        <v>43</v>
      </c>
      <c r="AF245" s="3"/>
      <c r="AG245" s="3" t="s">
        <v>43</v>
      </c>
      <c r="AH245" s="3"/>
      <c r="AI245" s="3"/>
      <c r="AJ245" s="3" t="s">
        <v>43</v>
      </c>
      <c r="AK245" s="3"/>
      <c r="AL245" s="34"/>
      <c r="AT245" t="s">
        <v>43</v>
      </c>
      <c r="AU245" t="s">
        <v>43</v>
      </c>
      <c r="AV245">
        <v>1</v>
      </c>
      <c r="AX245" t="s">
        <v>43</v>
      </c>
      <c r="AZ245" t="s">
        <v>43</v>
      </c>
    </row>
    <row r="246" spans="1:52" ht="15" x14ac:dyDescent="0.25">
      <c r="A246" s="3"/>
      <c r="B246" s="33" t="s">
        <v>46</v>
      </c>
      <c r="C246" s="33"/>
      <c r="D246" t="s">
        <v>43</v>
      </c>
      <c r="E246">
        <v>0.14000000000000001</v>
      </c>
      <c r="F246">
        <v>15</v>
      </c>
      <c r="G246">
        <v>81</v>
      </c>
      <c r="H246" t="s">
        <v>43</v>
      </c>
      <c r="I246">
        <v>6</v>
      </c>
      <c r="J246" s="8">
        <f>((M246*(E246/I246)*24)/1000)/E246</f>
        <v>2.8839999999999999</v>
      </c>
      <c r="L246" t="s">
        <v>43</v>
      </c>
      <c r="M246">
        <v>721</v>
      </c>
      <c r="O246" t="s">
        <v>43</v>
      </c>
      <c r="Q246" t="s">
        <v>43</v>
      </c>
      <c r="S246" s="9">
        <v>45.908460471567267</v>
      </c>
      <c r="T246" s="39"/>
      <c r="U246" s="39">
        <v>58.469945355191257</v>
      </c>
      <c r="V246" s="39"/>
      <c r="W246" s="39">
        <v>5</v>
      </c>
      <c r="AA246">
        <v>310</v>
      </c>
      <c r="AB246" t="s">
        <v>43</v>
      </c>
      <c r="AC246" t="s">
        <v>43</v>
      </c>
      <c r="AD246">
        <v>0</v>
      </c>
      <c r="AE246" t="s">
        <v>43</v>
      </c>
      <c r="AI246" s="13">
        <v>7.1400000000000005E-2</v>
      </c>
      <c r="AJ246">
        <v>0.11</v>
      </c>
      <c r="AL246" t="s">
        <v>149</v>
      </c>
    </row>
    <row r="247" spans="1:52" x14ac:dyDescent="0.2">
      <c r="AZ247">
        <f>MEDIAN(AZ3:AZ245)</f>
        <v>9.8875105980129874</v>
      </c>
    </row>
    <row r="248" spans="1:52" x14ac:dyDescent="0.2">
      <c r="AZ248">
        <f>_xlfn.PERCENTILE.INC(AZ3:AZ245,0.25)</f>
        <v>8.7888983093448783</v>
      </c>
    </row>
    <row r="249" spans="1:52" x14ac:dyDescent="0.2">
      <c r="M249" s="9">
        <f>MIN(M3:M246)</f>
        <v>92</v>
      </c>
      <c r="AZ249">
        <f>_xlfn.PERCENTILE.INC(AZ3:AZ245,0.75)</f>
        <v>10.986122886681098</v>
      </c>
    </row>
    <row r="251" spans="1:52" x14ac:dyDescent="0.2">
      <c r="AZ251">
        <f>MIN(AZ3:AZ245)</f>
        <v>5.4930614433405491</v>
      </c>
    </row>
    <row r="252" spans="1:52" ht="15" x14ac:dyDescent="0.25">
      <c r="A252" t="s">
        <v>278</v>
      </c>
      <c r="B252" s="33" t="s">
        <v>46</v>
      </c>
      <c r="C252" s="33"/>
      <c r="D252" t="s">
        <v>43</v>
      </c>
      <c r="E252" s="10"/>
      <c r="I252">
        <v>12</v>
      </c>
      <c r="J252" s="8" t="e">
        <f t="shared" ref="J252:J264" si="74">((M252*(E252/I252)*24)/1000)/E252</f>
        <v>#DIV/0!</v>
      </c>
      <c r="M252">
        <v>587</v>
      </c>
      <c r="O252" s="9"/>
      <c r="P252" s="9"/>
      <c r="Q252" s="9"/>
      <c r="R252" s="9">
        <v>189</v>
      </c>
      <c r="S252" s="9">
        <v>69</v>
      </c>
      <c r="T252" s="9"/>
      <c r="U252" s="9"/>
      <c r="V252" s="9"/>
      <c r="W252" s="9"/>
      <c r="Y252" s="3" t="s">
        <v>43</v>
      </c>
      <c r="Z252" s="5" t="s">
        <v>43</v>
      </c>
      <c r="AA252" s="3" t="s">
        <v>43</v>
      </c>
      <c r="AB252" s="5" t="s">
        <v>43</v>
      </c>
      <c r="AC252" s="3" t="s">
        <v>43</v>
      </c>
      <c r="AD252" s="5" t="s">
        <v>43</v>
      </c>
      <c r="AE252" s="3" t="s">
        <v>43</v>
      </c>
      <c r="AG252" t="s">
        <v>43</v>
      </c>
      <c r="AH252" t="s">
        <v>43</v>
      </c>
      <c r="AI252" t="s">
        <v>43</v>
      </c>
      <c r="AJ252" t="s">
        <v>43</v>
      </c>
      <c r="AL252" s="33" t="s">
        <v>55</v>
      </c>
      <c r="AZ252">
        <f>MAX(AZ3:AZ245)</f>
        <v>15.380572041353537</v>
      </c>
    </row>
    <row r="253" spans="1:52" ht="15" x14ac:dyDescent="0.25">
      <c r="A253" t="s">
        <v>279</v>
      </c>
      <c r="B253" s="33" t="s">
        <v>46</v>
      </c>
      <c r="C253" s="33"/>
      <c r="D253" t="s">
        <v>43</v>
      </c>
      <c r="E253" s="3">
        <v>0.25</v>
      </c>
      <c r="I253">
        <v>12</v>
      </c>
      <c r="J253" s="8">
        <f t="shared" si="74"/>
        <v>1.1739999999999999</v>
      </c>
      <c r="M253">
        <v>587</v>
      </c>
      <c r="R253" s="9">
        <v>191</v>
      </c>
      <c r="S253" s="9">
        <v>67</v>
      </c>
      <c r="U253" s="9"/>
      <c r="V253" s="9"/>
      <c r="W253" s="9"/>
      <c r="Y253" s="3" t="s">
        <v>43</v>
      </c>
      <c r="Z253" s="5" t="s">
        <v>43</v>
      </c>
      <c r="AA253" s="3" t="s">
        <v>43</v>
      </c>
      <c r="AB253" s="5" t="s">
        <v>43</v>
      </c>
      <c r="AC253" s="3" t="s">
        <v>43</v>
      </c>
      <c r="AD253" s="5" t="s">
        <v>43</v>
      </c>
      <c r="AE253" s="3" t="s">
        <v>43</v>
      </c>
      <c r="AG253" t="s">
        <v>43</v>
      </c>
      <c r="AH253" t="s">
        <v>43</v>
      </c>
      <c r="AI253" t="s">
        <v>43</v>
      </c>
      <c r="AJ253" t="s">
        <v>43</v>
      </c>
      <c r="AL253" s="33"/>
      <c r="AM253" t="s">
        <v>398</v>
      </c>
    </row>
    <row r="254" spans="1:52" ht="15" x14ac:dyDescent="0.25">
      <c r="A254" t="s">
        <v>280</v>
      </c>
      <c r="B254" s="33" t="s">
        <v>46</v>
      </c>
      <c r="C254" s="33"/>
      <c r="D254" t="s">
        <v>43</v>
      </c>
      <c r="E254" s="3">
        <v>0.25</v>
      </c>
      <c r="I254">
        <v>12</v>
      </c>
      <c r="J254" s="8">
        <f t="shared" si="74"/>
        <v>1.1739999999999999</v>
      </c>
      <c r="M254">
        <v>587</v>
      </c>
      <c r="R254" s="9">
        <v>169</v>
      </c>
      <c r="S254" s="9">
        <v>71</v>
      </c>
      <c r="U254" s="9"/>
      <c r="V254" s="9"/>
      <c r="W254" s="9"/>
      <c r="Y254" s="3" t="s">
        <v>43</v>
      </c>
      <c r="Z254" s="5" t="s">
        <v>43</v>
      </c>
      <c r="AA254" s="3" t="s">
        <v>43</v>
      </c>
      <c r="AB254" s="5" t="s">
        <v>43</v>
      </c>
      <c r="AC254" s="3" t="s">
        <v>43</v>
      </c>
      <c r="AD254" s="5" t="s">
        <v>43</v>
      </c>
      <c r="AE254" s="3" t="s">
        <v>43</v>
      </c>
      <c r="AG254" t="s">
        <v>43</v>
      </c>
      <c r="AH254" t="s">
        <v>43</v>
      </c>
      <c r="AI254" t="s">
        <v>43</v>
      </c>
      <c r="AJ254" t="s">
        <v>43</v>
      </c>
      <c r="AL254" s="33"/>
    </row>
    <row r="255" spans="1:52" ht="15" x14ac:dyDescent="0.25">
      <c r="A255" t="s">
        <v>281</v>
      </c>
      <c r="B255" s="33" t="s">
        <v>46</v>
      </c>
      <c r="C255" s="33"/>
      <c r="D255" t="s">
        <v>43</v>
      </c>
      <c r="E255" s="3">
        <v>0.25</v>
      </c>
      <c r="I255">
        <v>12</v>
      </c>
      <c r="J255" s="8">
        <f t="shared" si="74"/>
        <v>1.1739999999999999</v>
      </c>
      <c r="M255">
        <v>587</v>
      </c>
      <c r="N255" s="9"/>
      <c r="O255" s="9"/>
      <c r="P255" s="9"/>
      <c r="R255" s="9">
        <v>155</v>
      </c>
      <c r="S255" s="9">
        <v>74</v>
      </c>
      <c r="T255" s="9"/>
      <c r="Y255" s="3" t="s">
        <v>43</v>
      </c>
      <c r="Z255" s="5" t="s">
        <v>43</v>
      </c>
      <c r="AA255" s="3" t="s">
        <v>43</v>
      </c>
      <c r="AB255" s="5" t="s">
        <v>43</v>
      </c>
      <c r="AC255" s="3" t="s">
        <v>43</v>
      </c>
      <c r="AD255" s="5" t="s">
        <v>43</v>
      </c>
      <c r="AE255" s="3" t="s">
        <v>43</v>
      </c>
      <c r="AG255" t="s">
        <v>43</v>
      </c>
      <c r="AH255" t="s">
        <v>43</v>
      </c>
      <c r="AI255" t="s">
        <v>43</v>
      </c>
      <c r="AJ255" t="s">
        <v>43</v>
      </c>
      <c r="AL255" s="33"/>
    </row>
    <row r="256" spans="1:52" ht="15" x14ac:dyDescent="0.25">
      <c r="A256" t="s">
        <v>282</v>
      </c>
      <c r="B256" s="33" t="s">
        <v>46</v>
      </c>
      <c r="C256" s="33"/>
      <c r="D256" t="s">
        <v>43</v>
      </c>
      <c r="E256" s="3">
        <v>0.25</v>
      </c>
      <c r="G256" s="3"/>
      <c r="H256" s="3"/>
      <c r="I256">
        <v>12</v>
      </c>
      <c r="J256" s="8">
        <f t="shared" si="74"/>
        <v>1.61</v>
      </c>
      <c r="M256" s="9">
        <v>805</v>
      </c>
      <c r="N256" s="9"/>
      <c r="O256" s="7"/>
      <c r="P256" s="7"/>
      <c r="Q256" s="3"/>
      <c r="R256" s="3">
        <v>244</v>
      </c>
      <c r="S256" s="7">
        <v>70</v>
      </c>
      <c r="T256" s="7"/>
      <c r="U256" s="3"/>
      <c r="V256" s="3"/>
      <c r="W256" s="3"/>
      <c r="Y256" s="3" t="s">
        <v>43</v>
      </c>
      <c r="Z256" s="5" t="s">
        <v>43</v>
      </c>
      <c r="AA256" s="3" t="s">
        <v>43</v>
      </c>
      <c r="AB256" s="5" t="s">
        <v>43</v>
      </c>
      <c r="AC256" s="3" t="s">
        <v>43</v>
      </c>
      <c r="AD256" s="5" t="s">
        <v>43</v>
      </c>
      <c r="AE256" s="3" t="s">
        <v>43</v>
      </c>
      <c r="AG256" t="s">
        <v>43</v>
      </c>
      <c r="AH256" t="s">
        <v>43</v>
      </c>
      <c r="AI256" t="s">
        <v>43</v>
      </c>
      <c r="AJ256" t="s">
        <v>43</v>
      </c>
      <c r="AL256" s="33"/>
    </row>
    <row r="257" spans="1:38" ht="15" x14ac:dyDescent="0.25">
      <c r="A257" t="s">
        <v>283</v>
      </c>
      <c r="B257" s="33" t="s">
        <v>46</v>
      </c>
      <c r="C257" s="33"/>
      <c r="D257" t="s">
        <v>43</v>
      </c>
      <c r="E257" s="3">
        <v>0.25</v>
      </c>
      <c r="G257" s="3"/>
      <c r="H257" s="3"/>
      <c r="I257">
        <v>12</v>
      </c>
      <c r="J257" s="8">
        <f t="shared" si="74"/>
        <v>1.61</v>
      </c>
      <c r="M257" s="9">
        <v>805</v>
      </c>
      <c r="N257" s="9"/>
      <c r="O257" s="7"/>
      <c r="P257" s="7"/>
      <c r="Q257" s="3"/>
      <c r="R257" s="3">
        <v>248</v>
      </c>
      <c r="S257" s="7">
        <v>69</v>
      </c>
      <c r="T257" s="7"/>
      <c r="U257" s="3"/>
      <c r="V257" s="3"/>
      <c r="W257" s="3"/>
      <c r="Y257" s="3" t="s">
        <v>43</v>
      </c>
      <c r="Z257" s="5" t="s">
        <v>43</v>
      </c>
      <c r="AA257" s="3" t="s">
        <v>43</v>
      </c>
      <c r="AB257" s="5" t="s">
        <v>43</v>
      </c>
      <c r="AC257" s="3" t="s">
        <v>43</v>
      </c>
      <c r="AD257" s="5" t="s">
        <v>43</v>
      </c>
      <c r="AE257" s="3" t="s">
        <v>43</v>
      </c>
      <c r="AG257" t="s">
        <v>43</v>
      </c>
      <c r="AH257" t="s">
        <v>43</v>
      </c>
      <c r="AI257" t="s">
        <v>43</v>
      </c>
      <c r="AJ257" t="s">
        <v>43</v>
      </c>
      <c r="AL257" s="33"/>
    </row>
    <row r="258" spans="1:38" ht="15" x14ac:dyDescent="0.25">
      <c r="A258" t="s">
        <v>284</v>
      </c>
      <c r="B258" s="33" t="s">
        <v>46</v>
      </c>
      <c r="C258" s="33"/>
      <c r="D258" t="s">
        <v>43</v>
      </c>
      <c r="E258" s="3">
        <v>0.25</v>
      </c>
      <c r="G258" s="3"/>
      <c r="H258" s="3"/>
      <c r="I258">
        <v>12</v>
      </c>
      <c r="J258" s="8">
        <f t="shared" si="74"/>
        <v>1.61</v>
      </c>
      <c r="M258" s="9">
        <v>805</v>
      </c>
      <c r="N258" s="9"/>
      <c r="O258" s="7"/>
      <c r="P258" s="7"/>
      <c r="Q258" s="3"/>
      <c r="R258" s="3">
        <v>251</v>
      </c>
      <c r="S258" s="7">
        <v>69</v>
      </c>
      <c r="T258" s="7"/>
      <c r="U258" s="3"/>
      <c r="V258" s="3"/>
      <c r="W258" s="3"/>
      <c r="Y258" s="3" t="s">
        <v>43</v>
      </c>
      <c r="Z258" s="5" t="s">
        <v>43</v>
      </c>
      <c r="AA258" s="3" t="s">
        <v>43</v>
      </c>
      <c r="AB258" s="5" t="s">
        <v>43</v>
      </c>
      <c r="AC258" s="3" t="s">
        <v>43</v>
      </c>
      <c r="AD258" s="5" t="s">
        <v>43</v>
      </c>
      <c r="AE258" s="3" t="s">
        <v>43</v>
      </c>
      <c r="AG258" t="s">
        <v>43</v>
      </c>
      <c r="AH258" t="s">
        <v>43</v>
      </c>
      <c r="AI258" t="s">
        <v>43</v>
      </c>
      <c r="AJ258" t="s">
        <v>43</v>
      </c>
      <c r="AL258" s="33"/>
    </row>
    <row r="259" spans="1:38" ht="15" x14ac:dyDescent="0.25">
      <c r="A259" t="s">
        <v>279</v>
      </c>
      <c r="B259" s="33" t="s">
        <v>46</v>
      </c>
      <c r="C259" s="33"/>
      <c r="D259" t="s">
        <v>43</v>
      </c>
      <c r="E259" s="3">
        <v>0.25</v>
      </c>
      <c r="G259" s="3"/>
      <c r="H259" s="3"/>
      <c r="I259">
        <v>6</v>
      </c>
      <c r="J259" s="3">
        <f t="shared" si="74"/>
        <v>1.8399999999999999</v>
      </c>
      <c r="M259" s="9">
        <v>460</v>
      </c>
      <c r="N259" s="9"/>
      <c r="O259" s="7"/>
      <c r="P259" s="7"/>
      <c r="Q259" s="3"/>
      <c r="R259" s="3">
        <v>139</v>
      </c>
      <c r="S259" s="7">
        <v>70</v>
      </c>
      <c r="T259" s="7"/>
      <c r="U259" s="3"/>
      <c r="V259" s="3"/>
      <c r="W259" s="3"/>
      <c r="Y259" s="3" t="s">
        <v>43</v>
      </c>
      <c r="Z259" s="5" t="s">
        <v>43</v>
      </c>
      <c r="AA259" s="3" t="s">
        <v>43</v>
      </c>
      <c r="AB259" s="5" t="s">
        <v>43</v>
      </c>
      <c r="AC259" s="3" t="s">
        <v>43</v>
      </c>
      <c r="AD259" s="5" t="s">
        <v>43</v>
      </c>
      <c r="AE259" s="3" t="s">
        <v>43</v>
      </c>
      <c r="AG259" t="s">
        <v>43</v>
      </c>
      <c r="AH259" t="s">
        <v>43</v>
      </c>
      <c r="AI259" t="s">
        <v>43</v>
      </c>
      <c r="AJ259" t="s">
        <v>43</v>
      </c>
      <c r="AL259" s="33"/>
    </row>
    <row r="260" spans="1:38" ht="15" x14ac:dyDescent="0.25">
      <c r="A260" t="s">
        <v>280</v>
      </c>
      <c r="B260" s="33" t="s">
        <v>46</v>
      </c>
      <c r="C260" s="33"/>
      <c r="D260" t="s">
        <v>43</v>
      </c>
      <c r="E260" s="3">
        <v>0.25</v>
      </c>
      <c r="G260" s="3"/>
      <c r="H260" s="3"/>
      <c r="I260">
        <v>6</v>
      </c>
      <c r="J260" s="3">
        <f t="shared" si="74"/>
        <v>1.8399999999999999</v>
      </c>
      <c r="M260" s="9">
        <v>460</v>
      </c>
      <c r="N260" s="9"/>
      <c r="O260" s="7"/>
      <c r="P260" s="7"/>
      <c r="Q260" s="3"/>
      <c r="R260" s="3">
        <v>141</v>
      </c>
      <c r="S260" s="7">
        <v>69</v>
      </c>
      <c r="T260" s="7"/>
      <c r="U260" s="3"/>
      <c r="V260" s="3"/>
      <c r="W260" s="3"/>
      <c r="Y260" s="3" t="s">
        <v>43</v>
      </c>
      <c r="Z260" s="5" t="s">
        <v>43</v>
      </c>
      <c r="AA260" s="3" t="s">
        <v>43</v>
      </c>
      <c r="AB260" s="5" t="s">
        <v>43</v>
      </c>
      <c r="AC260" s="3" t="s">
        <v>43</v>
      </c>
      <c r="AD260" s="5" t="s">
        <v>43</v>
      </c>
      <c r="AE260" s="3" t="s">
        <v>43</v>
      </c>
      <c r="AG260" t="s">
        <v>43</v>
      </c>
      <c r="AH260" t="s">
        <v>43</v>
      </c>
      <c r="AI260" t="s">
        <v>43</v>
      </c>
      <c r="AJ260" t="s">
        <v>43</v>
      </c>
      <c r="AL260" s="33"/>
    </row>
    <row r="261" spans="1:38" ht="15" x14ac:dyDescent="0.25">
      <c r="A261" t="s">
        <v>281</v>
      </c>
      <c r="B261" s="33" t="s">
        <v>46</v>
      </c>
      <c r="C261" s="33"/>
      <c r="D261" t="s">
        <v>43</v>
      </c>
      <c r="E261" s="3">
        <v>0.25</v>
      </c>
      <c r="G261" s="3"/>
      <c r="H261" s="3"/>
      <c r="I261">
        <v>6</v>
      </c>
      <c r="J261" s="3">
        <f t="shared" si="74"/>
        <v>1.8399999999999999</v>
      </c>
      <c r="M261" s="9">
        <v>460</v>
      </c>
      <c r="N261" s="9"/>
      <c r="O261" s="7"/>
      <c r="P261" s="7"/>
      <c r="Q261" s="3"/>
      <c r="R261" s="3">
        <v>166</v>
      </c>
      <c r="S261" s="7">
        <v>64</v>
      </c>
      <c r="T261" s="7"/>
      <c r="U261" s="3"/>
      <c r="V261" s="3"/>
      <c r="W261" s="3"/>
      <c r="Y261" s="3" t="s">
        <v>43</v>
      </c>
      <c r="Z261" s="5" t="s">
        <v>43</v>
      </c>
      <c r="AA261" s="3" t="s">
        <v>43</v>
      </c>
      <c r="AB261" s="5" t="s">
        <v>43</v>
      </c>
      <c r="AC261" s="3" t="s">
        <v>43</v>
      </c>
      <c r="AD261" s="5" t="s">
        <v>43</v>
      </c>
      <c r="AE261" s="3" t="s">
        <v>43</v>
      </c>
      <c r="AG261" t="s">
        <v>43</v>
      </c>
      <c r="AH261" t="s">
        <v>43</v>
      </c>
      <c r="AI261" t="s">
        <v>43</v>
      </c>
      <c r="AJ261" t="s">
        <v>43</v>
      </c>
      <c r="AL261" s="33"/>
    </row>
    <row r="262" spans="1:38" ht="15" x14ac:dyDescent="0.25">
      <c r="A262" t="s">
        <v>282</v>
      </c>
      <c r="B262" s="33" t="s">
        <v>46</v>
      </c>
      <c r="C262" s="33"/>
      <c r="D262" t="s">
        <v>43</v>
      </c>
      <c r="E262" s="3">
        <v>0.25</v>
      </c>
      <c r="G262" s="3"/>
      <c r="H262" s="3"/>
      <c r="I262">
        <v>6</v>
      </c>
      <c r="J262" s="3">
        <f t="shared" si="74"/>
        <v>1.8399999999999999</v>
      </c>
      <c r="M262" s="9">
        <v>460</v>
      </c>
      <c r="N262" s="9"/>
      <c r="O262" s="7"/>
      <c r="P262" s="7"/>
      <c r="Q262" s="3"/>
      <c r="R262" s="3">
        <v>154</v>
      </c>
      <c r="S262" s="7">
        <v>67</v>
      </c>
      <c r="T262" s="7"/>
      <c r="U262" s="3"/>
      <c r="V262" s="3"/>
      <c r="W262" s="3"/>
      <c r="Y262" s="3" t="s">
        <v>43</v>
      </c>
      <c r="Z262" s="5" t="s">
        <v>43</v>
      </c>
      <c r="AA262" s="3" t="s">
        <v>43</v>
      </c>
      <c r="AB262" s="5" t="s">
        <v>43</v>
      </c>
      <c r="AC262" s="3" t="s">
        <v>43</v>
      </c>
      <c r="AD262" s="5" t="s">
        <v>43</v>
      </c>
      <c r="AE262" s="3" t="s">
        <v>43</v>
      </c>
      <c r="AG262" t="s">
        <v>43</v>
      </c>
      <c r="AH262" t="s">
        <v>43</v>
      </c>
      <c r="AI262" t="s">
        <v>43</v>
      </c>
      <c r="AJ262" t="s">
        <v>43</v>
      </c>
      <c r="AL262" s="33"/>
    </row>
    <row r="263" spans="1:38" ht="15" x14ac:dyDescent="0.25">
      <c r="A263" t="s">
        <v>283</v>
      </c>
      <c r="B263" s="33" t="s">
        <v>46</v>
      </c>
      <c r="C263" s="33"/>
      <c r="D263" t="s">
        <v>43</v>
      </c>
      <c r="E263" s="3">
        <v>0.25</v>
      </c>
      <c r="G263" s="3"/>
      <c r="H263" s="3"/>
      <c r="I263">
        <v>6</v>
      </c>
      <c r="J263" s="3">
        <f t="shared" si="74"/>
        <v>1.8399999999999999</v>
      </c>
      <c r="M263" s="9">
        <v>460</v>
      </c>
      <c r="N263" s="9"/>
      <c r="O263" s="7"/>
      <c r="P263" s="7"/>
      <c r="Q263" s="3"/>
      <c r="R263" s="3">
        <v>138</v>
      </c>
      <c r="S263" s="7">
        <v>70</v>
      </c>
      <c r="T263" s="7"/>
      <c r="U263" s="3"/>
      <c r="V263" s="3"/>
      <c r="W263" s="3"/>
      <c r="Y263" s="3" t="s">
        <v>43</v>
      </c>
      <c r="Z263" s="5" t="s">
        <v>43</v>
      </c>
      <c r="AA263" s="3" t="s">
        <v>43</v>
      </c>
      <c r="AB263" s="5" t="s">
        <v>43</v>
      </c>
      <c r="AC263" s="3" t="s">
        <v>43</v>
      </c>
      <c r="AD263" s="5" t="s">
        <v>43</v>
      </c>
      <c r="AE263" s="3" t="s">
        <v>43</v>
      </c>
      <c r="AG263" t="s">
        <v>43</v>
      </c>
      <c r="AH263" t="s">
        <v>43</v>
      </c>
      <c r="AI263" t="s">
        <v>43</v>
      </c>
      <c r="AJ263" t="s">
        <v>43</v>
      </c>
      <c r="AL263" s="33"/>
    </row>
    <row r="264" spans="1:38" ht="15" x14ac:dyDescent="0.25">
      <c r="A264" t="s">
        <v>284</v>
      </c>
      <c r="B264" s="33" t="s">
        <v>46</v>
      </c>
      <c r="C264" s="33"/>
      <c r="D264" t="s">
        <v>43</v>
      </c>
      <c r="E264" s="3">
        <v>0.25</v>
      </c>
      <c r="G264" s="3"/>
      <c r="H264" s="3"/>
      <c r="I264">
        <v>6</v>
      </c>
      <c r="J264" s="3">
        <f t="shared" si="74"/>
        <v>1.8399999999999999</v>
      </c>
      <c r="M264" s="9">
        <v>460</v>
      </c>
      <c r="N264" s="9"/>
      <c r="O264" s="7"/>
      <c r="P264" s="7"/>
      <c r="Q264" s="3"/>
      <c r="R264" s="3">
        <v>159</v>
      </c>
      <c r="S264" s="7">
        <v>65</v>
      </c>
      <c r="T264" s="7"/>
      <c r="U264" s="3"/>
      <c r="V264" s="3"/>
      <c r="W264" s="3"/>
      <c r="Y264" s="3" t="s">
        <v>43</v>
      </c>
      <c r="Z264" s="5" t="s">
        <v>43</v>
      </c>
      <c r="AA264" s="3" t="s">
        <v>43</v>
      </c>
      <c r="AB264" s="5" t="s">
        <v>43</v>
      </c>
      <c r="AC264" s="3" t="s">
        <v>43</v>
      </c>
      <c r="AD264" s="5" t="s">
        <v>43</v>
      </c>
      <c r="AE264" s="3" t="s">
        <v>43</v>
      </c>
      <c r="AG264" t="s">
        <v>43</v>
      </c>
      <c r="AH264" t="s">
        <v>43</v>
      </c>
      <c r="AI264" t="s">
        <v>43</v>
      </c>
      <c r="AJ264" t="s">
        <v>43</v>
      </c>
      <c r="AL264" s="33"/>
    </row>
    <row r="265" spans="1:38" ht="15" x14ac:dyDescent="0.25">
      <c r="A265" t="s">
        <v>285</v>
      </c>
      <c r="B265" s="33" t="s">
        <v>46</v>
      </c>
      <c r="C265" s="33"/>
      <c r="D265" t="s">
        <v>43</v>
      </c>
      <c r="E265" s="2"/>
      <c r="G265" s="3"/>
      <c r="H265" s="3"/>
      <c r="I265">
        <v>12</v>
      </c>
      <c r="J265" s="10"/>
      <c r="M265" s="9">
        <v>587</v>
      </c>
      <c r="N265" s="9"/>
      <c r="O265" s="7"/>
      <c r="P265" s="7"/>
      <c r="R265" s="3">
        <v>185</v>
      </c>
      <c r="S265" s="3">
        <v>68</v>
      </c>
      <c r="T265" s="7"/>
      <c r="U265" s="3"/>
      <c r="V265" s="3"/>
      <c r="W265" s="3"/>
      <c r="Y265" s="3" t="s">
        <v>43</v>
      </c>
      <c r="Z265" s="5" t="s">
        <v>43</v>
      </c>
      <c r="AA265" s="3" t="s">
        <v>43</v>
      </c>
      <c r="AB265" s="5" t="s">
        <v>43</v>
      </c>
      <c r="AC265" s="3" t="s">
        <v>43</v>
      </c>
      <c r="AD265" s="5" t="s">
        <v>43</v>
      </c>
      <c r="AE265" s="3" t="s">
        <v>43</v>
      </c>
      <c r="AG265" t="s">
        <v>43</v>
      </c>
      <c r="AH265" t="s">
        <v>43</v>
      </c>
      <c r="AI265" t="s">
        <v>43</v>
      </c>
      <c r="AJ265" t="s">
        <v>43</v>
      </c>
      <c r="AL265" s="33"/>
    </row>
    <row r="266" spans="1:38" ht="15" x14ac:dyDescent="0.25">
      <c r="B266" s="33" t="s">
        <v>46</v>
      </c>
      <c r="C266" s="33"/>
      <c r="D266" t="s">
        <v>43</v>
      </c>
      <c r="E266">
        <f>46/1000</f>
        <v>4.5999999999999999E-2</v>
      </c>
      <c r="F266" t="s">
        <v>43</v>
      </c>
      <c r="G266">
        <v>30</v>
      </c>
      <c r="H266" t="s">
        <v>43</v>
      </c>
      <c r="I266">
        <v>8</v>
      </c>
      <c r="J266" s="12">
        <f>((M266*(E266/I266)*24)/1000)/E266</f>
        <v>1.3889999999999998</v>
      </c>
      <c r="L266">
        <v>174</v>
      </c>
      <c r="M266">
        <v>463</v>
      </c>
      <c r="N266">
        <v>37</v>
      </c>
      <c r="O266">
        <v>73</v>
      </c>
      <c r="P266" t="s">
        <v>43</v>
      </c>
      <c r="Q266" t="s">
        <v>43</v>
      </c>
      <c r="R266">
        <v>112</v>
      </c>
      <c r="S266">
        <v>73</v>
      </c>
      <c r="T266" t="s">
        <v>43</v>
      </c>
      <c r="U266" t="s">
        <v>43</v>
      </c>
      <c r="Y266" t="s">
        <v>43</v>
      </c>
      <c r="Z266" t="s">
        <v>43</v>
      </c>
      <c r="AA266" t="s">
        <v>43</v>
      </c>
      <c r="AB266" t="s">
        <v>43</v>
      </c>
      <c r="AC266" t="s">
        <v>43</v>
      </c>
      <c r="AD266" t="s">
        <v>43</v>
      </c>
      <c r="AE266" t="s">
        <v>43</v>
      </c>
      <c r="AG266" t="s">
        <v>43</v>
      </c>
      <c r="AH266" t="s">
        <v>43</v>
      </c>
      <c r="AI266" t="s">
        <v>43</v>
      </c>
      <c r="AJ266" t="s">
        <v>43</v>
      </c>
      <c r="AL266" s="33" t="s">
        <v>131</v>
      </c>
    </row>
    <row r="267" spans="1:38" ht="15" x14ac:dyDescent="0.25">
      <c r="B267" s="33" t="s">
        <v>46</v>
      </c>
      <c r="C267" s="33"/>
      <c r="D267" t="s">
        <v>43</v>
      </c>
      <c r="E267">
        <f t="shared" ref="E267:E268" si="75">46/1000</f>
        <v>4.5999999999999999E-2</v>
      </c>
      <c r="F267" t="s">
        <v>43</v>
      </c>
      <c r="G267">
        <v>33</v>
      </c>
      <c r="H267" t="s">
        <v>43</v>
      </c>
      <c r="I267">
        <v>6</v>
      </c>
      <c r="J267" s="12">
        <f>((M267*(E267/I267)*24)/1000)/E267</f>
        <v>1.8359999999999999</v>
      </c>
      <c r="L267">
        <v>171</v>
      </c>
      <c r="M267">
        <v>459</v>
      </c>
      <c r="N267">
        <v>35</v>
      </c>
      <c r="O267">
        <v>78</v>
      </c>
      <c r="P267" t="s">
        <v>43</v>
      </c>
      <c r="Q267" t="s">
        <v>43</v>
      </c>
      <c r="R267">
        <v>106</v>
      </c>
      <c r="S267">
        <v>76</v>
      </c>
      <c r="T267" t="s">
        <v>43</v>
      </c>
      <c r="U267" t="s">
        <v>43</v>
      </c>
      <c r="Y267" t="s">
        <v>43</v>
      </c>
      <c r="Z267" t="s">
        <v>43</v>
      </c>
      <c r="AA267" t="s">
        <v>43</v>
      </c>
      <c r="AB267" t="s">
        <v>43</v>
      </c>
      <c r="AC267" t="s">
        <v>43</v>
      </c>
      <c r="AD267" t="s">
        <v>43</v>
      </c>
      <c r="AE267" t="s">
        <v>43</v>
      </c>
      <c r="AG267" t="s">
        <v>43</v>
      </c>
      <c r="AH267" t="s">
        <v>43</v>
      </c>
      <c r="AI267" t="s">
        <v>43</v>
      </c>
      <c r="AJ267" t="s">
        <v>43</v>
      </c>
      <c r="AL267" s="33"/>
    </row>
    <row r="268" spans="1:38" ht="15" x14ac:dyDescent="0.25">
      <c r="B268" s="33" t="s">
        <v>46</v>
      </c>
      <c r="C268" s="33"/>
      <c r="D268" t="s">
        <v>43</v>
      </c>
      <c r="E268">
        <f t="shared" si="75"/>
        <v>4.5999999999999999E-2</v>
      </c>
      <c r="F268" t="s">
        <v>43</v>
      </c>
      <c r="G268">
        <v>45</v>
      </c>
      <c r="H268" t="s">
        <v>43</v>
      </c>
      <c r="I268">
        <v>4</v>
      </c>
      <c r="J268" s="12">
        <f>((M268*(E268/I268)*24)/1000)/E268</f>
        <v>1.7819999999999998</v>
      </c>
      <c r="L268">
        <v>127</v>
      </c>
      <c r="M268">
        <v>297</v>
      </c>
      <c r="N268">
        <v>30</v>
      </c>
      <c r="O268">
        <v>74</v>
      </c>
      <c r="P268" t="s">
        <v>43</v>
      </c>
      <c r="Q268" t="s">
        <v>43</v>
      </c>
      <c r="R268">
        <v>88</v>
      </c>
      <c r="S268">
        <v>68</v>
      </c>
      <c r="T268" t="s">
        <v>43</v>
      </c>
      <c r="U268" t="s">
        <v>43</v>
      </c>
      <c r="Y268" t="s">
        <v>43</v>
      </c>
      <c r="Z268" t="s">
        <v>43</v>
      </c>
      <c r="AA268" t="s">
        <v>43</v>
      </c>
      <c r="AB268" t="s">
        <v>43</v>
      </c>
      <c r="AC268" t="s">
        <v>43</v>
      </c>
      <c r="AD268" t="s">
        <v>43</v>
      </c>
      <c r="AE268" t="s">
        <v>43</v>
      </c>
      <c r="AG268" t="s">
        <v>43</v>
      </c>
      <c r="AH268" t="s">
        <v>43</v>
      </c>
      <c r="AI268" t="s">
        <v>43</v>
      </c>
      <c r="AJ268" t="s">
        <v>43</v>
      </c>
      <c r="AL268" s="33"/>
    </row>
  </sheetData>
  <mergeCells count="308">
    <mergeCell ref="AL227:AL228"/>
    <mergeCell ref="B221:C221"/>
    <mergeCell ref="B222:C222"/>
    <mergeCell ref="B223:C223"/>
    <mergeCell ref="B224:C224"/>
    <mergeCell ref="B225:C225"/>
    <mergeCell ref="B226:C226"/>
    <mergeCell ref="AL218:AL226"/>
    <mergeCell ref="B227:C227"/>
    <mergeCell ref="B228:C228"/>
    <mergeCell ref="B213:C213"/>
    <mergeCell ref="B214:C214"/>
    <mergeCell ref="B215:C215"/>
    <mergeCell ref="B216:C216"/>
    <mergeCell ref="AL211:AL216"/>
    <mergeCell ref="B217:C217"/>
    <mergeCell ref="B218:C218"/>
    <mergeCell ref="B219:C219"/>
    <mergeCell ref="B220:C220"/>
    <mergeCell ref="B205:C205"/>
    <mergeCell ref="B206:C206"/>
    <mergeCell ref="B207:C207"/>
    <mergeCell ref="B208:C208"/>
    <mergeCell ref="AL207:AL208"/>
    <mergeCell ref="B209:C209"/>
    <mergeCell ref="B210:C210"/>
    <mergeCell ref="B211:C211"/>
    <mergeCell ref="B212:C212"/>
    <mergeCell ref="B195:C195"/>
    <mergeCell ref="B196:C196"/>
    <mergeCell ref="B197:C197"/>
    <mergeCell ref="AL192:AL197"/>
    <mergeCell ref="B198:C198"/>
    <mergeCell ref="B202:C202"/>
    <mergeCell ref="B203:C203"/>
    <mergeCell ref="B204:C204"/>
    <mergeCell ref="AL202:AL204"/>
    <mergeCell ref="AL199:AL201"/>
    <mergeCell ref="B200:C200"/>
    <mergeCell ref="B201:C201"/>
    <mergeCell ref="B194:C194"/>
    <mergeCell ref="AL118:AL120"/>
    <mergeCell ref="B116:C116"/>
    <mergeCell ref="AL107:AL117"/>
    <mergeCell ref="B118:C118"/>
    <mergeCell ref="B119:C119"/>
    <mergeCell ref="B117:C117"/>
    <mergeCell ref="B121:C121"/>
    <mergeCell ref="B115:C115"/>
    <mergeCell ref="B120:C120"/>
    <mergeCell ref="B107:C107"/>
    <mergeCell ref="B113:C113"/>
    <mergeCell ref="B112:C112"/>
    <mergeCell ref="B111:C111"/>
    <mergeCell ref="B110:C110"/>
    <mergeCell ref="B114:C114"/>
    <mergeCell ref="B109:C109"/>
    <mergeCell ref="B104:C104"/>
    <mergeCell ref="B105:C105"/>
    <mergeCell ref="B106:C106"/>
    <mergeCell ref="AL98:AL106"/>
    <mergeCell ref="B108:C108"/>
    <mergeCell ref="B99:C99"/>
    <mergeCell ref="B100:C100"/>
    <mergeCell ref="B101:C101"/>
    <mergeCell ref="B102:C102"/>
    <mergeCell ref="B103:C103"/>
    <mergeCell ref="B95:C95"/>
    <mergeCell ref="B96:C96"/>
    <mergeCell ref="AL95:AL96"/>
    <mergeCell ref="B97:C97"/>
    <mergeCell ref="B98:C98"/>
    <mergeCell ref="B91:C91"/>
    <mergeCell ref="B92:C92"/>
    <mergeCell ref="B93:C93"/>
    <mergeCell ref="B94:C94"/>
    <mergeCell ref="AL91:AL94"/>
    <mergeCell ref="B78:C78"/>
    <mergeCell ref="B79:C79"/>
    <mergeCell ref="AL70:AL79"/>
    <mergeCell ref="B80:C80"/>
    <mergeCell ref="B81:C81"/>
    <mergeCell ref="AL80:AL90"/>
    <mergeCell ref="B73:C73"/>
    <mergeCell ref="B74:C74"/>
    <mergeCell ref="B75:C75"/>
    <mergeCell ref="B76:C76"/>
    <mergeCell ref="B77:C77"/>
    <mergeCell ref="B87:C87"/>
    <mergeCell ref="B88:C88"/>
    <mergeCell ref="B89:C89"/>
    <mergeCell ref="B90:C90"/>
    <mergeCell ref="B82:C82"/>
    <mergeCell ref="B83:C83"/>
    <mergeCell ref="B84:C84"/>
    <mergeCell ref="B85:C85"/>
    <mergeCell ref="B86:C86"/>
    <mergeCell ref="B16:C16"/>
    <mergeCell ref="B17:C17"/>
    <mergeCell ref="AL67:AL69"/>
    <mergeCell ref="B70:C70"/>
    <mergeCell ref="B71:C71"/>
    <mergeCell ref="B72:C72"/>
    <mergeCell ref="B65:C65"/>
    <mergeCell ref="B66:C66"/>
    <mergeCell ref="AL65:AL66"/>
    <mergeCell ref="B67:C67"/>
    <mergeCell ref="B68:C68"/>
    <mergeCell ref="B53:C53"/>
    <mergeCell ref="B54:C54"/>
    <mergeCell ref="AL52:AL54"/>
    <mergeCell ref="B55:C55"/>
    <mergeCell ref="B56:C56"/>
    <mergeCell ref="B51:C51"/>
    <mergeCell ref="B52:C52"/>
    <mergeCell ref="AL23:AL24"/>
    <mergeCell ref="AL25:AL26"/>
    <mergeCell ref="B26:C26"/>
    <mergeCell ref="B35:C35"/>
    <mergeCell ref="B27:C27"/>
    <mergeCell ref="B28:C28"/>
    <mergeCell ref="B29:C29"/>
    <mergeCell ref="AL27:AL29"/>
    <mergeCell ref="B30:C30"/>
    <mergeCell ref="B31:C31"/>
    <mergeCell ref="B25:C25"/>
    <mergeCell ref="B24:C24"/>
    <mergeCell ref="B252:C252"/>
    <mergeCell ref="AL252:AL265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40:C240"/>
    <mergeCell ref="B241:C241"/>
    <mergeCell ref="B242:C242"/>
    <mergeCell ref="B18:C18"/>
    <mergeCell ref="B8:C8"/>
    <mergeCell ref="B9:C9"/>
    <mergeCell ref="B22:C22"/>
    <mergeCell ref="B23:C23"/>
    <mergeCell ref="AL12:AL14"/>
    <mergeCell ref="AL15:AL16"/>
    <mergeCell ref="AL17:AL18"/>
    <mergeCell ref="AL19:AL21"/>
    <mergeCell ref="B19:C19"/>
    <mergeCell ref="B21:C21"/>
    <mergeCell ref="AL4:AL9"/>
    <mergeCell ref="B11:C11"/>
    <mergeCell ref="AL10:AL11"/>
    <mergeCell ref="B10:C10"/>
    <mergeCell ref="B4:C4"/>
    <mergeCell ref="B5:C5"/>
    <mergeCell ref="B6:C6"/>
    <mergeCell ref="B7:C7"/>
    <mergeCell ref="B14:C14"/>
    <mergeCell ref="B20:C20"/>
    <mergeCell ref="B12:C12"/>
    <mergeCell ref="B13:C13"/>
    <mergeCell ref="B15:C15"/>
    <mergeCell ref="B244:C244"/>
    <mergeCell ref="B245:C245"/>
    <mergeCell ref="B235:C235"/>
    <mergeCell ref="B236:C236"/>
    <mergeCell ref="B237:C237"/>
    <mergeCell ref="B238:C238"/>
    <mergeCell ref="B239:C239"/>
    <mergeCell ref="B246:C246"/>
    <mergeCell ref="B2:C2"/>
    <mergeCell ref="B3:C3"/>
    <mergeCell ref="B199:C199"/>
    <mergeCell ref="B243:C243"/>
    <mergeCell ref="B229:C229"/>
    <mergeCell ref="B122:C122"/>
    <mergeCell ref="B123:C123"/>
    <mergeCell ref="B124:C124"/>
    <mergeCell ref="B48:C48"/>
    <mergeCell ref="B69:C69"/>
    <mergeCell ref="B140:C140"/>
    <mergeCell ref="B141:C141"/>
    <mergeCell ref="B142:C142"/>
    <mergeCell ref="B143:C143"/>
    <mergeCell ref="B170:C170"/>
    <mergeCell ref="B171:C171"/>
    <mergeCell ref="AL229:AL245"/>
    <mergeCell ref="B230:C230"/>
    <mergeCell ref="B231:C231"/>
    <mergeCell ref="B232:C232"/>
    <mergeCell ref="B233:C233"/>
    <mergeCell ref="B234:C234"/>
    <mergeCell ref="B32:C32"/>
    <mergeCell ref="B33:C33"/>
    <mergeCell ref="B34:C34"/>
    <mergeCell ref="AL30:AL34"/>
    <mergeCell ref="B47:C47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AL36:AL45"/>
    <mergeCell ref="AL46:AL47"/>
    <mergeCell ref="B46:C46"/>
    <mergeCell ref="AL48:AL50"/>
    <mergeCell ref="B49:C49"/>
    <mergeCell ref="B50:C50"/>
    <mergeCell ref="AL58:AL61"/>
    <mergeCell ref="B62:C62"/>
    <mergeCell ref="B63:C63"/>
    <mergeCell ref="B64:C64"/>
    <mergeCell ref="AL62:AL64"/>
    <mergeCell ref="B57:C57"/>
    <mergeCell ref="B58:C58"/>
    <mergeCell ref="B59:C59"/>
    <mergeCell ref="B60:C60"/>
    <mergeCell ref="B61:C61"/>
    <mergeCell ref="AL139:AL143"/>
    <mergeCell ref="B131:C131"/>
    <mergeCell ref="B132:C132"/>
    <mergeCell ref="B133:C133"/>
    <mergeCell ref="AL123:AL133"/>
    <mergeCell ref="B134:C134"/>
    <mergeCell ref="B135:C135"/>
    <mergeCell ref="B136:C136"/>
    <mergeCell ref="AL134:AL136"/>
    <mergeCell ref="B125:C125"/>
    <mergeCell ref="B126:C126"/>
    <mergeCell ref="B127:C127"/>
    <mergeCell ref="B128:C128"/>
    <mergeCell ref="B129:C129"/>
    <mergeCell ref="B130:C130"/>
    <mergeCell ref="B137:C137"/>
    <mergeCell ref="B138:C138"/>
    <mergeCell ref="B139:C139"/>
    <mergeCell ref="B266:C266"/>
    <mergeCell ref="B267:C267"/>
    <mergeCell ref="B268:C268"/>
    <mergeCell ref="AL266:AL268"/>
    <mergeCell ref="B144:C144"/>
    <mergeCell ref="B145:C145"/>
    <mergeCell ref="B146:C146"/>
    <mergeCell ref="B147:C147"/>
    <mergeCell ref="B148:C148"/>
    <mergeCell ref="B155:C155"/>
    <mergeCell ref="AL155:AL157"/>
    <mergeCell ref="B158:C158"/>
    <mergeCell ref="B159:C159"/>
    <mergeCell ref="B160:C160"/>
    <mergeCell ref="B161:C161"/>
    <mergeCell ref="B162:C162"/>
    <mergeCell ref="B163:C163"/>
    <mergeCell ref="B149:C149"/>
    <mergeCell ref="B150:C150"/>
    <mergeCell ref="AL146:AL150"/>
    <mergeCell ref="B151:C151"/>
    <mergeCell ref="B152:C152"/>
    <mergeCell ref="B153:C153"/>
    <mergeCell ref="B154:C154"/>
    <mergeCell ref="AL152:AL154"/>
    <mergeCell ref="B156:C156"/>
    <mergeCell ref="B164:C164"/>
    <mergeCell ref="B165:C165"/>
    <mergeCell ref="B166:C166"/>
    <mergeCell ref="AL159:AL166"/>
    <mergeCell ref="B167:C167"/>
    <mergeCell ref="B168:C168"/>
    <mergeCell ref="B169:C169"/>
    <mergeCell ref="B157:C157"/>
    <mergeCell ref="B172:C172"/>
    <mergeCell ref="B173:C173"/>
    <mergeCell ref="B174:C174"/>
    <mergeCell ref="AL167:AL174"/>
    <mergeCell ref="B175:C175"/>
    <mergeCell ref="B176:C176"/>
    <mergeCell ref="AL175:AL176"/>
    <mergeCell ref="B177:C177"/>
    <mergeCell ref="B178:C178"/>
    <mergeCell ref="B187:C187"/>
    <mergeCell ref="B188:C188"/>
    <mergeCell ref="B189:C189"/>
    <mergeCell ref="B190:C190"/>
    <mergeCell ref="B191:C191"/>
    <mergeCell ref="AL182:AL191"/>
    <mergeCell ref="B192:C192"/>
    <mergeCell ref="B193:C193"/>
    <mergeCell ref="B179:C179"/>
    <mergeCell ref="B180:C180"/>
    <mergeCell ref="AL179:AL180"/>
    <mergeCell ref="B182:C182"/>
    <mergeCell ref="B181:C181"/>
    <mergeCell ref="B183:C183"/>
    <mergeCell ref="B184:C184"/>
    <mergeCell ref="B185:C185"/>
    <mergeCell ref="B186:C186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38869-943B-4EEA-89C9-D3D83242BF62}">
  <dimension ref="B2:AI77"/>
  <sheetViews>
    <sheetView topLeftCell="B1" workbookViewId="0">
      <selection activeCell="H16" sqref="H16"/>
    </sheetView>
  </sheetViews>
  <sheetFormatPr defaultRowHeight="14.25" x14ac:dyDescent="0.2"/>
  <cols>
    <col min="11" max="11" width="4.5" customWidth="1"/>
    <col min="22" max="22" width="2.375" customWidth="1"/>
    <col min="23" max="23" width="11.625" customWidth="1"/>
    <col min="24" max="24" width="17.5" customWidth="1"/>
    <col min="25" max="25" width="15.5" customWidth="1"/>
    <col min="26" max="26" width="13.125" customWidth="1"/>
    <col min="27" max="27" width="23.375" customWidth="1"/>
    <col min="28" max="28" width="14.625" customWidth="1"/>
    <col min="29" max="29" width="2" customWidth="1"/>
    <col min="30" max="30" width="13.5" customWidth="1"/>
    <col min="31" max="31" width="11.75" customWidth="1"/>
    <col min="32" max="32" width="10.875" customWidth="1"/>
    <col min="33" max="33" width="11.875" customWidth="1"/>
    <col min="34" max="34" width="1.5" customWidth="1"/>
    <col min="35" max="35" width="14.875" customWidth="1"/>
  </cols>
  <sheetData>
    <row r="2" spans="2:35" ht="45.75" customHeight="1" x14ac:dyDescent="0.2">
      <c r="B2" s="33" t="s">
        <v>14</v>
      </c>
      <c r="C2" s="33"/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W2" s="4" t="s">
        <v>32</v>
      </c>
      <c r="X2" s="4" t="s">
        <v>33</v>
      </c>
      <c r="Y2" s="4" t="s">
        <v>34</v>
      </c>
      <c r="Z2" s="4" t="s">
        <v>35</v>
      </c>
      <c r="AA2" s="4" t="s">
        <v>36</v>
      </c>
      <c r="AB2" s="4" t="s">
        <v>37</v>
      </c>
      <c r="AD2" s="4" t="s">
        <v>38</v>
      </c>
      <c r="AE2" s="4" t="s">
        <v>39</v>
      </c>
      <c r="AF2" s="4" t="s">
        <v>40</v>
      </c>
      <c r="AG2" s="4" t="s">
        <v>41</v>
      </c>
      <c r="AI2" s="4" t="s">
        <v>42</v>
      </c>
    </row>
    <row r="3" spans="2:35" x14ac:dyDescent="0.2">
      <c r="B3" s="33" t="s">
        <v>209</v>
      </c>
      <c r="C3" s="33"/>
      <c r="D3" t="s">
        <v>210</v>
      </c>
      <c r="E3" t="s">
        <v>211</v>
      </c>
      <c r="F3">
        <v>22</v>
      </c>
      <c r="G3">
        <v>32</v>
      </c>
      <c r="I3" t="s">
        <v>212</v>
      </c>
      <c r="L3">
        <v>220</v>
      </c>
      <c r="M3">
        <v>381</v>
      </c>
      <c r="O3" s="9">
        <v>76.400000000000006</v>
      </c>
      <c r="P3" s="9"/>
      <c r="Q3" s="9">
        <v>76.3</v>
      </c>
      <c r="R3" s="9"/>
      <c r="S3" s="9">
        <v>64.2</v>
      </c>
      <c r="T3" s="9"/>
      <c r="U3" s="9">
        <v>85.258964143426297</v>
      </c>
      <c r="X3" s="2" t="s">
        <v>213</v>
      </c>
      <c r="Y3" s="2" t="s">
        <v>213</v>
      </c>
      <c r="Z3" s="2"/>
      <c r="AA3" s="2"/>
      <c r="AB3" s="2"/>
      <c r="AC3" s="2"/>
      <c r="AD3" s="2"/>
      <c r="AE3" s="2"/>
      <c r="AF3" s="2"/>
      <c r="AG3" s="2"/>
      <c r="AI3" s="33" t="s">
        <v>63</v>
      </c>
    </row>
    <row r="4" spans="2:35" x14ac:dyDescent="0.2">
      <c r="B4" s="33" t="s">
        <v>209</v>
      </c>
      <c r="C4" s="33"/>
      <c r="D4" t="s">
        <v>210</v>
      </c>
      <c r="E4" t="s">
        <v>211</v>
      </c>
      <c r="F4">
        <v>21</v>
      </c>
      <c r="G4">
        <v>29</v>
      </c>
      <c r="I4" t="s">
        <v>214</v>
      </c>
      <c r="J4">
        <v>0.6</v>
      </c>
      <c r="L4">
        <v>234</v>
      </c>
      <c r="M4">
        <v>401</v>
      </c>
      <c r="O4" s="9">
        <v>86.7</v>
      </c>
      <c r="P4" s="9"/>
      <c r="Q4" s="9">
        <v>84.5</v>
      </c>
      <c r="R4" s="9"/>
      <c r="S4" s="9">
        <v>64.599999999999994</v>
      </c>
      <c r="T4" s="9"/>
      <c r="U4" s="9">
        <v>86.122448979591837</v>
      </c>
      <c r="X4" s="2"/>
      <c r="Y4" s="2"/>
      <c r="Z4" s="2"/>
      <c r="AA4" s="2"/>
      <c r="AB4" s="2"/>
      <c r="AC4" s="2"/>
      <c r="AD4" s="2"/>
      <c r="AE4" s="2"/>
      <c r="AF4" s="2"/>
      <c r="AG4" s="2"/>
      <c r="AI4" s="33"/>
    </row>
    <row r="5" spans="2:35" x14ac:dyDescent="0.2">
      <c r="B5" s="33" t="s">
        <v>209</v>
      </c>
      <c r="C5" s="33"/>
      <c r="D5" t="s">
        <v>210</v>
      </c>
      <c r="E5" t="s">
        <v>211</v>
      </c>
      <c r="F5">
        <v>18</v>
      </c>
      <c r="G5">
        <v>20</v>
      </c>
      <c r="I5" t="s">
        <v>215</v>
      </c>
      <c r="J5">
        <v>0.7</v>
      </c>
      <c r="L5">
        <v>193</v>
      </c>
      <c r="M5">
        <v>281</v>
      </c>
      <c r="O5" s="9">
        <v>89.1</v>
      </c>
      <c r="P5" s="9"/>
      <c r="Q5" s="9">
        <v>86.2</v>
      </c>
      <c r="R5" s="9"/>
      <c r="S5" s="9">
        <v>63.5</v>
      </c>
      <c r="T5" s="9"/>
      <c r="U5" s="9">
        <v>89.502762430939228</v>
      </c>
      <c r="X5" s="2"/>
      <c r="Y5" s="2"/>
      <c r="Z5" s="2"/>
      <c r="AA5" s="2"/>
      <c r="AB5" s="2"/>
      <c r="AC5" s="2"/>
      <c r="AD5" s="2"/>
      <c r="AE5" s="2"/>
      <c r="AF5" s="2"/>
      <c r="AG5" s="2"/>
      <c r="AI5" s="33"/>
    </row>
    <row r="6" spans="2:35" x14ac:dyDescent="0.2">
      <c r="B6" s="33" t="s">
        <v>209</v>
      </c>
      <c r="C6" s="33"/>
      <c r="D6" t="s">
        <v>210</v>
      </c>
      <c r="E6" t="s">
        <v>211</v>
      </c>
      <c r="F6">
        <v>17</v>
      </c>
      <c r="G6">
        <v>18</v>
      </c>
      <c r="I6" t="s">
        <v>216</v>
      </c>
      <c r="J6">
        <v>0.3</v>
      </c>
      <c r="L6">
        <v>135</v>
      </c>
      <c r="M6">
        <v>201</v>
      </c>
      <c r="O6" s="9">
        <v>86.4</v>
      </c>
      <c r="P6" s="9"/>
      <c r="Q6" s="9">
        <v>82.3</v>
      </c>
      <c r="R6" s="9"/>
      <c r="S6" s="9">
        <v>49.3</v>
      </c>
      <c r="T6" s="9"/>
      <c r="U6" s="9">
        <v>87.288135593220346</v>
      </c>
      <c r="X6" s="2"/>
      <c r="Y6" s="2"/>
      <c r="Z6" s="2"/>
      <c r="AA6" s="2"/>
      <c r="AB6" s="2"/>
      <c r="AC6" s="2"/>
      <c r="AD6" s="2"/>
      <c r="AE6" s="2"/>
      <c r="AF6" s="2"/>
      <c r="AG6" s="2"/>
      <c r="AI6" s="33"/>
    </row>
    <row r="7" spans="2:35" x14ac:dyDescent="0.2">
      <c r="B7" s="33" t="s">
        <v>209</v>
      </c>
      <c r="C7" s="33"/>
      <c r="D7" t="s">
        <v>210</v>
      </c>
      <c r="E7" t="s">
        <v>211</v>
      </c>
      <c r="F7">
        <v>14</v>
      </c>
      <c r="G7">
        <v>26</v>
      </c>
      <c r="I7" t="s">
        <v>217</v>
      </c>
      <c r="J7">
        <v>0.2</v>
      </c>
      <c r="L7">
        <v>102</v>
      </c>
      <c r="M7">
        <v>118</v>
      </c>
      <c r="O7" s="9">
        <v>81.099999999999994</v>
      </c>
      <c r="P7" s="9"/>
      <c r="Q7" s="9">
        <v>73.099999999999994</v>
      </c>
      <c r="R7" s="9"/>
      <c r="S7" s="9">
        <v>53.3</v>
      </c>
      <c r="T7" s="9"/>
      <c r="U7" s="9">
        <v>70.769230769230774</v>
      </c>
      <c r="X7" s="2"/>
      <c r="Y7" s="2"/>
      <c r="Z7" s="2"/>
      <c r="AA7" s="2"/>
      <c r="AB7" s="2"/>
      <c r="AC7" s="2"/>
      <c r="AD7" s="2"/>
      <c r="AE7" s="2"/>
      <c r="AF7" s="2"/>
      <c r="AG7" s="2"/>
      <c r="AI7" s="33"/>
    </row>
    <row r="8" spans="2:35" x14ac:dyDescent="0.2">
      <c r="B8" s="33" t="s">
        <v>209</v>
      </c>
      <c r="C8" s="33"/>
      <c r="D8" t="s">
        <v>218</v>
      </c>
      <c r="E8" t="s">
        <v>219</v>
      </c>
      <c r="F8">
        <v>26.3</v>
      </c>
      <c r="G8">
        <v>365</v>
      </c>
      <c r="I8" t="s">
        <v>220</v>
      </c>
      <c r="J8" s="2"/>
      <c r="L8">
        <v>376</v>
      </c>
      <c r="M8">
        <v>1505</v>
      </c>
      <c r="O8">
        <v>46</v>
      </c>
      <c r="Q8">
        <v>47</v>
      </c>
      <c r="S8">
        <v>53</v>
      </c>
      <c r="U8" s="9">
        <v>55.481727574750828</v>
      </c>
      <c r="X8" s="2"/>
      <c r="Y8" s="2"/>
      <c r="Z8" s="2"/>
      <c r="AA8" s="2"/>
      <c r="AB8" s="2"/>
      <c r="AC8" s="2"/>
      <c r="AD8" s="2"/>
      <c r="AE8" s="2"/>
      <c r="AF8" s="2"/>
      <c r="AG8" s="2"/>
      <c r="AI8" t="s">
        <v>221</v>
      </c>
    </row>
    <row r="9" spans="2:35" x14ac:dyDescent="0.2">
      <c r="B9" s="33" t="s">
        <v>209</v>
      </c>
      <c r="C9" s="33"/>
      <c r="D9" t="s">
        <v>218</v>
      </c>
      <c r="E9" t="s">
        <v>219</v>
      </c>
      <c r="F9">
        <v>18</v>
      </c>
      <c r="G9">
        <v>365</v>
      </c>
      <c r="I9" t="s">
        <v>220</v>
      </c>
      <c r="J9" s="2"/>
      <c r="L9">
        <v>417</v>
      </c>
      <c r="M9">
        <v>1650</v>
      </c>
      <c r="O9">
        <v>41</v>
      </c>
      <c r="Q9">
        <v>42</v>
      </c>
      <c r="S9">
        <v>50</v>
      </c>
      <c r="U9" s="9">
        <v>61.810466760961816</v>
      </c>
      <c r="X9" s="2"/>
      <c r="Y9" s="2"/>
      <c r="Z9" s="2"/>
      <c r="AA9" s="2"/>
      <c r="AB9" s="2"/>
      <c r="AC9" s="2"/>
      <c r="AD9" s="2"/>
      <c r="AE9" s="2"/>
      <c r="AF9" s="2"/>
      <c r="AG9" s="2"/>
      <c r="AI9" t="s">
        <v>221</v>
      </c>
    </row>
    <row r="10" spans="2:35" x14ac:dyDescent="0.2">
      <c r="M10" s="9"/>
      <c r="N10" s="9"/>
      <c r="O10" s="9"/>
      <c r="P10" s="9"/>
      <c r="S10" s="9"/>
      <c r="T10" s="9"/>
    </row>
    <row r="11" spans="2:35" ht="15" x14ac:dyDescent="0.25">
      <c r="B11" s="34" t="s">
        <v>222</v>
      </c>
      <c r="C11" s="34"/>
      <c r="E11" t="s">
        <v>223</v>
      </c>
      <c r="F11">
        <v>18</v>
      </c>
      <c r="G11" s="3">
        <v>28</v>
      </c>
      <c r="H11" s="3"/>
      <c r="I11" t="s">
        <v>224</v>
      </c>
      <c r="J11" s="3">
        <v>0.95</v>
      </c>
      <c r="L11" t="s">
        <v>43</v>
      </c>
      <c r="M11" s="9">
        <v>677</v>
      </c>
      <c r="N11" s="9"/>
      <c r="O11" s="7" t="s">
        <v>43</v>
      </c>
      <c r="P11" s="7"/>
      <c r="Q11" s="3" t="s">
        <v>43</v>
      </c>
      <c r="R11" s="3"/>
      <c r="S11" s="7">
        <v>79.7</v>
      </c>
      <c r="T11" s="7"/>
      <c r="U11" s="3" t="s">
        <v>43</v>
      </c>
      <c r="Y11" s="10" t="s">
        <v>43</v>
      </c>
      <c r="Z11" s="10"/>
      <c r="AA11" s="15" t="s">
        <v>43</v>
      </c>
      <c r="AB11" s="10" t="s">
        <v>43</v>
      </c>
      <c r="AD11">
        <v>109</v>
      </c>
      <c r="AG11" s="13">
        <v>0.2</v>
      </c>
      <c r="AI11" s="37" t="s">
        <v>225</v>
      </c>
    </row>
    <row r="12" spans="2:35" ht="15" x14ac:dyDescent="0.25">
      <c r="B12" s="34" t="s">
        <v>222</v>
      </c>
      <c r="C12" s="34"/>
      <c r="E12" t="s">
        <v>223</v>
      </c>
      <c r="F12">
        <v>18</v>
      </c>
      <c r="G12" s="3">
        <v>32</v>
      </c>
      <c r="H12" s="3"/>
      <c r="I12" t="s">
        <v>226</v>
      </c>
      <c r="J12" s="3">
        <v>0.91</v>
      </c>
      <c r="L12" t="s">
        <v>43</v>
      </c>
      <c r="M12" s="9">
        <v>610</v>
      </c>
      <c r="N12" s="9"/>
      <c r="O12" s="7" t="s">
        <v>43</v>
      </c>
      <c r="P12" s="7"/>
      <c r="Q12" s="3" t="s">
        <v>43</v>
      </c>
      <c r="R12" s="3"/>
      <c r="S12" s="7">
        <v>80.900000000000006</v>
      </c>
      <c r="T12" s="7"/>
      <c r="U12" s="3" t="s">
        <v>43</v>
      </c>
      <c r="Y12" s="10" t="s">
        <v>43</v>
      </c>
      <c r="Z12" s="10"/>
      <c r="AA12" s="15" t="s">
        <v>43</v>
      </c>
      <c r="AB12" s="10" t="s">
        <v>43</v>
      </c>
      <c r="AD12">
        <v>101</v>
      </c>
      <c r="AG12" s="13">
        <v>0.2</v>
      </c>
      <c r="AI12" s="37"/>
    </row>
    <row r="13" spans="2:35" ht="15" x14ac:dyDescent="0.25">
      <c r="B13" s="34" t="s">
        <v>222</v>
      </c>
      <c r="C13" s="34"/>
      <c r="E13" t="s">
        <v>223</v>
      </c>
      <c r="F13">
        <v>18</v>
      </c>
      <c r="G13" s="3">
        <v>36</v>
      </c>
      <c r="H13" s="3"/>
      <c r="I13" t="s">
        <v>227</v>
      </c>
      <c r="J13" s="3">
        <v>0.81</v>
      </c>
      <c r="L13" t="s">
        <v>43</v>
      </c>
      <c r="M13" s="9">
        <v>476</v>
      </c>
      <c r="N13" s="9"/>
      <c r="O13" s="7" t="s">
        <v>43</v>
      </c>
      <c r="P13" s="7"/>
      <c r="Q13" s="3" t="s">
        <v>43</v>
      </c>
      <c r="R13" s="3"/>
      <c r="S13" s="7">
        <v>75.099999999999994</v>
      </c>
      <c r="T13" s="7"/>
      <c r="U13" s="3" t="s">
        <v>43</v>
      </c>
      <c r="Y13" s="10" t="s">
        <v>43</v>
      </c>
      <c r="Z13" s="10"/>
      <c r="AA13" s="15" t="s">
        <v>43</v>
      </c>
      <c r="AB13" s="10" t="s">
        <v>43</v>
      </c>
      <c r="AD13">
        <v>70</v>
      </c>
      <c r="AG13" s="13">
        <v>0.2</v>
      </c>
      <c r="AI13" s="37"/>
    </row>
    <row r="14" spans="2:35" ht="15" x14ac:dyDescent="0.25">
      <c r="B14" s="34" t="s">
        <v>222</v>
      </c>
      <c r="C14" s="34"/>
      <c r="E14" t="s">
        <v>223</v>
      </c>
      <c r="F14">
        <v>18</v>
      </c>
      <c r="G14" s="3">
        <v>27</v>
      </c>
      <c r="H14" s="3"/>
      <c r="I14" t="s">
        <v>228</v>
      </c>
      <c r="J14" s="3">
        <v>0.84</v>
      </c>
      <c r="L14" t="s">
        <v>43</v>
      </c>
      <c r="M14" s="9">
        <v>462</v>
      </c>
      <c r="N14" s="9"/>
      <c r="O14" s="7" t="s">
        <v>43</v>
      </c>
      <c r="P14" s="7"/>
      <c r="Q14" s="3" t="s">
        <v>43</v>
      </c>
      <c r="R14" s="3"/>
      <c r="S14" s="7">
        <v>74.2</v>
      </c>
      <c r="T14" s="7"/>
      <c r="U14" s="3" t="s">
        <v>43</v>
      </c>
      <c r="Y14" s="10" t="s">
        <v>43</v>
      </c>
      <c r="Z14" s="10"/>
      <c r="AA14" s="15" t="s">
        <v>43</v>
      </c>
      <c r="AB14" s="10" t="s">
        <v>43</v>
      </c>
      <c r="AD14">
        <v>53</v>
      </c>
      <c r="AG14" s="13">
        <v>0.15</v>
      </c>
      <c r="AI14" s="37"/>
    </row>
    <row r="15" spans="2:35" ht="15" x14ac:dyDescent="0.25">
      <c r="B15" s="34" t="s">
        <v>222</v>
      </c>
      <c r="C15" s="34"/>
      <c r="E15" t="s">
        <v>223</v>
      </c>
      <c r="F15">
        <v>18</v>
      </c>
      <c r="G15" s="3">
        <v>100</v>
      </c>
      <c r="H15" s="3"/>
      <c r="I15" t="s">
        <v>229</v>
      </c>
      <c r="J15" s="3">
        <v>0.98</v>
      </c>
      <c r="L15" t="s">
        <v>43</v>
      </c>
      <c r="M15" s="9">
        <v>531</v>
      </c>
      <c r="N15" s="9"/>
      <c r="O15" s="7" t="s">
        <v>43</v>
      </c>
      <c r="P15" s="7"/>
      <c r="Q15" s="3" t="s">
        <v>43</v>
      </c>
      <c r="R15" s="3"/>
      <c r="S15" s="7">
        <v>76</v>
      </c>
      <c r="T15" s="7"/>
      <c r="U15" s="3" t="s">
        <v>43</v>
      </c>
      <c r="Y15" s="10" t="s">
        <v>43</v>
      </c>
      <c r="Z15" s="10"/>
      <c r="AA15" s="15" t="s">
        <v>43</v>
      </c>
      <c r="AB15" s="10" t="s">
        <v>43</v>
      </c>
      <c r="AD15">
        <v>62</v>
      </c>
      <c r="AG15" s="13">
        <v>0.16</v>
      </c>
      <c r="AI15" s="37"/>
    </row>
    <row r="16" spans="2:35" ht="15" x14ac:dyDescent="0.25">
      <c r="B16" s="34" t="s">
        <v>222</v>
      </c>
      <c r="C16" s="34"/>
      <c r="E16" t="s">
        <v>223</v>
      </c>
      <c r="F16">
        <v>18</v>
      </c>
      <c r="G16" s="3">
        <v>28</v>
      </c>
      <c r="H16" s="3"/>
      <c r="I16" t="s">
        <v>229</v>
      </c>
      <c r="J16" s="3">
        <v>1.91</v>
      </c>
      <c r="L16" t="s">
        <v>43</v>
      </c>
      <c r="M16" s="9">
        <v>1035</v>
      </c>
      <c r="N16" s="9"/>
      <c r="O16" s="7" t="s">
        <v>43</v>
      </c>
      <c r="P16" s="7"/>
      <c r="Q16" s="3" t="s">
        <v>43</v>
      </c>
      <c r="R16" s="3"/>
      <c r="S16" s="7">
        <v>88.5</v>
      </c>
      <c r="T16" s="7"/>
      <c r="U16" s="3" t="s">
        <v>43</v>
      </c>
      <c r="Y16" s="10" t="s">
        <v>43</v>
      </c>
      <c r="Z16" s="10"/>
      <c r="AA16" s="15" t="s">
        <v>43</v>
      </c>
      <c r="AB16" s="10" t="s">
        <v>43</v>
      </c>
      <c r="AD16">
        <v>194</v>
      </c>
      <c r="AG16" s="13">
        <v>0.21</v>
      </c>
      <c r="AI16" s="37"/>
    </row>
    <row r="17" spans="2:35" ht="15" x14ac:dyDescent="0.25">
      <c r="B17" s="34" t="s">
        <v>222</v>
      </c>
      <c r="C17" s="34"/>
      <c r="E17" t="s">
        <v>223</v>
      </c>
      <c r="F17">
        <v>18</v>
      </c>
      <c r="G17" s="3">
        <v>23</v>
      </c>
      <c r="H17" s="3"/>
      <c r="I17" t="s">
        <v>230</v>
      </c>
      <c r="J17" s="3">
        <v>2.61</v>
      </c>
      <c r="L17" t="s">
        <v>43</v>
      </c>
      <c r="M17" s="9">
        <v>1218</v>
      </c>
      <c r="N17" s="9"/>
      <c r="O17" s="7" t="s">
        <v>43</v>
      </c>
      <c r="P17" s="7"/>
      <c r="Q17" s="3" t="s">
        <v>43</v>
      </c>
      <c r="R17" s="3"/>
      <c r="S17" s="7">
        <v>90.1</v>
      </c>
      <c r="T17" s="7"/>
      <c r="U17" s="3" t="s">
        <v>43</v>
      </c>
      <c r="Y17" s="10" t="s">
        <v>43</v>
      </c>
      <c r="Z17" s="10"/>
      <c r="AA17" s="15" t="s">
        <v>43</v>
      </c>
      <c r="AB17" s="10" t="s">
        <v>43</v>
      </c>
      <c r="AD17">
        <v>309</v>
      </c>
      <c r="AG17" s="13">
        <v>0.28000000000000003</v>
      </c>
      <c r="AI17" s="37"/>
    </row>
    <row r="18" spans="2:35" ht="15" x14ac:dyDescent="0.25">
      <c r="B18" s="34" t="s">
        <v>222</v>
      </c>
      <c r="C18" s="34"/>
      <c r="E18" t="s">
        <v>223</v>
      </c>
      <c r="F18">
        <v>18</v>
      </c>
      <c r="G18" s="3">
        <v>32</v>
      </c>
      <c r="H18" s="3"/>
      <c r="I18" t="s">
        <v>231</v>
      </c>
      <c r="J18" s="3">
        <v>2</v>
      </c>
      <c r="L18" t="s">
        <v>43</v>
      </c>
      <c r="M18" s="9">
        <v>1117</v>
      </c>
      <c r="N18" s="9"/>
      <c r="O18" s="7" t="s">
        <v>43</v>
      </c>
      <c r="P18" s="7"/>
      <c r="Q18" s="3" t="s">
        <v>43</v>
      </c>
      <c r="R18" s="3"/>
      <c r="S18" s="7">
        <v>89.5</v>
      </c>
      <c r="T18" s="7"/>
      <c r="U18" s="3" t="s">
        <v>43</v>
      </c>
      <c r="Y18" s="10" t="s">
        <v>43</v>
      </c>
      <c r="Z18" s="10"/>
      <c r="AA18" s="15" t="s">
        <v>43</v>
      </c>
      <c r="AB18" s="10" t="s">
        <v>43</v>
      </c>
      <c r="AD18">
        <v>242</v>
      </c>
      <c r="AG18" s="13">
        <v>0.24</v>
      </c>
      <c r="AI18" s="37"/>
    </row>
    <row r="19" spans="2:35" ht="15" x14ac:dyDescent="0.25">
      <c r="B19" s="34" t="s">
        <v>222</v>
      </c>
      <c r="C19" s="34"/>
      <c r="E19" t="s">
        <v>223</v>
      </c>
      <c r="F19">
        <v>18</v>
      </c>
      <c r="G19" s="3">
        <v>28</v>
      </c>
      <c r="H19" s="3"/>
      <c r="I19" t="s">
        <v>232</v>
      </c>
      <c r="J19" s="3">
        <v>2.73</v>
      </c>
      <c r="L19" t="s">
        <v>43</v>
      </c>
      <c r="M19" s="9">
        <v>1138</v>
      </c>
      <c r="N19" s="9"/>
      <c r="O19" s="7" t="s">
        <v>43</v>
      </c>
      <c r="P19" s="7"/>
      <c r="Q19" s="3" t="s">
        <v>43</v>
      </c>
      <c r="R19" s="3"/>
      <c r="S19" s="7">
        <v>89.8</v>
      </c>
      <c r="T19" s="7"/>
      <c r="U19" s="3" t="s">
        <v>43</v>
      </c>
      <c r="Y19" s="10" t="s">
        <v>43</v>
      </c>
      <c r="Z19" s="10"/>
      <c r="AA19" s="15" t="s">
        <v>43</v>
      </c>
      <c r="AB19" s="10" t="s">
        <v>43</v>
      </c>
      <c r="AD19">
        <v>198</v>
      </c>
      <c r="AG19" s="13">
        <v>0.19</v>
      </c>
      <c r="AI19" s="37"/>
    </row>
    <row r="20" spans="2:35" ht="15" x14ac:dyDescent="0.25">
      <c r="B20" s="34" t="s">
        <v>222</v>
      </c>
      <c r="C20" s="34"/>
      <c r="E20" t="s">
        <v>223</v>
      </c>
      <c r="F20">
        <v>18</v>
      </c>
      <c r="G20" s="3">
        <v>57</v>
      </c>
      <c r="H20" s="3"/>
      <c r="I20" t="s">
        <v>233</v>
      </c>
      <c r="J20" s="3">
        <v>3.2</v>
      </c>
      <c r="L20" t="s">
        <v>43</v>
      </c>
      <c r="M20" s="9">
        <v>1013</v>
      </c>
      <c r="N20" s="9"/>
      <c r="O20" s="7" t="s">
        <v>43</v>
      </c>
      <c r="P20" s="7"/>
      <c r="Q20" s="3" t="s">
        <v>43</v>
      </c>
      <c r="R20" s="3"/>
      <c r="S20" s="7">
        <v>82.9</v>
      </c>
      <c r="T20" s="7"/>
      <c r="U20" s="3" t="s">
        <v>43</v>
      </c>
      <c r="Y20" s="10" t="s">
        <v>43</v>
      </c>
      <c r="Z20" s="10"/>
      <c r="AA20" s="15" t="s">
        <v>43</v>
      </c>
      <c r="AB20" s="10" t="s">
        <v>43</v>
      </c>
      <c r="AD20">
        <v>149</v>
      </c>
      <c r="AG20" s="13">
        <v>0.17</v>
      </c>
      <c r="AI20" s="37"/>
    </row>
    <row r="21" spans="2:35" ht="15" x14ac:dyDescent="0.25">
      <c r="B21" s="34" t="s">
        <v>222</v>
      </c>
      <c r="C21" s="34"/>
      <c r="E21" t="s">
        <v>223</v>
      </c>
      <c r="F21">
        <v>18</v>
      </c>
      <c r="G21" s="3">
        <v>29</v>
      </c>
      <c r="H21" s="3"/>
      <c r="I21" t="s">
        <v>234</v>
      </c>
      <c r="J21" s="3">
        <v>4.7</v>
      </c>
      <c r="L21" t="s">
        <v>43</v>
      </c>
      <c r="M21" s="9">
        <v>1371</v>
      </c>
      <c r="N21" s="9"/>
      <c r="O21" s="7" t="s">
        <v>43</v>
      </c>
      <c r="P21" s="7"/>
      <c r="Q21" s="3" t="s">
        <v>43</v>
      </c>
      <c r="R21" s="3"/>
      <c r="S21" s="7">
        <v>82.6</v>
      </c>
      <c r="T21" s="7"/>
      <c r="U21" s="3" t="s">
        <v>43</v>
      </c>
      <c r="Y21" s="10" t="s">
        <v>43</v>
      </c>
      <c r="Z21" s="10"/>
      <c r="AA21" s="15" t="s">
        <v>43</v>
      </c>
      <c r="AB21" s="10" t="s">
        <v>43</v>
      </c>
      <c r="AD21">
        <v>130</v>
      </c>
      <c r="AG21" s="13">
        <v>0.11</v>
      </c>
      <c r="AI21" s="37"/>
    </row>
    <row r="22" spans="2:35" ht="15" x14ac:dyDescent="0.25">
      <c r="B22" s="34" t="s">
        <v>222</v>
      </c>
      <c r="C22" s="34"/>
      <c r="E22" t="s">
        <v>223</v>
      </c>
      <c r="F22">
        <v>18</v>
      </c>
      <c r="G22" s="3">
        <v>26</v>
      </c>
      <c r="H22" s="3"/>
      <c r="I22" t="s">
        <v>234</v>
      </c>
      <c r="J22" s="3">
        <v>2.2000000000000002</v>
      </c>
      <c r="L22" t="s">
        <v>43</v>
      </c>
      <c r="M22" s="9">
        <v>642</v>
      </c>
      <c r="N22" s="9"/>
      <c r="O22" s="7" t="s">
        <v>43</v>
      </c>
      <c r="P22" s="7"/>
      <c r="Q22" s="3" t="s">
        <v>43</v>
      </c>
      <c r="R22" s="3"/>
      <c r="S22" s="7">
        <v>72.900000000000006</v>
      </c>
      <c r="T22" s="7"/>
      <c r="U22" s="3" t="s">
        <v>43</v>
      </c>
      <c r="Y22" s="10" t="s">
        <v>43</v>
      </c>
      <c r="Z22" s="10"/>
      <c r="AA22" s="15" t="s">
        <v>43</v>
      </c>
      <c r="AB22" s="10" t="s">
        <v>43</v>
      </c>
      <c r="AD22">
        <v>90</v>
      </c>
      <c r="AG22" s="13">
        <v>0.17</v>
      </c>
      <c r="AI22" s="37"/>
    </row>
    <row r="23" spans="2:35" ht="15" x14ac:dyDescent="0.25">
      <c r="B23" s="34" t="s">
        <v>222</v>
      </c>
      <c r="C23" s="34"/>
      <c r="E23" t="s">
        <v>223</v>
      </c>
      <c r="F23">
        <v>18</v>
      </c>
      <c r="G23" s="3">
        <v>16</v>
      </c>
      <c r="H23" s="3"/>
      <c r="I23" t="s">
        <v>234</v>
      </c>
      <c r="J23" s="3">
        <v>3.94</v>
      </c>
      <c r="L23" t="s">
        <v>43</v>
      </c>
      <c r="M23" s="9">
        <v>1150</v>
      </c>
      <c r="N23" s="9"/>
      <c r="O23" s="3" t="s">
        <v>43</v>
      </c>
      <c r="P23" s="3"/>
      <c r="Q23" s="3" t="s">
        <v>43</v>
      </c>
      <c r="R23" s="3"/>
      <c r="S23" s="7">
        <v>88.6</v>
      </c>
      <c r="T23" s="7"/>
      <c r="U23" s="3" t="s">
        <v>43</v>
      </c>
      <c r="Y23" s="10" t="s">
        <v>43</v>
      </c>
      <c r="Z23" s="10"/>
      <c r="AA23" s="15" t="s">
        <v>43</v>
      </c>
      <c r="AB23" s="10" t="s">
        <v>43</v>
      </c>
      <c r="AD23">
        <v>97</v>
      </c>
      <c r="AG23" s="13">
        <v>0.1</v>
      </c>
      <c r="AI23" s="37"/>
    </row>
    <row r="24" spans="2:35" ht="15" x14ac:dyDescent="0.25">
      <c r="B24" s="34" t="s">
        <v>222</v>
      </c>
      <c r="C24" s="34"/>
      <c r="E24" s="2" t="s">
        <v>223</v>
      </c>
      <c r="F24" s="2">
        <v>18</v>
      </c>
      <c r="G24" s="10"/>
      <c r="H24" s="10"/>
      <c r="I24" s="2"/>
      <c r="J24" s="10"/>
      <c r="K24" s="2"/>
      <c r="L24" s="2"/>
      <c r="M24" s="11"/>
      <c r="N24" s="11"/>
      <c r="O24" s="10"/>
      <c r="P24" s="10"/>
      <c r="Q24" s="10"/>
      <c r="R24" s="10"/>
      <c r="S24" s="16"/>
      <c r="T24" s="16"/>
      <c r="U24" s="10"/>
      <c r="V24" s="2"/>
      <c r="W24" s="2"/>
      <c r="X24" s="2"/>
      <c r="Y24" s="10"/>
      <c r="Z24" s="10"/>
      <c r="AA24" s="15"/>
      <c r="AB24" s="10"/>
      <c r="AI24" s="37"/>
    </row>
    <row r="25" spans="2:35" ht="15" x14ac:dyDescent="0.25">
      <c r="B25" s="34" t="s">
        <v>222</v>
      </c>
      <c r="C25" s="34"/>
      <c r="E25">
        <v>0.84899999999999998</v>
      </c>
      <c r="F25">
        <v>22</v>
      </c>
      <c r="G25" s="3">
        <v>180</v>
      </c>
      <c r="H25" s="3"/>
      <c r="I25">
        <v>6</v>
      </c>
      <c r="J25" s="8">
        <f>((M25*(E25/I25)*24)/1000)/E25</f>
        <v>1.7799999999999998</v>
      </c>
      <c r="L25">
        <v>173</v>
      </c>
      <c r="M25" s="9">
        <v>445</v>
      </c>
      <c r="N25" s="9"/>
      <c r="O25" s="3">
        <v>100</v>
      </c>
      <c r="P25" s="3"/>
      <c r="Q25" s="3">
        <v>100</v>
      </c>
      <c r="R25" s="3"/>
      <c r="S25" s="12">
        <v>93</v>
      </c>
      <c r="T25" s="12"/>
      <c r="U25" s="3">
        <v>97</v>
      </c>
      <c r="X25">
        <v>0</v>
      </c>
      <c r="Y25" s="3" t="s">
        <v>43</v>
      </c>
      <c r="Z25" s="3"/>
      <c r="AA25" s="5" t="s">
        <v>43</v>
      </c>
      <c r="AB25" s="3" t="s">
        <v>43</v>
      </c>
      <c r="AF25" s="5" t="s">
        <v>43</v>
      </c>
      <c r="AG25" s="3" t="s">
        <v>43</v>
      </c>
      <c r="AI25" s="14" t="s">
        <v>235</v>
      </c>
    </row>
    <row r="26" spans="2:35" x14ac:dyDescent="0.2">
      <c r="M26" s="9"/>
      <c r="N26" s="9"/>
    </row>
    <row r="27" spans="2:35" ht="15" x14ac:dyDescent="0.25">
      <c r="B27" s="35" t="s">
        <v>236</v>
      </c>
      <c r="C27" t="s">
        <v>46</v>
      </c>
      <c r="D27" t="s">
        <v>237</v>
      </c>
      <c r="E27">
        <v>0.15</v>
      </c>
      <c r="F27">
        <v>10</v>
      </c>
      <c r="G27">
        <v>72</v>
      </c>
      <c r="I27" s="3">
        <v>6</v>
      </c>
      <c r="J27" s="8">
        <f>((M27*(E27/I27)*24)/1000)/E27</f>
        <v>1.9611999999999996</v>
      </c>
      <c r="L27" t="s">
        <v>43</v>
      </c>
      <c r="M27" s="9">
        <v>490.3</v>
      </c>
      <c r="N27" s="9"/>
      <c r="O27" t="s">
        <v>43</v>
      </c>
      <c r="Q27" t="s">
        <v>43</v>
      </c>
      <c r="S27" s="9">
        <v>50.9</v>
      </c>
      <c r="T27" s="9"/>
      <c r="U27" s="9">
        <v>59.7</v>
      </c>
      <c r="W27" t="s">
        <v>43</v>
      </c>
      <c r="X27">
        <f>0.08*1000</f>
        <v>80</v>
      </c>
      <c r="Y27" t="s">
        <v>43</v>
      </c>
      <c r="Z27" t="s">
        <v>43</v>
      </c>
      <c r="AA27">
        <v>0</v>
      </c>
      <c r="AB27" t="s">
        <v>43</v>
      </c>
      <c r="AD27" s="17">
        <v>16.433333333333334</v>
      </c>
      <c r="AE27" s="17"/>
      <c r="AF27" s="8">
        <f>0.12*0.34</f>
        <v>4.0800000000000003E-2</v>
      </c>
      <c r="AG27" s="8">
        <f>AF27/0.42</f>
        <v>9.7142857142857156E-2</v>
      </c>
      <c r="AI27" s="36" t="s">
        <v>238</v>
      </c>
    </row>
    <row r="28" spans="2:35" ht="15" x14ac:dyDescent="0.25">
      <c r="B28" s="35"/>
      <c r="C28" t="s">
        <v>239</v>
      </c>
      <c r="D28" t="s">
        <v>46</v>
      </c>
      <c r="E28">
        <v>0.05</v>
      </c>
      <c r="F28">
        <v>35</v>
      </c>
      <c r="G28">
        <v>72</v>
      </c>
      <c r="I28" s="3">
        <v>13</v>
      </c>
      <c r="J28" s="8" t="s">
        <v>43</v>
      </c>
      <c r="L28" t="s">
        <v>43</v>
      </c>
      <c r="M28" s="9" t="s">
        <v>43</v>
      </c>
      <c r="N28" s="9"/>
      <c r="O28" t="s">
        <v>43</v>
      </c>
      <c r="Q28" t="s">
        <v>43</v>
      </c>
      <c r="S28" s="9"/>
      <c r="T28" s="9"/>
      <c r="U28" s="9"/>
      <c r="W28" t="s">
        <v>43</v>
      </c>
      <c r="X28">
        <v>0</v>
      </c>
      <c r="Y28" t="s">
        <v>43</v>
      </c>
      <c r="Z28" t="s">
        <v>43</v>
      </c>
      <c r="AA28">
        <v>0</v>
      </c>
      <c r="AB28" t="s">
        <v>43</v>
      </c>
      <c r="AD28" s="18">
        <v>137.69999999999999</v>
      </c>
      <c r="AE28" s="18"/>
      <c r="AF28" s="8">
        <f>0.195*0.34</f>
        <v>6.6300000000000012E-2</v>
      </c>
      <c r="AG28" s="8">
        <f>AF28/0.42</f>
        <v>0.15785714285714289</v>
      </c>
      <c r="AI28" s="36"/>
    </row>
    <row r="29" spans="2:35" ht="15" x14ac:dyDescent="0.25">
      <c r="B29" s="35"/>
      <c r="C29" t="s">
        <v>240</v>
      </c>
      <c r="D29" t="s">
        <v>43</v>
      </c>
      <c r="E29">
        <f>E27+E28</f>
        <v>0.2</v>
      </c>
      <c r="F29" t="s">
        <v>43</v>
      </c>
      <c r="G29">
        <v>72</v>
      </c>
      <c r="I29" s="3">
        <f>(E27+E28)/(E27/I27)</f>
        <v>8.0000000000000018</v>
      </c>
      <c r="J29" s="8">
        <f>((M29*(E29/I29)*24)/1000)/E29</f>
        <v>1.4708999999999997</v>
      </c>
      <c r="L29" t="s">
        <v>43</v>
      </c>
      <c r="M29" s="9">
        <v>490.3</v>
      </c>
      <c r="N29" s="9"/>
      <c r="O29" t="s">
        <v>43</v>
      </c>
      <c r="Q29" t="s">
        <v>43</v>
      </c>
      <c r="S29" s="9">
        <v>50.9</v>
      </c>
      <c r="T29" s="9"/>
      <c r="U29" s="9">
        <v>59.7</v>
      </c>
      <c r="W29" t="s">
        <v>43</v>
      </c>
      <c r="X29">
        <f>0.08*1000</f>
        <v>80</v>
      </c>
      <c r="Y29" t="s">
        <v>43</v>
      </c>
      <c r="Z29" t="s">
        <v>43</v>
      </c>
      <c r="AA29">
        <v>0</v>
      </c>
      <c r="AB29" t="s">
        <v>43</v>
      </c>
      <c r="AD29" s="17">
        <v>34.793333333333329</v>
      </c>
      <c r="AE29" s="17"/>
      <c r="AF29" s="8">
        <f>0.315*0.34</f>
        <v>0.10710000000000001</v>
      </c>
      <c r="AG29" s="8">
        <f>AF29/0.42</f>
        <v>0.25500000000000006</v>
      </c>
      <c r="AI29" s="36"/>
    </row>
    <row r="30" spans="2:35" ht="15" x14ac:dyDescent="0.25">
      <c r="B30" s="35" t="s">
        <v>236</v>
      </c>
      <c r="C30" t="s">
        <v>46</v>
      </c>
      <c r="D30" t="s">
        <v>237</v>
      </c>
      <c r="E30">
        <v>0.15</v>
      </c>
      <c r="F30">
        <v>10</v>
      </c>
      <c r="G30">
        <v>12</v>
      </c>
      <c r="I30" s="3">
        <v>6</v>
      </c>
      <c r="J30" s="8"/>
      <c r="L30" t="s">
        <v>43</v>
      </c>
      <c r="M30" s="9"/>
      <c r="N30" s="9"/>
      <c r="O30" t="s">
        <v>43</v>
      </c>
      <c r="Q30" t="s">
        <v>43</v>
      </c>
      <c r="S30" s="9"/>
      <c r="T30" s="9"/>
      <c r="U30" s="9"/>
      <c r="W30" t="s">
        <v>43</v>
      </c>
      <c r="X30" t="s">
        <v>43</v>
      </c>
      <c r="Y30" t="s">
        <v>43</v>
      </c>
      <c r="Z30" t="s">
        <v>43</v>
      </c>
      <c r="AA30" t="s">
        <v>43</v>
      </c>
      <c r="AF30" s="3"/>
      <c r="AG30" s="8"/>
      <c r="AI30" s="36"/>
    </row>
    <row r="31" spans="2:35" ht="15" x14ac:dyDescent="0.25">
      <c r="B31" s="35"/>
      <c r="C31" t="s">
        <v>239</v>
      </c>
      <c r="D31" t="s">
        <v>46</v>
      </c>
      <c r="E31">
        <v>0.05</v>
      </c>
      <c r="F31">
        <v>35</v>
      </c>
      <c r="G31">
        <v>12</v>
      </c>
      <c r="I31" s="3">
        <v>26</v>
      </c>
      <c r="J31" s="8"/>
      <c r="L31" t="s">
        <v>43</v>
      </c>
      <c r="M31" s="9"/>
      <c r="N31" s="9"/>
      <c r="O31" t="s">
        <v>43</v>
      </c>
      <c r="Q31" t="s">
        <v>43</v>
      </c>
      <c r="S31" s="9"/>
      <c r="T31" s="9"/>
      <c r="U31" s="9"/>
      <c r="W31" t="s">
        <v>43</v>
      </c>
      <c r="X31" t="s">
        <v>43</v>
      </c>
      <c r="Y31" t="s">
        <v>43</v>
      </c>
      <c r="Z31" t="s">
        <v>43</v>
      </c>
      <c r="AA31" t="s">
        <v>43</v>
      </c>
      <c r="AF31" s="3"/>
      <c r="AG31" s="8"/>
      <c r="AI31" s="36"/>
    </row>
    <row r="32" spans="2:35" ht="15" x14ac:dyDescent="0.25">
      <c r="B32" s="35"/>
      <c r="C32" t="s">
        <v>240</v>
      </c>
      <c r="D32" t="s">
        <v>43</v>
      </c>
      <c r="E32">
        <f>E30+E31</f>
        <v>0.2</v>
      </c>
      <c r="F32" t="s">
        <v>43</v>
      </c>
      <c r="G32">
        <v>12</v>
      </c>
      <c r="I32" s="3"/>
      <c r="J32" s="8"/>
      <c r="L32" t="s">
        <v>43</v>
      </c>
      <c r="M32" s="9"/>
      <c r="N32" s="9"/>
      <c r="O32" t="s">
        <v>43</v>
      </c>
      <c r="Q32" t="s">
        <v>43</v>
      </c>
      <c r="S32" s="9"/>
      <c r="T32" s="9"/>
      <c r="U32" s="9"/>
      <c r="W32" t="s">
        <v>43</v>
      </c>
      <c r="X32" t="s">
        <v>43</v>
      </c>
      <c r="Y32" t="s">
        <v>43</v>
      </c>
      <c r="Z32" t="s">
        <v>43</v>
      </c>
      <c r="AA32" t="s">
        <v>43</v>
      </c>
      <c r="AF32" s="3"/>
      <c r="AG32" s="8"/>
      <c r="AI32" s="36"/>
    </row>
    <row r="33" spans="2:35" ht="15" x14ac:dyDescent="0.25">
      <c r="B33" s="35" t="s">
        <v>236</v>
      </c>
      <c r="C33" t="s">
        <v>46</v>
      </c>
      <c r="D33" t="s">
        <v>237</v>
      </c>
      <c r="E33">
        <v>0.15</v>
      </c>
      <c r="F33">
        <v>10</v>
      </c>
      <c r="G33">
        <v>34</v>
      </c>
      <c r="I33" s="3">
        <v>6</v>
      </c>
      <c r="J33" s="8"/>
      <c r="L33" t="s">
        <v>43</v>
      </c>
      <c r="M33" s="9"/>
      <c r="N33" s="9"/>
      <c r="O33" t="s">
        <v>43</v>
      </c>
      <c r="Q33" t="s">
        <v>43</v>
      </c>
      <c r="S33" s="9"/>
      <c r="T33" s="9"/>
      <c r="U33" s="9"/>
      <c r="W33" t="s">
        <v>43</v>
      </c>
      <c r="X33" t="s">
        <v>43</v>
      </c>
      <c r="Y33" t="s">
        <v>43</v>
      </c>
      <c r="Z33" t="s">
        <v>43</v>
      </c>
      <c r="AA33" t="s">
        <v>43</v>
      </c>
      <c r="AF33" s="3"/>
      <c r="AG33" s="8"/>
      <c r="AI33" s="36"/>
    </row>
    <row r="34" spans="2:35" ht="15" x14ac:dyDescent="0.25">
      <c r="B34" s="35"/>
      <c r="C34" t="s">
        <v>239</v>
      </c>
      <c r="D34" t="s">
        <v>46</v>
      </c>
      <c r="E34">
        <v>0.05</v>
      </c>
      <c r="F34">
        <v>35</v>
      </c>
      <c r="G34">
        <v>34</v>
      </c>
      <c r="I34" s="3">
        <v>26</v>
      </c>
      <c r="J34" s="8"/>
      <c r="L34" t="s">
        <v>43</v>
      </c>
      <c r="M34" s="9"/>
      <c r="N34" s="9"/>
      <c r="O34" t="s">
        <v>43</v>
      </c>
      <c r="Q34" t="s">
        <v>43</v>
      </c>
      <c r="S34" s="9"/>
      <c r="T34" s="9"/>
      <c r="U34" s="9"/>
      <c r="W34" t="s">
        <v>43</v>
      </c>
      <c r="X34" t="s">
        <v>43</v>
      </c>
      <c r="Y34" t="s">
        <v>43</v>
      </c>
      <c r="Z34" t="s">
        <v>43</v>
      </c>
      <c r="AA34" t="s">
        <v>43</v>
      </c>
      <c r="AF34" s="3"/>
      <c r="AG34" s="8"/>
      <c r="AI34" s="36"/>
    </row>
    <row r="35" spans="2:35" ht="15" x14ac:dyDescent="0.25">
      <c r="B35" s="35"/>
      <c r="C35" t="s">
        <v>240</v>
      </c>
      <c r="D35" t="s">
        <v>43</v>
      </c>
      <c r="E35">
        <f>E33+E34</f>
        <v>0.2</v>
      </c>
      <c r="F35" t="s">
        <v>43</v>
      </c>
      <c r="G35">
        <v>34</v>
      </c>
      <c r="I35" s="3"/>
      <c r="J35" s="8"/>
      <c r="L35" t="s">
        <v>43</v>
      </c>
      <c r="M35" s="9"/>
      <c r="N35" s="9"/>
      <c r="O35" t="s">
        <v>43</v>
      </c>
      <c r="Q35" t="s">
        <v>43</v>
      </c>
      <c r="S35" s="9"/>
      <c r="T35" s="9"/>
      <c r="U35" s="9"/>
      <c r="W35" t="s">
        <v>43</v>
      </c>
      <c r="X35" t="s">
        <v>43</v>
      </c>
      <c r="Y35" t="s">
        <v>43</v>
      </c>
      <c r="Z35" t="s">
        <v>43</v>
      </c>
      <c r="AA35" t="s">
        <v>43</v>
      </c>
      <c r="AF35" s="3"/>
      <c r="AG35" s="8"/>
      <c r="AI35" s="36"/>
    </row>
    <row r="36" spans="2:35" ht="15" x14ac:dyDescent="0.25">
      <c r="B36" s="35" t="s">
        <v>236</v>
      </c>
      <c r="C36" t="s">
        <v>46</v>
      </c>
      <c r="D36" t="s">
        <v>237</v>
      </c>
      <c r="E36">
        <v>0.15</v>
      </c>
      <c r="F36">
        <v>10</v>
      </c>
      <c r="G36">
        <v>100</v>
      </c>
      <c r="I36" s="3">
        <v>6</v>
      </c>
      <c r="J36" s="8">
        <f>((M36*(E36/I36)*24)/1000)/E36</f>
        <v>2.2975999999999996</v>
      </c>
      <c r="L36" t="s">
        <v>43</v>
      </c>
      <c r="M36" s="9">
        <v>574.4</v>
      </c>
      <c r="N36" s="9"/>
      <c r="O36" t="s">
        <v>43</v>
      </c>
      <c r="Q36" t="s">
        <v>43</v>
      </c>
      <c r="S36" s="9">
        <v>49.2</v>
      </c>
      <c r="T36" s="9"/>
      <c r="U36" s="9">
        <v>56.8</v>
      </c>
      <c r="W36" t="s">
        <v>43</v>
      </c>
      <c r="X36">
        <v>0</v>
      </c>
      <c r="Y36" t="s">
        <v>43</v>
      </c>
      <c r="Z36" t="s">
        <v>43</v>
      </c>
      <c r="AA36" t="s">
        <v>241</v>
      </c>
      <c r="AB36" t="s">
        <v>43</v>
      </c>
      <c r="AD36" s="17">
        <v>16.433333333333334</v>
      </c>
      <c r="AE36" s="17"/>
      <c r="AF36" s="8">
        <f>0.096*0.34</f>
        <v>3.2640000000000002E-2</v>
      </c>
      <c r="AG36" s="8">
        <f>AF36/(1-(0.513+0.047))</f>
        <v>7.4181818181818196E-2</v>
      </c>
      <c r="AI36" s="36"/>
    </row>
    <row r="37" spans="2:35" ht="15" x14ac:dyDescent="0.25">
      <c r="B37" s="35"/>
      <c r="C37" t="s">
        <v>239</v>
      </c>
      <c r="D37" t="s">
        <v>46</v>
      </c>
      <c r="E37">
        <v>0.05</v>
      </c>
      <c r="F37">
        <v>35</v>
      </c>
      <c r="G37">
        <v>100</v>
      </c>
      <c r="I37" s="3">
        <v>26</v>
      </c>
      <c r="J37" s="8">
        <f>((M37*(E37/I37)*24)/1000)/E37</f>
        <v>27.599999999999998</v>
      </c>
      <c r="L37" t="s">
        <v>43</v>
      </c>
      <c r="M37" s="9">
        <v>29900</v>
      </c>
      <c r="N37" s="9"/>
      <c r="O37" t="s">
        <v>43</v>
      </c>
      <c r="Q37" t="s">
        <v>43</v>
      </c>
      <c r="S37" s="9"/>
      <c r="T37" s="9"/>
      <c r="U37" s="9"/>
      <c r="W37" t="s">
        <v>43</v>
      </c>
      <c r="X37">
        <v>0</v>
      </c>
      <c r="Y37" t="s">
        <v>43</v>
      </c>
      <c r="Z37" t="s">
        <v>43</v>
      </c>
      <c r="AA37">
        <v>0</v>
      </c>
      <c r="AB37" t="s">
        <v>43</v>
      </c>
      <c r="AD37" s="18">
        <v>333.20000000000005</v>
      </c>
      <c r="AE37" s="18"/>
      <c r="AF37" s="8">
        <f>0.143*0.34</f>
        <v>4.8619999999999997E-2</v>
      </c>
      <c r="AG37" s="8">
        <f>AF37/(1-(0.513+0.047))</f>
        <v>0.1105</v>
      </c>
      <c r="AI37" s="36"/>
    </row>
    <row r="38" spans="2:35" ht="15" x14ac:dyDescent="0.25">
      <c r="B38" s="35"/>
      <c r="C38" t="s">
        <v>240</v>
      </c>
      <c r="D38" t="s">
        <v>43</v>
      </c>
      <c r="E38">
        <f>E36+E37</f>
        <v>0.2</v>
      </c>
      <c r="F38" t="s">
        <v>43</v>
      </c>
      <c r="G38">
        <v>100</v>
      </c>
      <c r="I38" s="3">
        <f>(E36+E37)/(E36/I36)</f>
        <v>8.0000000000000018</v>
      </c>
      <c r="J38" s="8">
        <f>((M38*(E38/I38)*24)/1000)/E38</f>
        <v>1.7231999999999994</v>
      </c>
      <c r="L38" t="s">
        <v>43</v>
      </c>
      <c r="M38" s="9">
        <v>574.4</v>
      </c>
      <c r="N38" s="9"/>
      <c r="O38" t="s">
        <v>43</v>
      </c>
      <c r="Q38" t="s">
        <v>43</v>
      </c>
      <c r="S38" s="9">
        <v>49.2</v>
      </c>
      <c r="T38" s="9"/>
      <c r="U38" s="9">
        <v>56.8</v>
      </c>
      <c r="W38" t="s">
        <v>43</v>
      </c>
      <c r="X38">
        <v>0</v>
      </c>
      <c r="Y38" t="s">
        <v>43</v>
      </c>
      <c r="Z38" t="s">
        <v>43</v>
      </c>
      <c r="AA38" t="s">
        <v>241</v>
      </c>
      <c r="AB38" t="s">
        <v>43</v>
      </c>
      <c r="AD38" s="17">
        <v>38.646666666666668</v>
      </c>
      <c r="AE38" s="17"/>
      <c r="AF38" s="8">
        <f>0.239*0.34</f>
        <v>8.1259999999999999E-2</v>
      </c>
      <c r="AG38" s="8">
        <f>AF38/(1-(0.513+0.047))</f>
        <v>0.1846818181818182</v>
      </c>
      <c r="AI38" s="36"/>
    </row>
    <row r="39" spans="2:35" ht="15" x14ac:dyDescent="0.25">
      <c r="B39" s="35" t="s">
        <v>236</v>
      </c>
      <c r="C39" t="s">
        <v>46</v>
      </c>
      <c r="D39" t="s">
        <v>237</v>
      </c>
      <c r="E39">
        <v>0.13</v>
      </c>
      <c r="F39">
        <v>20</v>
      </c>
      <c r="G39">
        <v>46</v>
      </c>
      <c r="I39" s="3">
        <f>0.25*24</f>
        <v>6</v>
      </c>
      <c r="J39" s="8">
        <f>((M39*(E39/I39)*24)/1000)/E39</f>
        <v>2.4640000000000004</v>
      </c>
      <c r="L39" t="s">
        <v>43</v>
      </c>
      <c r="M39">
        <v>616</v>
      </c>
      <c r="O39" t="s">
        <v>43</v>
      </c>
      <c r="Q39" t="s">
        <v>43</v>
      </c>
      <c r="S39">
        <v>60</v>
      </c>
      <c r="U39" t="s">
        <v>43</v>
      </c>
      <c r="W39" t="s">
        <v>43</v>
      </c>
      <c r="X39">
        <v>66</v>
      </c>
      <c r="Y39" t="s">
        <v>43</v>
      </c>
      <c r="Z39" t="s">
        <v>43</v>
      </c>
      <c r="AA39" t="s">
        <v>242</v>
      </c>
      <c r="AF39">
        <v>7.0000000000000007E-2</v>
      </c>
      <c r="AG39" s="13">
        <v>0.14544327340359581</v>
      </c>
      <c r="AI39" s="36" t="s">
        <v>110</v>
      </c>
    </row>
    <row r="40" spans="2:35" ht="15" x14ac:dyDescent="0.25">
      <c r="B40" s="35"/>
      <c r="C40" t="s">
        <v>239</v>
      </c>
      <c r="D40" t="s">
        <v>46</v>
      </c>
      <c r="E40">
        <v>4.2999999999999997E-2</v>
      </c>
      <c r="F40">
        <v>35</v>
      </c>
      <c r="G40">
        <v>46</v>
      </c>
      <c r="I40" s="3">
        <f>0.5*24</f>
        <v>12</v>
      </c>
      <c r="J40" s="8" t="s">
        <v>43</v>
      </c>
      <c r="L40" t="s">
        <v>43</v>
      </c>
      <c r="M40" t="s">
        <v>43</v>
      </c>
      <c r="O40" t="s">
        <v>43</v>
      </c>
      <c r="Q40" t="s">
        <v>43</v>
      </c>
      <c r="U40" t="s">
        <v>43</v>
      </c>
      <c r="W40" t="s">
        <v>43</v>
      </c>
      <c r="X40">
        <v>0</v>
      </c>
      <c r="Y40" t="s">
        <v>43</v>
      </c>
      <c r="Z40" t="s">
        <v>43</v>
      </c>
      <c r="AA40">
        <v>0</v>
      </c>
      <c r="AF40">
        <v>7.0000000000000007E-2</v>
      </c>
      <c r="AG40" s="13">
        <v>0.14474064889439964</v>
      </c>
      <c r="AI40" s="36"/>
    </row>
    <row r="41" spans="2:35" ht="15" x14ac:dyDescent="0.25">
      <c r="B41" s="35"/>
      <c r="C41" t="s">
        <v>240</v>
      </c>
      <c r="D41" t="s">
        <v>43</v>
      </c>
      <c r="E41">
        <f>E40+E39</f>
        <v>0.17299999999999999</v>
      </c>
      <c r="F41" t="s">
        <v>43</v>
      </c>
      <c r="G41">
        <v>46</v>
      </c>
      <c r="I41" s="7">
        <f>(E39+E40)/(E39/I39)</f>
        <v>7.9846153846153838</v>
      </c>
      <c r="J41" s="8">
        <f>((M41*(E41/I41)*24)/1000)/E41</f>
        <v>1.8515606936416189</v>
      </c>
      <c r="L41" t="s">
        <v>43</v>
      </c>
      <c r="M41">
        <v>616</v>
      </c>
      <c r="O41" t="s">
        <v>43</v>
      </c>
      <c r="Q41" t="s">
        <v>43</v>
      </c>
      <c r="S41">
        <v>60</v>
      </c>
      <c r="U41" t="s">
        <v>43</v>
      </c>
      <c r="W41" t="s">
        <v>43</v>
      </c>
      <c r="X41">
        <v>66</v>
      </c>
      <c r="Y41" t="s">
        <v>43</v>
      </c>
      <c r="Z41" t="s">
        <v>43</v>
      </c>
      <c r="AA41" t="s">
        <v>242</v>
      </c>
      <c r="AF41" s="13">
        <v>0.14041999999999999</v>
      </c>
      <c r="AG41">
        <v>0.28999999999999998</v>
      </c>
      <c r="AI41" s="36"/>
    </row>
    <row r="42" spans="2:35" ht="15" x14ac:dyDescent="0.25">
      <c r="B42" s="35" t="s">
        <v>236</v>
      </c>
      <c r="C42" t="s">
        <v>46</v>
      </c>
      <c r="D42" t="s">
        <v>237</v>
      </c>
      <c r="E42">
        <v>0.13</v>
      </c>
      <c r="F42">
        <v>17.5</v>
      </c>
      <c r="G42">
        <v>47</v>
      </c>
      <c r="I42" s="3">
        <f>0.25*24</f>
        <v>6</v>
      </c>
      <c r="J42" s="8">
        <f>((M42*(E42/I42)*24)/1000)/E42</f>
        <v>2.4640000000000004</v>
      </c>
      <c r="L42" t="s">
        <v>43</v>
      </c>
      <c r="M42">
        <v>616</v>
      </c>
      <c r="O42" t="s">
        <v>43</v>
      </c>
      <c r="Q42" t="s">
        <v>43</v>
      </c>
      <c r="S42">
        <v>60</v>
      </c>
      <c r="U42" t="s">
        <v>43</v>
      </c>
      <c r="W42" t="s">
        <v>43</v>
      </c>
      <c r="X42">
        <v>66</v>
      </c>
      <c r="Y42" t="s">
        <v>43</v>
      </c>
      <c r="Z42" t="s">
        <v>43</v>
      </c>
      <c r="AA42" t="s">
        <v>242</v>
      </c>
      <c r="AF42">
        <v>7.0000000000000007E-2</v>
      </c>
      <c r="AG42" s="13">
        <v>0.14544327340359581</v>
      </c>
      <c r="AI42" s="36"/>
    </row>
    <row r="43" spans="2:35" ht="15" x14ac:dyDescent="0.25">
      <c r="B43" s="35"/>
      <c r="C43" t="s">
        <v>239</v>
      </c>
      <c r="D43" t="s">
        <v>46</v>
      </c>
      <c r="E43">
        <v>4.2999999999999997E-2</v>
      </c>
      <c r="F43">
        <v>35</v>
      </c>
      <c r="G43">
        <v>47</v>
      </c>
      <c r="I43" s="3">
        <f>0.5*24</f>
        <v>12</v>
      </c>
      <c r="J43" s="8" t="s">
        <v>43</v>
      </c>
      <c r="L43" t="s">
        <v>43</v>
      </c>
      <c r="M43" t="s">
        <v>43</v>
      </c>
      <c r="O43" t="s">
        <v>43</v>
      </c>
      <c r="Q43" t="s">
        <v>43</v>
      </c>
      <c r="U43" t="s">
        <v>43</v>
      </c>
      <c r="W43" t="s">
        <v>43</v>
      </c>
      <c r="X43">
        <v>0</v>
      </c>
      <c r="Y43" t="s">
        <v>43</v>
      </c>
      <c r="Z43" t="s">
        <v>43</v>
      </c>
      <c r="AA43">
        <v>0</v>
      </c>
      <c r="AF43">
        <v>7.0000000000000007E-2</v>
      </c>
      <c r="AG43" s="13">
        <v>0.14474064889439964</v>
      </c>
      <c r="AI43" s="36"/>
    </row>
    <row r="44" spans="2:35" ht="15" x14ac:dyDescent="0.25">
      <c r="B44" s="35"/>
      <c r="C44" t="s">
        <v>240</v>
      </c>
      <c r="D44" t="s">
        <v>43</v>
      </c>
      <c r="E44">
        <f>E43+E42</f>
        <v>0.17299999999999999</v>
      </c>
      <c r="F44" t="s">
        <v>43</v>
      </c>
      <c r="G44">
        <v>47</v>
      </c>
      <c r="I44" s="7">
        <f>(E42+E43)/(E42/I42)</f>
        <v>7.9846153846153838</v>
      </c>
      <c r="J44" s="8">
        <f>((M44*(E44/I44)*24)/1000)/E44</f>
        <v>1.8515606936416189</v>
      </c>
      <c r="L44" t="s">
        <v>43</v>
      </c>
      <c r="M44">
        <v>616</v>
      </c>
      <c r="O44" t="s">
        <v>43</v>
      </c>
      <c r="Q44" t="s">
        <v>43</v>
      </c>
      <c r="S44">
        <v>60</v>
      </c>
      <c r="U44" t="s">
        <v>43</v>
      </c>
      <c r="W44" t="s">
        <v>43</v>
      </c>
      <c r="X44">
        <v>66</v>
      </c>
      <c r="Y44" t="s">
        <v>43</v>
      </c>
      <c r="Z44" t="s">
        <v>43</v>
      </c>
      <c r="AA44" t="s">
        <v>242</v>
      </c>
      <c r="AF44" s="13">
        <v>0.14041999999999999</v>
      </c>
      <c r="AG44">
        <v>0.28999999999999998</v>
      </c>
      <c r="AI44" s="36"/>
    </row>
    <row r="45" spans="2:35" ht="15" x14ac:dyDescent="0.25">
      <c r="B45" s="35" t="s">
        <v>236</v>
      </c>
      <c r="C45" t="s">
        <v>46</v>
      </c>
      <c r="D45" t="s">
        <v>237</v>
      </c>
      <c r="E45">
        <v>0.13</v>
      </c>
      <c r="F45">
        <v>15</v>
      </c>
      <c r="G45">
        <v>47</v>
      </c>
      <c r="I45" s="3">
        <f>0.25*24</f>
        <v>6</v>
      </c>
      <c r="J45" s="8">
        <f>((M45*(E45/I45)*24)/1000)/E45</f>
        <v>2.4640000000000004</v>
      </c>
      <c r="L45" t="s">
        <v>43</v>
      </c>
      <c r="M45">
        <v>616</v>
      </c>
      <c r="O45" t="s">
        <v>43</v>
      </c>
      <c r="Q45" t="s">
        <v>43</v>
      </c>
      <c r="S45">
        <v>60</v>
      </c>
      <c r="U45" t="s">
        <v>43</v>
      </c>
      <c r="W45" t="s">
        <v>43</v>
      </c>
      <c r="X45">
        <v>66</v>
      </c>
      <c r="Y45" t="s">
        <v>43</v>
      </c>
      <c r="Z45" t="s">
        <v>43</v>
      </c>
      <c r="AA45" t="s">
        <v>242</v>
      </c>
      <c r="AF45">
        <v>7.0000000000000007E-2</v>
      </c>
      <c r="AG45" s="13">
        <v>0.14544327340359581</v>
      </c>
      <c r="AI45" s="36"/>
    </row>
    <row r="46" spans="2:35" ht="15" x14ac:dyDescent="0.25">
      <c r="B46" s="35"/>
      <c r="C46" t="s">
        <v>239</v>
      </c>
      <c r="D46" t="s">
        <v>46</v>
      </c>
      <c r="E46">
        <v>4.2999999999999997E-2</v>
      </c>
      <c r="F46">
        <v>35</v>
      </c>
      <c r="G46">
        <v>47</v>
      </c>
      <c r="I46" s="3">
        <f>0.5*24</f>
        <v>12</v>
      </c>
      <c r="J46" s="8" t="s">
        <v>43</v>
      </c>
      <c r="L46" t="s">
        <v>43</v>
      </c>
      <c r="M46" t="s">
        <v>43</v>
      </c>
      <c r="O46" t="s">
        <v>43</v>
      </c>
      <c r="Q46" t="s">
        <v>43</v>
      </c>
      <c r="U46" t="s">
        <v>43</v>
      </c>
      <c r="W46" t="s">
        <v>43</v>
      </c>
      <c r="X46">
        <v>0</v>
      </c>
      <c r="Y46" t="s">
        <v>43</v>
      </c>
      <c r="Z46" t="s">
        <v>43</v>
      </c>
      <c r="AA46">
        <v>0</v>
      </c>
      <c r="AF46">
        <v>7.0000000000000007E-2</v>
      </c>
      <c r="AG46" s="13">
        <v>0.14474064889439964</v>
      </c>
      <c r="AI46" s="36"/>
    </row>
    <row r="47" spans="2:35" ht="15" x14ac:dyDescent="0.25">
      <c r="B47" s="35"/>
      <c r="C47" t="s">
        <v>240</v>
      </c>
      <c r="D47" t="s">
        <v>43</v>
      </c>
      <c r="E47">
        <f>E46+E45</f>
        <v>0.17299999999999999</v>
      </c>
      <c r="F47" t="s">
        <v>43</v>
      </c>
      <c r="G47">
        <v>47</v>
      </c>
      <c r="I47" s="7">
        <f>(E45+E46)/(E45/I45)</f>
        <v>7.9846153846153838</v>
      </c>
      <c r="J47" s="8">
        <f>((M47*(E47/I47)*24)/1000)/E47</f>
        <v>1.8515606936416189</v>
      </c>
      <c r="L47" t="s">
        <v>43</v>
      </c>
      <c r="M47">
        <v>616</v>
      </c>
      <c r="O47" t="s">
        <v>43</v>
      </c>
      <c r="Q47" t="s">
        <v>43</v>
      </c>
      <c r="S47">
        <v>60</v>
      </c>
      <c r="U47" t="s">
        <v>43</v>
      </c>
      <c r="W47" t="s">
        <v>43</v>
      </c>
      <c r="X47">
        <v>66</v>
      </c>
      <c r="Y47" t="s">
        <v>43</v>
      </c>
      <c r="Z47" t="s">
        <v>43</v>
      </c>
      <c r="AA47" t="s">
        <v>242</v>
      </c>
      <c r="AF47" s="13">
        <v>0.14041999999999999</v>
      </c>
      <c r="AG47">
        <v>0.28999999999999998</v>
      </c>
      <c r="AI47" s="36"/>
    </row>
    <row r="48" spans="2:35" ht="15" x14ac:dyDescent="0.25">
      <c r="B48" s="35" t="s">
        <v>236</v>
      </c>
      <c r="C48" t="s">
        <v>46</v>
      </c>
      <c r="D48" t="s">
        <v>237</v>
      </c>
      <c r="E48">
        <v>0.13</v>
      </c>
      <c r="F48">
        <v>12.5</v>
      </c>
      <c r="G48">
        <v>69</v>
      </c>
      <c r="I48" s="3">
        <f>0.25*24</f>
        <v>6</v>
      </c>
      <c r="J48" s="8">
        <f>((M48*(E48/I48)*24)/1000)/E48</f>
        <v>2.4640000000000004</v>
      </c>
      <c r="L48" t="s">
        <v>43</v>
      </c>
      <c r="M48">
        <v>616</v>
      </c>
      <c r="O48" t="s">
        <v>43</v>
      </c>
      <c r="Q48" t="s">
        <v>43</v>
      </c>
      <c r="S48">
        <v>60</v>
      </c>
      <c r="U48" t="s">
        <v>43</v>
      </c>
      <c r="W48" t="s">
        <v>43</v>
      </c>
      <c r="X48">
        <v>125</v>
      </c>
      <c r="Y48" t="s">
        <v>43</v>
      </c>
      <c r="Z48" t="s">
        <v>43</v>
      </c>
      <c r="AA48">
        <v>0</v>
      </c>
      <c r="AF48">
        <v>7.0000000000000007E-2</v>
      </c>
      <c r="AG48" s="13">
        <v>0.14544327340359581</v>
      </c>
      <c r="AI48" s="36"/>
    </row>
    <row r="49" spans="2:35" ht="15" x14ac:dyDescent="0.25">
      <c r="B49" s="35"/>
      <c r="C49" t="s">
        <v>239</v>
      </c>
      <c r="D49" t="s">
        <v>46</v>
      </c>
      <c r="E49">
        <v>4.2999999999999997E-2</v>
      </c>
      <c r="F49">
        <v>35</v>
      </c>
      <c r="G49">
        <v>69</v>
      </c>
      <c r="I49" s="3">
        <f>0.5*24</f>
        <v>12</v>
      </c>
      <c r="J49" s="8" t="s">
        <v>43</v>
      </c>
      <c r="L49" t="s">
        <v>43</v>
      </c>
      <c r="M49" t="s">
        <v>43</v>
      </c>
      <c r="O49" t="s">
        <v>43</v>
      </c>
      <c r="Q49" t="s">
        <v>43</v>
      </c>
      <c r="U49" t="s">
        <v>43</v>
      </c>
      <c r="W49" t="s">
        <v>43</v>
      </c>
      <c r="X49">
        <v>0</v>
      </c>
      <c r="Y49" t="s">
        <v>43</v>
      </c>
      <c r="Z49" t="s">
        <v>43</v>
      </c>
      <c r="AA49">
        <v>0</v>
      </c>
      <c r="AF49">
        <v>7.0000000000000007E-2</v>
      </c>
      <c r="AG49" s="13">
        <v>0.14474064889439964</v>
      </c>
      <c r="AI49" s="36"/>
    </row>
    <row r="50" spans="2:35" ht="15" x14ac:dyDescent="0.25">
      <c r="B50" s="35"/>
      <c r="C50" t="s">
        <v>240</v>
      </c>
      <c r="D50" t="s">
        <v>43</v>
      </c>
      <c r="E50">
        <f>E49+E48</f>
        <v>0.17299999999999999</v>
      </c>
      <c r="F50" t="s">
        <v>43</v>
      </c>
      <c r="G50">
        <v>69</v>
      </c>
      <c r="I50" s="7">
        <f>(E48+E49)/(E48/I48)</f>
        <v>7.9846153846153838</v>
      </c>
      <c r="J50" s="8">
        <f>((M50*(E50/I50)*24)/1000)/E50</f>
        <v>1.8515606936416189</v>
      </c>
      <c r="L50" t="s">
        <v>43</v>
      </c>
      <c r="M50">
        <v>616</v>
      </c>
      <c r="O50" t="s">
        <v>43</v>
      </c>
      <c r="Q50" t="s">
        <v>43</v>
      </c>
      <c r="S50">
        <v>60</v>
      </c>
      <c r="U50" t="s">
        <v>43</v>
      </c>
      <c r="W50" t="s">
        <v>43</v>
      </c>
      <c r="X50">
        <v>125</v>
      </c>
      <c r="Y50" t="s">
        <v>43</v>
      </c>
      <c r="Z50" t="s">
        <v>43</v>
      </c>
      <c r="AA50">
        <v>0</v>
      </c>
      <c r="AF50" s="13">
        <v>0.14041999999999999</v>
      </c>
      <c r="AG50">
        <v>0.28999999999999998</v>
      </c>
      <c r="AI50" s="36"/>
    </row>
    <row r="51" spans="2:35" ht="15" x14ac:dyDescent="0.25">
      <c r="B51" s="35" t="s">
        <v>236</v>
      </c>
      <c r="C51" t="s">
        <v>46</v>
      </c>
      <c r="D51" t="s">
        <v>237</v>
      </c>
      <c r="E51">
        <v>0.13</v>
      </c>
      <c r="F51">
        <v>10</v>
      </c>
      <c r="G51">
        <v>49</v>
      </c>
      <c r="I51" s="3">
        <f>0.25*24</f>
        <v>6</v>
      </c>
      <c r="J51" s="8">
        <f>((M51*(E51/I51)*24)/1000)/E51</f>
        <v>3.056</v>
      </c>
      <c r="L51" t="s">
        <v>43</v>
      </c>
      <c r="M51">
        <v>764</v>
      </c>
      <c r="O51" t="s">
        <v>43</v>
      </c>
      <c r="Q51" t="s">
        <v>43</v>
      </c>
      <c r="S51">
        <v>51</v>
      </c>
      <c r="U51" t="s">
        <v>43</v>
      </c>
      <c r="W51" t="s">
        <v>43</v>
      </c>
      <c r="Y51" t="s">
        <v>43</v>
      </c>
      <c r="Z51" t="s">
        <v>43</v>
      </c>
      <c r="AA51">
        <v>0</v>
      </c>
      <c r="AF51">
        <v>0.05</v>
      </c>
      <c r="AG51" s="13">
        <v>8.4743029895868349E-2</v>
      </c>
      <c r="AI51" s="36"/>
    </row>
    <row r="52" spans="2:35" ht="15" x14ac:dyDescent="0.25">
      <c r="B52" s="35"/>
      <c r="C52" t="s">
        <v>239</v>
      </c>
      <c r="D52" t="s">
        <v>46</v>
      </c>
      <c r="E52">
        <v>4.2999999999999997E-2</v>
      </c>
      <c r="F52">
        <v>35</v>
      </c>
      <c r="G52">
        <v>49</v>
      </c>
      <c r="I52" s="3">
        <f>0.5*24</f>
        <v>12</v>
      </c>
      <c r="J52" s="8" t="s">
        <v>43</v>
      </c>
      <c r="L52" t="s">
        <v>43</v>
      </c>
      <c r="M52" t="s">
        <v>43</v>
      </c>
      <c r="O52" t="s">
        <v>43</v>
      </c>
      <c r="Q52" t="s">
        <v>43</v>
      </c>
      <c r="U52" t="s">
        <v>43</v>
      </c>
      <c r="W52" t="s">
        <v>43</v>
      </c>
      <c r="Y52" t="s">
        <v>43</v>
      </c>
      <c r="Z52" t="s">
        <v>43</v>
      </c>
      <c r="AA52">
        <v>0</v>
      </c>
      <c r="AF52">
        <v>7.0000000000000007E-2</v>
      </c>
      <c r="AG52" s="13">
        <v>0.11032583137386627</v>
      </c>
      <c r="AI52" s="36"/>
    </row>
    <row r="53" spans="2:35" ht="15" x14ac:dyDescent="0.25">
      <c r="B53" s="35"/>
      <c r="C53" t="s">
        <v>240</v>
      </c>
      <c r="D53" t="s">
        <v>43</v>
      </c>
      <c r="E53">
        <f>E52+E51</f>
        <v>0.17299999999999999</v>
      </c>
      <c r="F53" t="s">
        <v>43</v>
      </c>
      <c r="G53">
        <v>49</v>
      </c>
      <c r="I53" s="7">
        <f>(E51+E52)/(E51/I51)</f>
        <v>7.9846153846153838</v>
      </c>
      <c r="J53" s="8">
        <f>((M53*(E53/I53)*24)/1000)/E53</f>
        <v>2.2964161849710987</v>
      </c>
      <c r="L53" t="s">
        <v>43</v>
      </c>
      <c r="M53">
        <v>764</v>
      </c>
      <c r="O53" t="s">
        <v>43</v>
      </c>
      <c r="Q53" t="s">
        <v>43</v>
      </c>
      <c r="S53">
        <v>51</v>
      </c>
      <c r="U53" t="s">
        <v>43</v>
      </c>
      <c r="W53" t="s">
        <v>43</v>
      </c>
      <c r="Y53" t="s">
        <v>43</v>
      </c>
      <c r="Z53" t="s">
        <v>43</v>
      </c>
      <c r="AA53">
        <v>0</v>
      </c>
      <c r="AF53">
        <v>0.12</v>
      </c>
      <c r="AG53" s="13">
        <v>0.19506886126973461</v>
      </c>
      <c r="AI53" s="36"/>
    </row>
    <row r="54" spans="2:35" ht="15" x14ac:dyDescent="0.25">
      <c r="B54" s="35" t="s">
        <v>236</v>
      </c>
      <c r="C54" t="s">
        <v>46</v>
      </c>
      <c r="D54" t="s">
        <v>237</v>
      </c>
      <c r="E54">
        <v>0.13</v>
      </c>
      <c r="F54" s="19" t="s">
        <v>243</v>
      </c>
      <c r="G54">
        <v>24</v>
      </c>
      <c r="I54" s="3">
        <f>0.25*24</f>
        <v>6</v>
      </c>
      <c r="J54" s="3"/>
      <c r="L54" t="s">
        <v>43</v>
      </c>
      <c r="O54" t="s">
        <v>43</v>
      </c>
      <c r="Q54" t="s">
        <v>43</v>
      </c>
      <c r="U54" t="s">
        <v>43</v>
      </c>
      <c r="W54" t="s">
        <v>43</v>
      </c>
      <c r="Y54" t="s">
        <v>43</v>
      </c>
      <c r="Z54" t="s">
        <v>43</v>
      </c>
      <c r="AG54" s="20"/>
      <c r="AI54" s="21"/>
    </row>
    <row r="55" spans="2:35" ht="15" x14ac:dyDescent="0.25">
      <c r="B55" s="35"/>
      <c r="C55" t="s">
        <v>239</v>
      </c>
      <c r="D55" t="s">
        <v>46</v>
      </c>
      <c r="E55">
        <v>4.2999999999999997E-2</v>
      </c>
      <c r="F55">
        <v>35</v>
      </c>
      <c r="G55">
        <v>24</v>
      </c>
      <c r="I55" s="3">
        <f>0.5*24</f>
        <v>12</v>
      </c>
      <c r="J55" s="3"/>
      <c r="L55" t="s">
        <v>43</v>
      </c>
      <c r="O55" t="s">
        <v>43</v>
      </c>
      <c r="Q55" t="s">
        <v>43</v>
      </c>
      <c r="U55" t="s">
        <v>43</v>
      </c>
      <c r="W55" t="s">
        <v>43</v>
      </c>
      <c r="Y55" t="s">
        <v>43</v>
      </c>
      <c r="Z55" t="s">
        <v>43</v>
      </c>
      <c r="AG55" s="20"/>
      <c r="AI55" s="21"/>
    </row>
    <row r="56" spans="2:35" ht="15" x14ac:dyDescent="0.25">
      <c r="B56" s="35"/>
      <c r="C56" t="s">
        <v>240</v>
      </c>
      <c r="D56" t="s">
        <v>43</v>
      </c>
      <c r="E56">
        <f>E55+E54</f>
        <v>0.17299999999999999</v>
      </c>
      <c r="F56" t="s">
        <v>43</v>
      </c>
      <c r="G56">
        <v>24</v>
      </c>
      <c r="I56" s="3"/>
      <c r="J56" s="3"/>
      <c r="L56" t="s">
        <v>43</v>
      </c>
      <c r="O56" t="s">
        <v>43</v>
      </c>
      <c r="Q56" t="s">
        <v>43</v>
      </c>
      <c r="U56" t="s">
        <v>43</v>
      </c>
      <c r="W56" t="s">
        <v>43</v>
      </c>
      <c r="Y56" t="s">
        <v>43</v>
      </c>
      <c r="Z56" t="s">
        <v>43</v>
      </c>
      <c r="AG56" s="20"/>
      <c r="AI56" s="21"/>
    </row>
    <row r="57" spans="2:35" ht="15" x14ac:dyDescent="0.25">
      <c r="B57" s="35" t="s">
        <v>236</v>
      </c>
      <c r="C57" t="s">
        <v>46</v>
      </c>
      <c r="D57" t="s">
        <v>237</v>
      </c>
      <c r="E57">
        <v>0.05</v>
      </c>
      <c r="F57">
        <v>15</v>
      </c>
      <c r="G57">
        <v>105</v>
      </c>
      <c r="I57" s="3">
        <v>6</v>
      </c>
      <c r="J57" s="8">
        <f>((M57*(E57/I57)*24)/1000)/E57</f>
        <v>2.6439999999999997</v>
      </c>
      <c r="L57" t="s">
        <v>43</v>
      </c>
      <c r="M57">
        <v>661</v>
      </c>
      <c r="O57" t="s">
        <v>43</v>
      </c>
      <c r="Q57" t="s">
        <v>43</v>
      </c>
      <c r="S57" s="9">
        <v>38.402999999999999</v>
      </c>
      <c r="T57" s="9"/>
      <c r="U57" s="9">
        <v>57.921116504854375</v>
      </c>
      <c r="W57" t="s">
        <v>43</v>
      </c>
      <c r="X57" s="1" t="s">
        <v>244</v>
      </c>
      <c r="Y57" t="s">
        <v>43</v>
      </c>
      <c r="Z57" t="s">
        <v>43</v>
      </c>
      <c r="AA57" t="s">
        <v>43</v>
      </c>
      <c r="AB57" t="s">
        <v>43</v>
      </c>
      <c r="AF57" s="20">
        <v>2.8547655068078666E-2</v>
      </c>
      <c r="AG57" t="s">
        <v>43</v>
      </c>
      <c r="AI57" s="36" t="s">
        <v>245</v>
      </c>
    </row>
    <row r="58" spans="2:35" ht="15" x14ac:dyDescent="0.25">
      <c r="B58" s="35"/>
      <c r="C58" t="s">
        <v>239</v>
      </c>
      <c r="D58" t="s">
        <v>46</v>
      </c>
      <c r="E58">
        <v>3.7999999999999999E-2</v>
      </c>
      <c r="F58">
        <v>35</v>
      </c>
      <c r="G58">
        <v>105</v>
      </c>
      <c r="I58" s="3">
        <v>360</v>
      </c>
      <c r="J58" s="3" t="s">
        <v>43</v>
      </c>
      <c r="L58" t="s">
        <v>43</v>
      </c>
      <c r="M58" t="s">
        <v>43</v>
      </c>
      <c r="O58" t="s">
        <v>43</v>
      </c>
      <c r="Q58" t="s">
        <v>43</v>
      </c>
      <c r="S58" t="s">
        <v>43</v>
      </c>
      <c r="U58" t="s">
        <v>43</v>
      </c>
      <c r="W58" t="s">
        <v>43</v>
      </c>
      <c r="X58" t="s">
        <v>43</v>
      </c>
      <c r="Y58" t="s">
        <v>43</v>
      </c>
      <c r="Z58" t="s">
        <v>43</v>
      </c>
      <c r="AA58" t="s">
        <v>43</v>
      </c>
      <c r="AB58" t="s">
        <v>43</v>
      </c>
      <c r="AF58" s="20">
        <v>1.6202723146747349E-2</v>
      </c>
      <c r="AG58" t="s">
        <v>43</v>
      </c>
      <c r="AI58" s="36"/>
    </row>
    <row r="59" spans="2:35" ht="15" x14ac:dyDescent="0.25">
      <c r="B59" s="35"/>
      <c r="C59" t="s">
        <v>240</v>
      </c>
      <c r="D59" t="s">
        <v>43</v>
      </c>
      <c r="E59">
        <f>E57+E58</f>
        <v>8.7999999999999995E-2</v>
      </c>
      <c r="F59" t="s">
        <v>43</v>
      </c>
      <c r="G59">
        <v>105</v>
      </c>
      <c r="I59" s="3"/>
      <c r="J59" s="3"/>
      <c r="L59" t="s">
        <v>43</v>
      </c>
      <c r="M59">
        <v>661</v>
      </c>
      <c r="O59" t="s">
        <v>43</v>
      </c>
      <c r="Q59" t="s">
        <v>43</v>
      </c>
      <c r="S59" s="9">
        <v>38.402999999999999</v>
      </c>
      <c r="T59" s="9"/>
      <c r="U59" s="9">
        <v>57.921116504854375</v>
      </c>
      <c r="W59" t="s">
        <v>43</v>
      </c>
      <c r="X59" t="s">
        <v>43</v>
      </c>
      <c r="Y59" t="s">
        <v>43</v>
      </c>
      <c r="Z59" t="s">
        <v>43</v>
      </c>
      <c r="AA59" t="s">
        <v>43</v>
      </c>
      <c r="AB59" t="s">
        <v>43</v>
      </c>
      <c r="AF59" s="13">
        <v>4.4750378214826018E-2</v>
      </c>
      <c r="AG59" t="s">
        <v>43</v>
      </c>
      <c r="AI59" s="36"/>
    </row>
    <row r="60" spans="2:35" ht="15" x14ac:dyDescent="0.25">
      <c r="B60" s="35" t="s">
        <v>236</v>
      </c>
      <c r="C60" t="s">
        <v>46</v>
      </c>
      <c r="D60" t="s">
        <v>237</v>
      </c>
      <c r="E60">
        <v>0.05</v>
      </c>
      <c r="F60">
        <v>15</v>
      </c>
      <c r="G60">
        <v>37</v>
      </c>
      <c r="I60" s="3">
        <v>6</v>
      </c>
      <c r="J60" s="8">
        <f>((M60*(E60/I60)*24)/1000)/E60</f>
        <v>2.9079999999999999</v>
      </c>
      <c r="L60" t="s">
        <v>43</v>
      </c>
      <c r="M60">
        <v>727</v>
      </c>
      <c r="O60" t="s">
        <v>43</v>
      </c>
      <c r="Q60" t="s">
        <v>43</v>
      </c>
      <c r="S60" s="7">
        <v>24.950000000000003</v>
      </c>
      <c r="T60" s="7"/>
      <c r="U60" s="7">
        <v>34.225980392156863</v>
      </c>
      <c r="W60" t="s">
        <v>43</v>
      </c>
      <c r="X60" s="1" t="s">
        <v>244</v>
      </c>
      <c r="Y60" t="s">
        <v>43</v>
      </c>
      <c r="Z60" t="s">
        <v>43</v>
      </c>
      <c r="AA60" t="s">
        <v>43</v>
      </c>
      <c r="AB60" t="s">
        <v>43</v>
      </c>
      <c r="AF60" s="20">
        <v>3.2971114167812933E-2</v>
      </c>
      <c r="AG60" t="s">
        <v>43</v>
      </c>
      <c r="AI60" s="36"/>
    </row>
    <row r="61" spans="2:35" ht="15" x14ac:dyDescent="0.25">
      <c r="B61" s="35"/>
      <c r="C61" t="s">
        <v>239</v>
      </c>
      <c r="D61" t="s">
        <v>246</v>
      </c>
      <c r="E61">
        <v>3.7999999999999999E-2</v>
      </c>
      <c r="F61">
        <v>35</v>
      </c>
      <c r="G61">
        <v>37</v>
      </c>
      <c r="I61" s="3">
        <v>360</v>
      </c>
      <c r="J61" s="8" t="s">
        <v>43</v>
      </c>
      <c r="L61" t="s">
        <v>43</v>
      </c>
      <c r="M61" t="s">
        <v>247</v>
      </c>
      <c r="O61" t="s">
        <v>43</v>
      </c>
      <c r="Q61" t="s">
        <v>43</v>
      </c>
      <c r="S61" t="s">
        <v>43</v>
      </c>
      <c r="U61" t="s">
        <v>43</v>
      </c>
      <c r="W61" t="s">
        <v>43</v>
      </c>
      <c r="X61" t="s">
        <v>43</v>
      </c>
      <c r="Y61" t="s">
        <v>43</v>
      </c>
      <c r="Z61" t="s">
        <v>43</v>
      </c>
      <c r="AA61" t="s">
        <v>43</v>
      </c>
      <c r="AB61" t="s">
        <v>43</v>
      </c>
      <c r="AF61" t="s">
        <v>248</v>
      </c>
      <c r="AG61" t="s">
        <v>43</v>
      </c>
      <c r="AI61" s="36"/>
    </row>
    <row r="62" spans="2:35" ht="15" x14ac:dyDescent="0.25">
      <c r="B62" s="35"/>
      <c r="C62" t="s">
        <v>240</v>
      </c>
      <c r="D62" t="s">
        <v>43</v>
      </c>
      <c r="E62">
        <f>E60+E61</f>
        <v>8.7999999999999995E-2</v>
      </c>
      <c r="F62" t="s">
        <v>43</v>
      </c>
      <c r="G62">
        <v>37</v>
      </c>
      <c r="I62" s="7">
        <f>(E60+E61)/(E60/I60)</f>
        <v>10.559999999999999</v>
      </c>
      <c r="J62" s="8">
        <f>((M62*(E62/I62)*24)/1000)/E62</f>
        <v>1.7454545454545451</v>
      </c>
      <c r="L62" t="s">
        <v>43</v>
      </c>
      <c r="M62">
        <v>767.99999999999989</v>
      </c>
      <c r="O62" t="s">
        <v>43</v>
      </c>
      <c r="Q62" t="s">
        <v>43</v>
      </c>
      <c r="S62" s="7">
        <v>24.950000000000003</v>
      </c>
      <c r="T62" s="7"/>
      <c r="U62" s="7">
        <v>34.225980392156863</v>
      </c>
      <c r="W62" t="s">
        <v>43</v>
      </c>
      <c r="X62" t="s">
        <v>43</v>
      </c>
      <c r="Y62" t="s">
        <v>43</v>
      </c>
      <c r="Z62" t="s">
        <v>43</v>
      </c>
      <c r="AA62" t="s">
        <v>43</v>
      </c>
      <c r="AB62" t="s">
        <v>43</v>
      </c>
      <c r="AF62" s="13">
        <v>6.2643229166666675E-2</v>
      </c>
      <c r="AG62" t="s">
        <v>43</v>
      </c>
      <c r="AI62" s="36"/>
    </row>
    <row r="63" spans="2:35" ht="15" x14ac:dyDescent="0.25">
      <c r="B63" s="35" t="s">
        <v>236</v>
      </c>
      <c r="C63" t="s">
        <v>46</v>
      </c>
      <c r="D63" t="s">
        <v>237</v>
      </c>
      <c r="E63">
        <v>0.05</v>
      </c>
      <c r="F63">
        <v>15</v>
      </c>
      <c r="G63">
        <v>151</v>
      </c>
      <c r="I63" s="3">
        <v>6</v>
      </c>
      <c r="J63" s="8">
        <f>((M63*(E63/I63)*24)/1000)/E63</f>
        <v>2.3879999999999999</v>
      </c>
      <c r="L63" t="s">
        <v>43</v>
      </c>
      <c r="M63">
        <v>597</v>
      </c>
      <c r="O63" t="s">
        <v>43</v>
      </c>
      <c r="Q63" t="s">
        <v>43</v>
      </c>
      <c r="S63" s="7">
        <v>39.517647058823535</v>
      </c>
      <c r="T63" s="7"/>
      <c r="U63" s="7">
        <v>50.669943820224717</v>
      </c>
      <c r="W63" t="s">
        <v>43</v>
      </c>
      <c r="X63" t="s">
        <v>43</v>
      </c>
      <c r="Y63" t="s">
        <v>43</v>
      </c>
      <c r="Z63" t="s">
        <v>43</v>
      </c>
      <c r="AA63" t="s">
        <v>43</v>
      </c>
      <c r="AB63" t="s">
        <v>43</v>
      </c>
      <c r="AF63" s="20">
        <v>5.4958123953098827E-2</v>
      </c>
      <c r="AG63" t="s">
        <v>43</v>
      </c>
      <c r="AI63" s="36"/>
    </row>
    <row r="64" spans="2:35" ht="15" x14ac:dyDescent="0.25">
      <c r="B64" s="35"/>
      <c r="C64" t="s">
        <v>239</v>
      </c>
      <c r="D64" t="s">
        <v>246</v>
      </c>
      <c r="E64">
        <v>3.7999999999999999E-2</v>
      </c>
      <c r="F64">
        <v>35</v>
      </c>
      <c r="G64">
        <v>151</v>
      </c>
      <c r="I64" s="3">
        <v>360</v>
      </c>
      <c r="J64" s="8" t="s">
        <v>43</v>
      </c>
      <c r="L64" t="s">
        <v>43</v>
      </c>
      <c r="M64" t="s">
        <v>247</v>
      </c>
      <c r="O64" t="s">
        <v>43</v>
      </c>
      <c r="Q64" t="s">
        <v>43</v>
      </c>
      <c r="S64" t="s">
        <v>43</v>
      </c>
      <c r="U64" t="s">
        <v>43</v>
      </c>
      <c r="W64" t="s">
        <v>43</v>
      </c>
      <c r="X64" t="s">
        <v>43</v>
      </c>
      <c r="Y64" t="s">
        <v>43</v>
      </c>
      <c r="Z64" t="s">
        <v>43</v>
      </c>
      <c r="AA64" t="s">
        <v>43</v>
      </c>
      <c r="AB64" t="s">
        <v>43</v>
      </c>
      <c r="AF64" t="s">
        <v>249</v>
      </c>
      <c r="AG64" t="s">
        <v>43</v>
      </c>
      <c r="AI64" s="36"/>
    </row>
    <row r="65" spans="2:35" ht="15" x14ac:dyDescent="0.25">
      <c r="B65" s="35"/>
      <c r="C65" t="s">
        <v>240</v>
      </c>
      <c r="D65" t="s">
        <v>43</v>
      </c>
      <c r="E65">
        <f>E63+E64</f>
        <v>8.7999999999999995E-2</v>
      </c>
      <c r="F65" t="s">
        <v>43</v>
      </c>
      <c r="G65">
        <v>151</v>
      </c>
      <c r="I65" s="7">
        <f>(E63+E64)/(E63/I63)</f>
        <v>10.559999999999999</v>
      </c>
      <c r="J65" s="8">
        <f>((M65*(E65/I65)*24)/1000)/E65</f>
        <v>1.5454545454545456</v>
      </c>
      <c r="L65" t="s">
        <v>43</v>
      </c>
      <c r="M65">
        <v>680</v>
      </c>
      <c r="O65" t="s">
        <v>43</v>
      </c>
      <c r="Q65" t="s">
        <v>43</v>
      </c>
      <c r="S65" s="7">
        <v>39.517647058823535</v>
      </c>
      <c r="T65" s="7"/>
      <c r="U65" s="7">
        <v>50.669943820224717</v>
      </c>
      <c r="W65" t="s">
        <v>43</v>
      </c>
      <c r="X65" s="17">
        <f>(11.66/133.2)*1000</f>
        <v>87.537537537537546</v>
      </c>
      <c r="Y65" t="s">
        <v>43</v>
      </c>
      <c r="Z65" t="s">
        <v>43</v>
      </c>
      <c r="AA65" t="s">
        <v>250</v>
      </c>
      <c r="AB65" t="s">
        <v>43</v>
      </c>
      <c r="AF65" s="13">
        <v>0.11175</v>
      </c>
      <c r="AG65" s="8">
        <f>AF65/(1.14-0.681)</f>
        <v>0.24346405228758178</v>
      </c>
      <c r="AI65" s="36"/>
    </row>
    <row r="66" spans="2:35" ht="15" x14ac:dyDescent="0.25">
      <c r="B66" s="35" t="s">
        <v>236</v>
      </c>
      <c r="C66" t="s">
        <v>46</v>
      </c>
      <c r="D66" t="s">
        <v>237</v>
      </c>
      <c r="E66">
        <v>0.05</v>
      </c>
      <c r="F66">
        <v>15</v>
      </c>
      <c r="G66">
        <v>210</v>
      </c>
      <c r="I66" s="3">
        <f>0.25*24</f>
        <v>6</v>
      </c>
      <c r="J66" s="8">
        <f>((M66*(E66/I66)*24)/1000)/E66</f>
        <v>2.488</v>
      </c>
      <c r="L66" t="s">
        <v>43</v>
      </c>
      <c r="M66">
        <v>622</v>
      </c>
      <c r="O66" t="s">
        <v>43</v>
      </c>
      <c r="Q66" t="s">
        <v>43</v>
      </c>
      <c r="S66" s="7">
        <v>31.5</v>
      </c>
      <c r="T66" s="7"/>
      <c r="U66" s="3">
        <v>49</v>
      </c>
      <c r="W66" t="s">
        <v>43</v>
      </c>
      <c r="X66" t="s">
        <v>43</v>
      </c>
      <c r="Y66" t="s">
        <v>43</v>
      </c>
      <c r="Z66" t="s">
        <v>43</v>
      </c>
      <c r="AA66" t="s">
        <v>43</v>
      </c>
      <c r="AB66" t="s">
        <v>43</v>
      </c>
      <c r="AF66" t="s">
        <v>43</v>
      </c>
      <c r="AG66" t="s">
        <v>43</v>
      </c>
      <c r="AI66" s="36" t="s">
        <v>194</v>
      </c>
    </row>
    <row r="67" spans="2:35" x14ac:dyDescent="0.2">
      <c r="B67" s="35"/>
      <c r="C67" t="s">
        <v>239</v>
      </c>
      <c r="D67" t="s">
        <v>46</v>
      </c>
      <c r="E67">
        <v>3.7999999999999999E-2</v>
      </c>
      <c r="F67">
        <v>35</v>
      </c>
      <c r="G67">
        <v>210</v>
      </c>
      <c r="I67">
        <f>21*24</f>
        <v>504</v>
      </c>
      <c r="J67" t="s">
        <v>43</v>
      </c>
      <c r="L67" t="s">
        <v>43</v>
      </c>
      <c r="M67" t="s">
        <v>43</v>
      </c>
      <c r="O67" t="s">
        <v>43</v>
      </c>
      <c r="Q67" t="s">
        <v>43</v>
      </c>
      <c r="S67" t="s">
        <v>43</v>
      </c>
      <c r="U67" t="s">
        <v>43</v>
      </c>
      <c r="W67" t="s">
        <v>43</v>
      </c>
      <c r="X67" t="s">
        <v>43</v>
      </c>
      <c r="Y67" t="s">
        <v>43</v>
      </c>
      <c r="Z67" t="s">
        <v>43</v>
      </c>
      <c r="AA67" t="s">
        <v>43</v>
      </c>
      <c r="AB67" t="s">
        <v>43</v>
      </c>
      <c r="AF67" t="s">
        <v>43</v>
      </c>
      <c r="AG67" t="s">
        <v>43</v>
      </c>
      <c r="AI67" s="36"/>
    </row>
    <row r="68" spans="2:35" ht="15" x14ac:dyDescent="0.25">
      <c r="B68" s="35"/>
      <c r="C68" t="s">
        <v>240</v>
      </c>
      <c r="D68" t="s">
        <v>43</v>
      </c>
      <c r="E68">
        <f>E66+E67</f>
        <v>8.7999999999999995E-2</v>
      </c>
      <c r="F68" t="s">
        <v>43</v>
      </c>
      <c r="G68">
        <v>210</v>
      </c>
      <c r="I68" s="7">
        <f>(E66+E67)/(E66/I66)</f>
        <v>10.559999999999999</v>
      </c>
      <c r="J68" s="8">
        <f>((M68*(E68/I68)*24)/1000)/E68</f>
        <v>1.4136363636363638</v>
      </c>
      <c r="L68" t="s">
        <v>43</v>
      </c>
      <c r="M68">
        <v>622</v>
      </c>
      <c r="O68" t="s">
        <v>43</v>
      </c>
      <c r="Q68" t="s">
        <v>43</v>
      </c>
      <c r="S68" s="7">
        <v>31.5</v>
      </c>
      <c r="T68" s="7"/>
      <c r="U68" s="3">
        <v>49</v>
      </c>
      <c r="W68" t="s">
        <v>43</v>
      </c>
      <c r="X68" t="s">
        <v>43</v>
      </c>
      <c r="Y68" t="s">
        <v>43</v>
      </c>
      <c r="Z68" t="s">
        <v>43</v>
      </c>
      <c r="AA68" t="s">
        <v>43</v>
      </c>
      <c r="AB68" t="s">
        <v>43</v>
      </c>
      <c r="AF68" s="13">
        <f>0.19*0.34</f>
        <v>6.4600000000000005E-2</v>
      </c>
      <c r="AG68" s="13">
        <f>0.55*0.34</f>
        <v>0.18700000000000003</v>
      </c>
      <c r="AI68" s="36"/>
    </row>
    <row r="69" spans="2:35" ht="15" x14ac:dyDescent="0.25">
      <c r="B69" s="35" t="s">
        <v>236</v>
      </c>
      <c r="C69" t="s">
        <v>46</v>
      </c>
      <c r="D69" t="s">
        <v>237</v>
      </c>
      <c r="E69">
        <v>0.05</v>
      </c>
      <c r="F69">
        <v>15</v>
      </c>
      <c r="G69">
        <v>70</v>
      </c>
      <c r="I69">
        <f>0.25*24</f>
        <v>6</v>
      </c>
      <c r="J69" s="8">
        <f>((M69*(E69/I69)*24)/1000)/E69</f>
        <v>2.448</v>
      </c>
      <c r="L69" t="s">
        <v>43</v>
      </c>
      <c r="M69">
        <v>612</v>
      </c>
      <c r="O69" t="s">
        <v>43</v>
      </c>
      <c r="Q69" t="s">
        <v>43</v>
      </c>
      <c r="S69" s="7">
        <v>32.200000000000003</v>
      </c>
      <c r="T69" s="7"/>
      <c r="U69" s="3">
        <v>53</v>
      </c>
      <c r="W69" t="s">
        <v>43</v>
      </c>
      <c r="X69" t="s">
        <v>43</v>
      </c>
      <c r="Y69" t="s">
        <v>43</v>
      </c>
      <c r="Z69" t="s">
        <v>43</v>
      </c>
      <c r="AA69" t="s">
        <v>43</v>
      </c>
      <c r="AB69" t="s">
        <v>43</v>
      </c>
      <c r="AF69" t="s">
        <v>43</v>
      </c>
      <c r="AG69" t="s">
        <v>43</v>
      </c>
      <c r="AI69" s="36"/>
    </row>
    <row r="70" spans="2:35" x14ac:dyDescent="0.2">
      <c r="B70" s="35"/>
      <c r="C70" t="s">
        <v>239</v>
      </c>
      <c r="D70" t="s">
        <v>46</v>
      </c>
      <c r="E70">
        <v>3.7999999999999999E-2</v>
      </c>
      <c r="F70">
        <v>35</v>
      </c>
      <c r="G70">
        <v>70</v>
      </c>
      <c r="I70">
        <f>7.3*24</f>
        <v>175.2</v>
      </c>
      <c r="J70" t="s">
        <v>43</v>
      </c>
      <c r="L70" t="s">
        <v>43</v>
      </c>
      <c r="M70" t="s">
        <v>43</v>
      </c>
      <c r="O70" t="s">
        <v>43</v>
      </c>
      <c r="Q70" t="s">
        <v>43</v>
      </c>
      <c r="S70" t="s">
        <v>43</v>
      </c>
      <c r="U70" t="s">
        <v>43</v>
      </c>
      <c r="W70" t="s">
        <v>43</v>
      </c>
      <c r="X70" t="s">
        <v>43</v>
      </c>
      <c r="Y70" t="s">
        <v>43</v>
      </c>
      <c r="Z70" t="s">
        <v>43</v>
      </c>
      <c r="AA70" t="s">
        <v>43</v>
      </c>
      <c r="AB70" t="s">
        <v>43</v>
      </c>
      <c r="AF70" t="s">
        <v>43</v>
      </c>
      <c r="AG70" t="s">
        <v>43</v>
      </c>
      <c r="AI70" s="36"/>
    </row>
    <row r="71" spans="2:35" ht="15" x14ac:dyDescent="0.25">
      <c r="B71" s="35"/>
      <c r="C71" t="s">
        <v>240</v>
      </c>
      <c r="D71" t="s">
        <v>43</v>
      </c>
      <c r="E71">
        <f>E69+E70</f>
        <v>8.7999999999999995E-2</v>
      </c>
      <c r="F71" t="s">
        <v>43</v>
      </c>
      <c r="G71">
        <v>70</v>
      </c>
      <c r="I71" s="7">
        <f>(E69+E70)/(E69/I69)</f>
        <v>10.559999999999999</v>
      </c>
      <c r="J71" s="8">
        <f>((M71*(E71/I71)*24)/1000)/E71</f>
        <v>1.3909090909090909</v>
      </c>
      <c r="L71" t="s">
        <v>43</v>
      </c>
      <c r="M71">
        <v>612</v>
      </c>
      <c r="O71" t="s">
        <v>43</v>
      </c>
      <c r="Q71" t="s">
        <v>43</v>
      </c>
      <c r="S71" s="7">
        <v>32.200000000000003</v>
      </c>
      <c r="T71" s="7"/>
      <c r="U71" s="3">
        <v>53</v>
      </c>
      <c r="W71" t="s">
        <v>43</v>
      </c>
      <c r="X71" t="s">
        <v>43</v>
      </c>
      <c r="Y71" t="s">
        <v>43</v>
      </c>
      <c r="Z71" t="s">
        <v>43</v>
      </c>
      <c r="AA71" t="s">
        <v>43</v>
      </c>
      <c r="AB71" t="s">
        <v>43</v>
      </c>
      <c r="AF71" s="13">
        <f>0.23*0.34</f>
        <v>7.8200000000000006E-2</v>
      </c>
      <c r="AG71" s="13">
        <f>0.77*0.34</f>
        <v>0.26180000000000003</v>
      </c>
      <c r="AI71" s="36"/>
    </row>
    <row r="72" spans="2:35" ht="15" x14ac:dyDescent="0.25">
      <c r="B72" s="35" t="s">
        <v>236</v>
      </c>
      <c r="C72" t="s">
        <v>46</v>
      </c>
      <c r="D72" t="s">
        <v>237</v>
      </c>
      <c r="E72">
        <v>0.05</v>
      </c>
      <c r="F72">
        <v>15</v>
      </c>
      <c r="G72">
        <v>92</v>
      </c>
      <c r="I72">
        <f>0.25*24</f>
        <v>6</v>
      </c>
      <c r="J72" s="8">
        <f>((M72*(E72/I72)*24)/1000)/E72</f>
        <v>2.64</v>
      </c>
      <c r="L72" t="s">
        <v>43</v>
      </c>
      <c r="M72">
        <v>660</v>
      </c>
      <c r="O72" t="s">
        <v>43</v>
      </c>
      <c r="Q72" t="s">
        <v>43</v>
      </c>
      <c r="S72" s="7">
        <v>37.1</v>
      </c>
      <c r="T72" s="7"/>
      <c r="U72" s="3">
        <v>52</v>
      </c>
      <c r="W72" t="s">
        <v>43</v>
      </c>
      <c r="X72" t="s">
        <v>43</v>
      </c>
      <c r="Y72" t="s">
        <v>43</v>
      </c>
      <c r="Z72" t="s">
        <v>43</v>
      </c>
      <c r="AA72" t="s">
        <v>43</v>
      </c>
      <c r="AB72" t="s">
        <v>43</v>
      </c>
      <c r="AF72" t="s">
        <v>43</v>
      </c>
      <c r="AG72" t="s">
        <v>43</v>
      </c>
      <c r="AI72" s="36"/>
    </row>
    <row r="73" spans="2:35" x14ac:dyDescent="0.2">
      <c r="B73" s="35"/>
      <c r="C73" t="s">
        <v>239</v>
      </c>
      <c r="D73" t="s">
        <v>46</v>
      </c>
      <c r="E73">
        <v>3.7999999999999999E-2</v>
      </c>
      <c r="F73">
        <v>35</v>
      </c>
      <c r="G73">
        <v>92</v>
      </c>
      <c r="I73">
        <f>1.5*24</f>
        <v>36</v>
      </c>
      <c r="J73" t="s">
        <v>43</v>
      </c>
      <c r="L73" t="s">
        <v>43</v>
      </c>
      <c r="M73" t="s">
        <v>43</v>
      </c>
      <c r="O73" t="s">
        <v>43</v>
      </c>
      <c r="Q73" t="s">
        <v>43</v>
      </c>
      <c r="S73" t="s">
        <v>43</v>
      </c>
      <c r="U73" t="s">
        <v>43</v>
      </c>
      <c r="W73" t="s">
        <v>43</v>
      </c>
      <c r="X73" t="s">
        <v>43</v>
      </c>
      <c r="Y73" t="s">
        <v>43</v>
      </c>
      <c r="Z73" t="s">
        <v>43</v>
      </c>
      <c r="AA73" t="s">
        <v>43</v>
      </c>
      <c r="AB73" t="s">
        <v>43</v>
      </c>
      <c r="AF73" t="s">
        <v>43</v>
      </c>
      <c r="AG73" t="s">
        <v>43</v>
      </c>
      <c r="AI73" s="36"/>
    </row>
    <row r="74" spans="2:35" ht="15" x14ac:dyDescent="0.25">
      <c r="B74" s="35"/>
      <c r="C74" t="s">
        <v>240</v>
      </c>
      <c r="D74" t="s">
        <v>43</v>
      </c>
      <c r="E74">
        <f>E72+E73</f>
        <v>8.7999999999999995E-2</v>
      </c>
      <c r="F74" t="s">
        <v>43</v>
      </c>
      <c r="G74">
        <v>92</v>
      </c>
      <c r="I74" s="7">
        <f>(E72+E73)/(E72/I72)</f>
        <v>10.559999999999999</v>
      </c>
      <c r="J74" s="8">
        <f>((M74*(E74/I74)*24)/1000)/E74</f>
        <v>1.5000000000000002</v>
      </c>
      <c r="L74" t="s">
        <v>43</v>
      </c>
      <c r="M74">
        <v>660</v>
      </c>
      <c r="O74" t="s">
        <v>43</v>
      </c>
      <c r="Q74" t="s">
        <v>43</v>
      </c>
      <c r="S74" s="7">
        <v>37.1</v>
      </c>
      <c r="T74" s="7"/>
      <c r="U74" s="3">
        <v>52</v>
      </c>
      <c r="W74" t="s">
        <v>43</v>
      </c>
      <c r="X74" t="s">
        <v>43</v>
      </c>
      <c r="Y74" t="s">
        <v>43</v>
      </c>
      <c r="Z74" t="s">
        <v>43</v>
      </c>
      <c r="AA74" t="s">
        <v>43</v>
      </c>
      <c r="AB74" t="s">
        <v>43</v>
      </c>
      <c r="AF74" s="13">
        <f>0.2*0.34</f>
        <v>6.8000000000000005E-2</v>
      </c>
      <c r="AG74" s="13">
        <f>0.92*0.34</f>
        <v>0.31280000000000002</v>
      </c>
      <c r="AI74" s="36"/>
    </row>
    <row r="75" spans="2:35" ht="15" x14ac:dyDescent="0.25">
      <c r="B75" s="35" t="s">
        <v>236</v>
      </c>
      <c r="C75" t="s">
        <v>46</v>
      </c>
      <c r="D75" t="s">
        <v>43</v>
      </c>
      <c r="E75">
        <v>0.14000000000000001</v>
      </c>
      <c r="F75">
        <v>15</v>
      </c>
      <c r="G75">
        <v>83</v>
      </c>
      <c r="I75">
        <v>6</v>
      </c>
      <c r="J75" s="8">
        <f>((M75*(E75/I75)*24)/1000)/E75</f>
        <v>1.8399999999999999</v>
      </c>
      <c r="L75" t="s">
        <v>43</v>
      </c>
      <c r="M75">
        <v>460</v>
      </c>
      <c r="O75" t="s">
        <v>43</v>
      </c>
      <c r="Q75" t="s">
        <v>43</v>
      </c>
      <c r="S75" s="9">
        <v>67.173913043478265</v>
      </c>
      <c r="T75" s="9"/>
      <c r="U75" s="9">
        <v>72.994652406417117</v>
      </c>
      <c r="W75" t="s">
        <v>43</v>
      </c>
      <c r="X75">
        <v>143</v>
      </c>
      <c r="Y75" t="s">
        <v>43</v>
      </c>
      <c r="Z75" t="s">
        <v>43</v>
      </c>
      <c r="AA75">
        <v>0</v>
      </c>
      <c r="AB75" t="s">
        <v>43</v>
      </c>
      <c r="AF75" s="13">
        <v>0.14960000000000001</v>
      </c>
      <c r="AG75" s="13">
        <f>AF75*2.48</f>
        <v>0.371008</v>
      </c>
      <c r="AI75" s="36" t="s">
        <v>149</v>
      </c>
    </row>
    <row r="76" spans="2:35" x14ac:dyDescent="0.2">
      <c r="B76" s="35"/>
      <c r="C76" t="s">
        <v>239</v>
      </c>
      <c r="D76" t="s">
        <v>46</v>
      </c>
      <c r="E76">
        <v>0.106</v>
      </c>
      <c r="F76">
        <v>35</v>
      </c>
      <c r="G76">
        <v>83</v>
      </c>
      <c r="I76">
        <v>508.79999999999995</v>
      </c>
      <c r="J76" t="s">
        <v>43</v>
      </c>
      <c r="L76" t="s">
        <v>43</v>
      </c>
      <c r="M76" t="s">
        <v>43</v>
      </c>
      <c r="O76" t="s">
        <v>43</v>
      </c>
      <c r="Q76" t="s">
        <v>43</v>
      </c>
      <c r="S76" t="s">
        <v>43</v>
      </c>
      <c r="U76" t="s">
        <v>43</v>
      </c>
      <c r="W76" t="s">
        <v>43</v>
      </c>
      <c r="X76" t="s">
        <v>43</v>
      </c>
      <c r="Y76" t="s">
        <v>43</v>
      </c>
      <c r="Z76" t="s">
        <v>43</v>
      </c>
      <c r="AA76">
        <v>0</v>
      </c>
      <c r="AB76" t="s">
        <v>43</v>
      </c>
      <c r="AF76" s="13">
        <v>6.6640000000000005E-2</v>
      </c>
      <c r="AG76" s="13">
        <f>AF76*2.48</f>
        <v>0.1652672</v>
      </c>
      <c r="AI76" s="36"/>
    </row>
    <row r="77" spans="2:35" ht="15" x14ac:dyDescent="0.25">
      <c r="B77" s="35"/>
      <c r="C77" t="s">
        <v>240</v>
      </c>
      <c r="D77" t="s">
        <v>43</v>
      </c>
      <c r="E77">
        <f>E75+E76</f>
        <v>0.246</v>
      </c>
      <c r="F77" t="s">
        <v>43</v>
      </c>
      <c r="G77">
        <v>83</v>
      </c>
      <c r="I77" s="7">
        <f>(E75+E76)/(E75/I75)</f>
        <v>10.542857142857143</v>
      </c>
      <c r="J77" s="8">
        <f>((M77*(E77/I77)*24)/1000)/E77</f>
        <v>1.0471544715447154</v>
      </c>
      <c r="L77" t="s">
        <v>43</v>
      </c>
      <c r="M77">
        <v>460</v>
      </c>
      <c r="O77" t="s">
        <v>43</v>
      </c>
      <c r="Q77" t="s">
        <v>43</v>
      </c>
      <c r="S77" s="9">
        <v>67.173913043478265</v>
      </c>
      <c r="T77" s="9"/>
      <c r="U77" s="9">
        <v>72.994652406417117</v>
      </c>
      <c r="W77" t="s">
        <v>43</v>
      </c>
      <c r="X77">
        <v>143</v>
      </c>
      <c r="Y77" t="s">
        <v>43</v>
      </c>
      <c r="Z77" t="s">
        <v>43</v>
      </c>
      <c r="AA77">
        <v>0</v>
      </c>
      <c r="AB77" t="s">
        <v>43</v>
      </c>
      <c r="AF77" s="13">
        <v>0.1598</v>
      </c>
      <c r="AG77">
        <v>0.4</v>
      </c>
      <c r="AI77" s="36"/>
    </row>
  </sheetData>
  <mergeCells count="47">
    <mergeCell ref="B20:C20"/>
    <mergeCell ref="B21:C21"/>
    <mergeCell ref="B2:C2"/>
    <mergeCell ref="B3:C3"/>
    <mergeCell ref="AI3:AI7"/>
    <mergeCell ref="B4:C4"/>
    <mergeCell ref="B5:C5"/>
    <mergeCell ref="B6:C6"/>
    <mergeCell ref="B7:C7"/>
    <mergeCell ref="B8:C8"/>
    <mergeCell ref="B9:C9"/>
    <mergeCell ref="B11:C11"/>
    <mergeCell ref="B12:C12"/>
    <mergeCell ref="B13:C13"/>
    <mergeCell ref="B24:C24"/>
    <mergeCell ref="B25:C25"/>
    <mergeCell ref="B27:B29"/>
    <mergeCell ref="AI27:AI38"/>
    <mergeCell ref="B30:B32"/>
    <mergeCell ref="B33:B35"/>
    <mergeCell ref="B36:B38"/>
    <mergeCell ref="AI11:AI24"/>
    <mergeCell ref="B22:C22"/>
    <mergeCell ref="B23:C23"/>
    <mergeCell ref="B14:C14"/>
    <mergeCell ref="B15:C15"/>
    <mergeCell ref="B16:C16"/>
    <mergeCell ref="B17:C17"/>
    <mergeCell ref="B18:C18"/>
    <mergeCell ref="B19:C19"/>
    <mergeCell ref="B39:B41"/>
    <mergeCell ref="AI39:AI53"/>
    <mergeCell ref="B42:B44"/>
    <mergeCell ref="B45:B47"/>
    <mergeCell ref="B48:B50"/>
    <mergeCell ref="B51:B53"/>
    <mergeCell ref="B72:B74"/>
    <mergeCell ref="B75:B77"/>
    <mergeCell ref="AI75:AI77"/>
    <mergeCell ref="B54:B56"/>
    <mergeCell ref="B57:B59"/>
    <mergeCell ref="AI57:AI65"/>
    <mergeCell ref="B60:B62"/>
    <mergeCell ref="B63:B65"/>
    <mergeCell ref="B66:B68"/>
    <mergeCell ref="AI66:AI74"/>
    <mergeCell ref="B69:B7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4D631-4845-4C64-A2EB-0F946E8CED1E}">
  <dimension ref="B2:CH277"/>
  <sheetViews>
    <sheetView topLeftCell="AU159" zoomScale="85" zoomScaleNormal="85" workbookViewId="0">
      <selection activeCell="BC189" sqref="BC189"/>
    </sheetView>
  </sheetViews>
  <sheetFormatPr defaultRowHeight="14.25" x14ac:dyDescent="0.2"/>
  <sheetData>
    <row r="2" spans="2:86" x14ac:dyDescent="0.2">
      <c r="B2" t="s">
        <v>17</v>
      </c>
      <c r="C2" t="s">
        <v>19</v>
      </c>
      <c r="D2" t="s">
        <v>20</v>
      </c>
      <c r="E2" t="s">
        <v>21</v>
      </c>
      <c r="F2" t="s">
        <v>25</v>
      </c>
      <c r="G2" t="s">
        <v>29</v>
      </c>
      <c r="K2" t="s">
        <v>17</v>
      </c>
      <c r="L2" t="s">
        <v>19</v>
      </c>
      <c r="M2" t="s">
        <v>20</v>
      </c>
      <c r="N2" t="s">
        <v>21</v>
      </c>
      <c r="O2" t="s">
        <v>25</v>
      </c>
      <c r="P2" t="s">
        <v>29</v>
      </c>
      <c r="R2" t="s">
        <v>19</v>
      </c>
      <c r="S2" t="s">
        <v>29</v>
      </c>
      <c r="U2" t="s">
        <v>19</v>
      </c>
      <c r="V2" t="s">
        <v>25</v>
      </c>
      <c r="Y2" t="s">
        <v>17</v>
      </c>
      <c r="Z2" t="s">
        <v>29</v>
      </c>
      <c r="AC2" t="s">
        <v>17</v>
      </c>
      <c r="AD2" t="s">
        <v>25</v>
      </c>
      <c r="AF2" t="s">
        <v>20</v>
      </c>
      <c r="AG2" t="s">
        <v>29</v>
      </c>
      <c r="AI2" t="s">
        <v>20</v>
      </c>
      <c r="AJ2" t="s">
        <v>25</v>
      </c>
      <c r="AL2" t="s">
        <v>21</v>
      </c>
      <c r="AM2" t="s">
        <v>29</v>
      </c>
      <c r="AO2" t="s">
        <v>21</v>
      </c>
      <c r="AP2" t="s">
        <v>25</v>
      </c>
      <c r="AV2" t="s">
        <v>17</v>
      </c>
      <c r="AW2" t="s">
        <v>20</v>
      </c>
      <c r="AX2" t="s">
        <v>21</v>
      </c>
      <c r="AY2" t="s">
        <v>29</v>
      </c>
      <c r="BB2" t="s">
        <v>19</v>
      </c>
      <c r="BC2" t="s">
        <v>17</v>
      </c>
      <c r="BD2" t="s">
        <v>20</v>
      </c>
      <c r="BE2" t="s">
        <v>21</v>
      </c>
      <c r="BF2" t="s">
        <v>29</v>
      </c>
      <c r="BH2" t="s">
        <v>17</v>
      </c>
      <c r="BI2" t="s">
        <v>19</v>
      </c>
      <c r="BJ2" t="s">
        <v>20</v>
      </c>
      <c r="BK2" t="s">
        <v>21</v>
      </c>
      <c r="BL2" t="s">
        <v>29</v>
      </c>
      <c r="BS2" t="s">
        <v>17</v>
      </c>
      <c r="BT2" t="s">
        <v>20</v>
      </c>
      <c r="BU2" t="s">
        <v>21</v>
      </c>
      <c r="BV2" t="s">
        <v>29</v>
      </c>
      <c r="BX2">
        <v>20</v>
      </c>
      <c r="BY2">
        <v>4</v>
      </c>
      <c r="BZ2">
        <v>2.544</v>
      </c>
      <c r="CA2">
        <v>60.141509433962256</v>
      </c>
      <c r="CF2" t="s">
        <v>418</v>
      </c>
      <c r="CG2" t="s">
        <v>419</v>
      </c>
      <c r="CH2" t="s">
        <v>420</v>
      </c>
    </row>
    <row r="3" spans="2:86" x14ac:dyDescent="0.2">
      <c r="B3">
        <v>7.1</v>
      </c>
      <c r="C3">
        <v>0.4</v>
      </c>
      <c r="D3">
        <v>8</v>
      </c>
      <c r="E3">
        <v>0.41459999999999997</v>
      </c>
      <c r="F3">
        <v>72.708333333333329</v>
      </c>
      <c r="G3">
        <v>33.14037626628074</v>
      </c>
      <c r="K3">
        <v>18.5</v>
      </c>
      <c r="L3">
        <v>7.1999999999999998E-3</v>
      </c>
      <c r="M3">
        <v>3.6</v>
      </c>
      <c r="N3">
        <v>3.1666666666666665</v>
      </c>
      <c r="O3">
        <v>76.31578947368422</v>
      </c>
      <c r="P3">
        <v>65.26315789473685</v>
      </c>
      <c r="R3">
        <v>7.1999999999999998E-3</v>
      </c>
      <c r="S3">
        <v>65.26315789473685</v>
      </c>
      <c r="U3">
        <v>7.1999999999999998E-3</v>
      </c>
      <c r="V3">
        <v>76.31578947368422</v>
      </c>
      <c r="Y3">
        <v>7.1</v>
      </c>
      <c r="Z3">
        <v>33.14037626628074</v>
      </c>
      <c r="AC3">
        <v>7.1</v>
      </c>
      <c r="AD3">
        <v>72.708333333333329</v>
      </c>
      <c r="AF3">
        <v>1</v>
      </c>
      <c r="AG3">
        <v>34.497206703910614</v>
      </c>
      <c r="AI3">
        <v>1.4</v>
      </c>
      <c r="AJ3">
        <v>48.986486486486484</v>
      </c>
      <c r="AL3">
        <v>7.0000000000000007E-2</v>
      </c>
      <c r="AM3">
        <v>45.9</v>
      </c>
      <c r="AO3">
        <v>0.11</v>
      </c>
      <c r="AP3">
        <v>79.436619718309856</v>
      </c>
      <c r="AV3">
        <v>7.1</v>
      </c>
      <c r="AW3">
        <v>8</v>
      </c>
      <c r="AX3">
        <v>0.41459999999999997</v>
      </c>
      <c r="AY3">
        <v>33.14037626628074</v>
      </c>
      <c r="BB3">
        <v>7.1999999999999998E-3</v>
      </c>
      <c r="BC3">
        <v>18.5</v>
      </c>
      <c r="BD3">
        <v>3.6</v>
      </c>
      <c r="BE3">
        <v>3.1666666666666665</v>
      </c>
      <c r="BF3">
        <v>65.26315789473685</v>
      </c>
      <c r="BH3">
        <v>7.1</v>
      </c>
      <c r="BI3">
        <v>0.4</v>
      </c>
      <c r="BJ3">
        <v>8</v>
      </c>
      <c r="BK3">
        <v>0.41459999999999997</v>
      </c>
      <c r="BL3">
        <v>33.14037626628074</v>
      </c>
      <c r="BS3">
        <v>27</v>
      </c>
      <c r="BT3">
        <v>1</v>
      </c>
      <c r="BU3">
        <v>17.184000000000001</v>
      </c>
      <c r="BV3">
        <v>34.497206703910614</v>
      </c>
      <c r="BX3">
        <v>22</v>
      </c>
      <c r="BY3">
        <v>4</v>
      </c>
      <c r="BZ3">
        <v>4</v>
      </c>
      <c r="CA3">
        <v>15</v>
      </c>
      <c r="CE3">
        <v>20</v>
      </c>
      <c r="CF3">
        <v>60.141509433962256</v>
      </c>
    </row>
    <row r="4" spans="2:86" x14ac:dyDescent="0.2">
      <c r="B4">
        <v>9</v>
      </c>
      <c r="D4">
        <v>12</v>
      </c>
      <c r="E4">
        <v>1.7</v>
      </c>
      <c r="F4">
        <v>59.063136456211815</v>
      </c>
      <c r="G4">
        <v>43.916570104287374</v>
      </c>
      <c r="K4">
        <v>17</v>
      </c>
      <c r="L4">
        <v>2.6066787716953668E-2</v>
      </c>
      <c r="M4">
        <v>96</v>
      </c>
      <c r="N4">
        <v>0.23</v>
      </c>
      <c r="O4">
        <v>78</v>
      </c>
      <c r="P4">
        <v>54</v>
      </c>
      <c r="R4">
        <v>2.6066787716953668E-2</v>
      </c>
      <c r="S4">
        <v>54</v>
      </c>
      <c r="U4">
        <v>2.6066787716953668E-2</v>
      </c>
      <c r="V4">
        <v>78</v>
      </c>
      <c r="Y4">
        <v>9</v>
      </c>
      <c r="Z4">
        <v>43.916570104287374</v>
      </c>
      <c r="AC4">
        <v>9</v>
      </c>
      <c r="AD4">
        <v>59.063136456211815</v>
      </c>
      <c r="AF4">
        <v>1.4</v>
      </c>
      <c r="AG4">
        <v>58.333333333333336</v>
      </c>
      <c r="AI4">
        <v>1.4</v>
      </c>
      <c r="AJ4">
        <v>50.675675675675677</v>
      </c>
      <c r="AL4">
        <v>0.11</v>
      </c>
      <c r="AM4">
        <v>54.395604395604394</v>
      </c>
      <c r="AO4">
        <v>0.13</v>
      </c>
      <c r="AP4">
        <v>79.558823529411768</v>
      </c>
      <c r="AV4">
        <v>9</v>
      </c>
      <c r="AW4">
        <v>12</v>
      </c>
      <c r="AX4">
        <v>1.7</v>
      </c>
      <c r="AY4">
        <v>43.916570104287374</v>
      </c>
      <c r="BB4">
        <v>2.6066787716953668E-2</v>
      </c>
      <c r="BC4">
        <v>17</v>
      </c>
      <c r="BD4">
        <v>96</v>
      </c>
      <c r="BE4">
        <v>0.23</v>
      </c>
      <c r="BF4">
        <v>54</v>
      </c>
      <c r="BH4">
        <v>10.3</v>
      </c>
      <c r="BI4">
        <v>0.4</v>
      </c>
      <c r="BJ4">
        <v>8</v>
      </c>
      <c r="BK4">
        <v>0.41459999999999997</v>
      </c>
      <c r="BL4">
        <v>35.311143270622274</v>
      </c>
      <c r="BS4">
        <v>31</v>
      </c>
      <c r="BT4">
        <v>1.4</v>
      </c>
      <c r="BU4">
        <v>10.491428571428571</v>
      </c>
      <c r="BV4">
        <v>58.333333333333336</v>
      </c>
      <c r="BX4">
        <v>23</v>
      </c>
      <c r="BY4">
        <v>4</v>
      </c>
      <c r="BZ4">
        <v>2.4359999999999999</v>
      </c>
      <c r="CA4">
        <v>65.024630541871915</v>
      </c>
      <c r="CE4">
        <v>22</v>
      </c>
      <c r="CF4">
        <v>15</v>
      </c>
    </row>
    <row r="5" spans="2:86" x14ac:dyDescent="0.2">
      <c r="B5">
        <f>AVERAGE(5,13)</f>
        <v>9</v>
      </c>
      <c r="D5">
        <v>103.19999999999999</v>
      </c>
      <c r="E5">
        <v>0.43</v>
      </c>
      <c r="F5" t="s">
        <v>43</v>
      </c>
      <c r="G5">
        <v>65</v>
      </c>
      <c r="K5">
        <v>24</v>
      </c>
      <c r="L5">
        <v>2.6066787716953668E-2</v>
      </c>
      <c r="M5">
        <v>96</v>
      </c>
      <c r="N5">
        <v>0.31674999999999998</v>
      </c>
      <c r="O5">
        <v>82</v>
      </c>
      <c r="P5">
        <v>58</v>
      </c>
      <c r="R5">
        <v>2.6066787716953668E-2</v>
      </c>
      <c r="S5">
        <v>58</v>
      </c>
      <c r="U5">
        <v>2.6066787716953668E-2</v>
      </c>
      <c r="V5">
        <v>82</v>
      </c>
      <c r="Y5">
        <v>9</v>
      </c>
      <c r="Z5">
        <v>65</v>
      </c>
      <c r="AC5">
        <v>10.3</v>
      </c>
      <c r="AD5">
        <v>43.333333333333336</v>
      </c>
      <c r="AF5">
        <v>1.4</v>
      </c>
      <c r="AG5">
        <v>58.496732026143796</v>
      </c>
      <c r="AI5">
        <v>2.7</v>
      </c>
      <c r="AJ5">
        <v>46.428571428571431</v>
      </c>
      <c r="AL5">
        <v>0.13</v>
      </c>
      <c r="AM5">
        <v>54.748603351955303</v>
      </c>
      <c r="AO5">
        <v>0.14466666666666669</v>
      </c>
      <c r="AP5">
        <v>50.936329588014985</v>
      </c>
      <c r="AV5">
        <v>9</v>
      </c>
      <c r="AW5">
        <v>103.19999999999999</v>
      </c>
      <c r="AX5">
        <v>0.43</v>
      </c>
      <c r="AY5">
        <v>65</v>
      </c>
      <c r="BB5">
        <v>2.6066787716953668E-2</v>
      </c>
      <c r="BC5">
        <v>24</v>
      </c>
      <c r="BD5">
        <v>96</v>
      </c>
      <c r="BE5">
        <v>0.31674999999999998</v>
      </c>
      <c r="BF5">
        <v>58</v>
      </c>
      <c r="BH5">
        <v>13</v>
      </c>
      <c r="BI5">
        <v>7.4999999999999997E-2</v>
      </c>
      <c r="BJ5">
        <v>8</v>
      </c>
      <c r="BK5">
        <v>1.032</v>
      </c>
      <c r="BL5">
        <v>59</v>
      </c>
      <c r="BS5">
        <v>31</v>
      </c>
      <c r="BT5">
        <v>1.4</v>
      </c>
      <c r="BU5">
        <v>10.491428571428571</v>
      </c>
      <c r="BV5">
        <v>58.496732026143796</v>
      </c>
      <c r="BX5">
        <v>23</v>
      </c>
      <c r="BY5">
        <v>4</v>
      </c>
      <c r="BZ5">
        <v>3.7619999999999996</v>
      </c>
      <c r="CA5">
        <v>74</v>
      </c>
      <c r="CE5">
        <v>23</v>
      </c>
      <c r="CF5">
        <v>65.024630541871915</v>
      </c>
    </row>
    <row r="6" spans="2:86" x14ac:dyDescent="0.2">
      <c r="B6">
        <v>10.3</v>
      </c>
      <c r="C6">
        <v>0.4</v>
      </c>
      <c r="D6">
        <v>8</v>
      </c>
      <c r="E6">
        <v>0.41459999999999997</v>
      </c>
      <c r="F6">
        <v>43.333333333333336</v>
      </c>
      <c r="G6">
        <v>35.311143270622274</v>
      </c>
      <c r="K6">
        <f>AVERAGE(17,29)</f>
        <v>23</v>
      </c>
      <c r="L6">
        <v>2.9473137609610248E-2</v>
      </c>
      <c r="M6">
        <v>48</v>
      </c>
      <c r="N6">
        <v>0.26950000000000002</v>
      </c>
      <c r="O6">
        <v>80</v>
      </c>
      <c r="P6">
        <v>63</v>
      </c>
      <c r="R6">
        <v>2.9473137609610248E-2</v>
      </c>
      <c r="S6">
        <v>63</v>
      </c>
      <c r="U6">
        <v>2.9473137609610248E-2</v>
      </c>
      <c r="V6">
        <v>80</v>
      </c>
      <c r="Y6">
        <v>10.3</v>
      </c>
      <c r="Z6">
        <v>35.311143270622274</v>
      </c>
      <c r="AC6">
        <v>12</v>
      </c>
      <c r="AD6">
        <v>47.266881028938904</v>
      </c>
      <c r="AF6">
        <v>2</v>
      </c>
      <c r="AG6">
        <v>44.599745870393903</v>
      </c>
      <c r="AI6">
        <v>2.7</v>
      </c>
      <c r="AJ6">
        <v>47.5</v>
      </c>
      <c r="AL6">
        <v>0.14000000000000001</v>
      </c>
      <c r="AM6">
        <v>30</v>
      </c>
      <c r="AO6">
        <v>0.18</v>
      </c>
      <c r="AP6">
        <v>78.870967741935488</v>
      </c>
      <c r="AV6">
        <v>10.3</v>
      </c>
      <c r="AW6">
        <v>8</v>
      </c>
      <c r="AX6">
        <v>0.41459999999999997</v>
      </c>
      <c r="AY6">
        <v>35.311143270622274</v>
      </c>
      <c r="BB6">
        <v>2.9473137609610248E-2</v>
      </c>
      <c r="BC6">
        <v>23</v>
      </c>
      <c r="BD6">
        <v>48</v>
      </c>
      <c r="BE6">
        <v>0.26950000000000002</v>
      </c>
      <c r="BF6">
        <v>63</v>
      </c>
      <c r="BH6">
        <v>15</v>
      </c>
      <c r="BI6">
        <v>0.5</v>
      </c>
      <c r="BJ6">
        <v>8</v>
      </c>
      <c r="BK6">
        <v>1.4760000000000002</v>
      </c>
      <c r="BL6">
        <v>61</v>
      </c>
      <c r="BS6">
        <v>27</v>
      </c>
      <c r="BT6">
        <v>2</v>
      </c>
      <c r="BU6">
        <v>9.4440000000000008</v>
      </c>
      <c r="BV6">
        <v>44.599745870393903</v>
      </c>
      <c r="BX6">
        <v>25</v>
      </c>
      <c r="BY6">
        <v>4</v>
      </c>
      <c r="BZ6">
        <v>2.238</v>
      </c>
      <c r="CA6">
        <v>53.619302949061662</v>
      </c>
      <c r="CE6">
        <v>23</v>
      </c>
      <c r="CF6">
        <v>74</v>
      </c>
    </row>
    <row r="7" spans="2:86" x14ac:dyDescent="0.2">
      <c r="B7">
        <v>12</v>
      </c>
      <c r="C7" t="s">
        <v>43</v>
      </c>
      <c r="D7">
        <v>7</v>
      </c>
      <c r="E7">
        <v>2.4000000000000004</v>
      </c>
      <c r="F7">
        <v>47.266881028938904</v>
      </c>
      <c r="G7">
        <v>70.428571428571431</v>
      </c>
      <c r="K7">
        <v>26</v>
      </c>
      <c r="L7">
        <v>4.1666666666666664E-2</v>
      </c>
      <c r="M7">
        <v>24</v>
      </c>
      <c r="N7">
        <v>0.24299999999999999</v>
      </c>
      <c r="O7">
        <v>86</v>
      </c>
      <c r="P7">
        <v>77</v>
      </c>
      <c r="R7">
        <v>4.1666666666666664E-2</v>
      </c>
      <c r="S7">
        <v>77</v>
      </c>
      <c r="U7">
        <v>4.1666666666666664E-2</v>
      </c>
      <c r="V7">
        <v>86</v>
      </c>
      <c r="Y7">
        <v>12</v>
      </c>
      <c r="Z7">
        <v>70.428571428571431</v>
      </c>
      <c r="AC7">
        <v>12</v>
      </c>
      <c r="AD7">
        <v>49.517684887459808</v>
      </c>
      <c r="AF7">
        <v>2.4</v>
      </c>
      <c r="AG7">
        <v>48.711340206185568</v>
      </c>
      <c r="AI7">
        <v>3.2</v>
      </c>
      <c r="AJ7">
        <v>34</v>
      </c>
      <c r="AL7">
        <v>0.14466666666666669</v>
      </c>
      <c r="AM7">
        <v>60.36866359447005</v>
      </c>
      <c r="AO7">
        <v>0.23</v>
      </c>
      <c r="AP7">
        <v>78</v>
      </c>
      <c r="AV7">
        <v>12</v>
      </c>
      <c r="AW7">
        <v>7</v>
      </c>
      <c r="AX7">
        <v>2.4000000000000004</v>
      </c>
      <c r="AY7">
        <v>70.428571428571431</v>
      </c>
      <c r="BB7">
        <v>4.1666666666666664E-2</v>
      </c>
      <c r="BC7">
        <v>26</v>
      </c>
      <c r="BD7">
        <v>24</v>
      </c>
      <c r="BE7">
        <v>0.24299999999999999</v>
      </c>
      <c r="BF7">
        <v>77</v>
      </c>
      <c r="BH7">
        <v>15</v>
      </c>
      <c r="BI7">
        <v>0.8</v>
      </c>
      <c r="BJ7">
        <v>7.68</v>
      </c>
      <c r="BK7">
        <v>1.2</v>
      </c>
      <c r="BL7">
        <v>79.3</v>
      </c>
      <c r="BS7">
        <v>25</v>
      </c>
      <c r="BT7">
        <v>2.4</v>
      </c>
      <c r="BU7">
        <v>7.76</v>
      </c>
      <c r="BV7">
        <v>48.711340206185568</v>
      </c>
      <c r="BX7">
        <v>25</v>
      </c>
      <c r="BY7">
        <v>4</v>
      </c>
      <c r="BZ7">
        <v>4.032</v>
      </c>
      <c r="CA7">
        <v>64.583333333333343</v>
      </c>
      <c r="CE7">
        <v>25</v>
      </c>
      <c r="CF7">
        <v>53.619302949061662</v>
      </c>
    </row>
    <row r="8" spans="2:86" x14ac:dyDescent="0.2">
      <c r="B8">
        <v>12</v>
      </c>
      <c r="C8" t="s">
        <v>43</v>
      </c>
      <c r="D8">
        <v>7</v>
      </c>
      <c r="E8">
        <v>2.4000000000000004</v>
      </c>
      <c r="F8">
        <v>49.517684887459808</v>
      </c>
      <c r="G8">
        <v>71.142857142857139</v>
      </c>
      <c r="K8">
        <v>34</v>
      </c>
      <c r="L8">
        <v>4.2440318302387273E-2</v>
      </c>
      <c r="M8">
        <v>37.700000000000003</v>
      </c>
      <c r="N8">
        <v>0.11</v>
      </c>
      <c r="O8">
        <v>79.436619718309856</v>
      </c>
      <c r="P8">
        <v>54.395604395604394</v>
      </c>
      <c r="R8">
        <v>4.2440318302387273E-2</v>
      </c>
      <c r="S8">
        <v>54.395604395604394</v>
      </c>
      <c r="U8">
        <v>4.2440318302387273E-2</v>
      </c>
      <c r="V8">
        <v>79.436619718309856</v>
      </c>
      <c r="Y8">
        <v>12</v>
      </c>
      <c r="Z8">
        <v>71.142857142857139</v>
      </c>
      <c r="AC8">
        <v>12.7</v>
      </c>
      <c r="AD8">
        <v>71</v>
      </c>
      <c r="AF8">
        <v>2.7</v>
      </c>
      <c r="AG8">
        <v>63.111888111888113</v>
      </c>
      <c r="AI8">
        <v>3.6</v>
      </c>
      <c r="AJ8">
        <v>76.31578947368422</v>
      </c>
      <c r="AL8">
        <v>0.15</v>
      </c>
      <c r="AM8">
        <v>50.1</v>
      </c>
      <c r="AO8">
        <v>0.23</v>
      </c>
      <c r="AP8">
        <v>85.492957746478879</v>
      </c>
      <c r="AV8">
        <v>12</v>
      </c>
      <c r="AW8">
        <v>7</v>
      </c>
      <c r="AX8">
        <v>2.4000000000000004</v>
      </c>
      <c r="AY8">
        <v>71.142857142857139</v>
      </c>
      <c r="BB8">
        <v>4.2440318302387273E-2</v>
      </c>
      <c r="BC8">
        <v>34</v>
      </c>
      <c r="BD8">
        <v>37.700000000000003</v>
      </c>
      <c r="BE8">
        <v>0.11</v>
      </c>
      <c r="BF8">
        <v>54.395604395604394</v>
      </c>
      <c r="BH8">
        <v>15</v>
      </c>
      <c r="BI8">
        <v>0.8</v>
      </c>
      <c r="BJ8">
        <v>7.68</v>
      </c>
      <c r="BK8">
        <v>1.51</v>
      </c>
      <c r="BL8">
        <v>68.099999999999994</v>
      </c>
      <c r="BS8">
        <v>26</v>
      </c>
      <c r="BT8">
        <v>2.7</v>
      </c>
      <c r="BU8">
        <v>5.0844444444444434</v>
      </c>
      <c r="BV8">
        <v>63.111888111888113</v>
      </c>
      <c r="BX8">
        <v>25</v>
      </c>
      <c r="BY8">
        <v>4</v>
      </c>
      <c r="BZ8">
        <v>3.516</v>
      </c>
      <c r="CA8">
        <v>66.723549488054616</v>
      </c>
      <c r="CE8">
        <v>25</v>
      </c>
      <c r="CF8">
        <v>64.583333333333343</v>
      </c>
    </row>
    <row r="9" spans="2:86" x14ac:dyDescent="0.2">
      <c r="B9">
        <v>12.7</v>
      </c>
      <c r="D9">
        <v>13.6</v>
      </c>
      <c r="E9">
        <v>0.71</v>
      </c>
      <c r="F9">
        <v>71</v>
      </c>
      <c r="G9">
        <v>40.25</v>
      </c>
      <c r="K9">
        <f>AVERAGE(17,29)</f>
        <v>23</v>
      </c>
      <c r="L9">
        <v>4.4209706414415371E-2</v>
      </c>
      <c r="M9">
        <v>36</v>
      </c>
      <c r="N9">
        <v>0.35933333333333328</v>
      </c>
      <c r="O9">
        <v>78</v>
      </c>
      <c r="P9">
        <v>63</v>
      </c>
      <c r="R9">
        <v>4.4209706414415371E-2</v>
      </c>
      <c r="S9">
        <v>63</v>
      </c>
      <c r="U9">
        <v>4.4209706414415371E-2</v>
      </c>
      <c r="V9">
        <v>78</v>
      </c>
      <c r="Y9">
        <v>12.7</v>
      </c>
      <c r="Z9">
        <v>40.25</v>
      </c>
      <c r="AC9">
        <v>13</v>
      </c>
      <c r="AD9">
        <v>55.300859598853869</v>
      </c>
      <c r="AF9">
        <v>2.7</v>
      </c>
      <c r="AG9">
        <v>66.783216783216787</v>
      </c>
      <c r="AI9">
        <v>4</v>
      </c>
      <c r="AJ9">
        <v>20</v>
      </c>
      <c r="AL9">
        <v>0.18</v>
      </c>
      <c r="AM9">
        <v>59.574468085106382</v>
      </c>
      <c r="AO9">
        <v>0.24299999999999999</v>
      </c>
      <c r="AP9">
        <v>86</v>
      </c>
      <c r="AV9">
        <v>12.7</v>
      </c>
      <c r="AW9">
        <v>13.6</v>
      </c>
      <c r="AX9">
        <v>0.71</v>
      </c>
      <c r="AY9">
        <v>40.25</v>
      </c>
      <c r="BB9">
        <v>4.4209706414415371E-2</v>
      </c>
      <c r="BC9">
        <v>23</v>
      </c>
      <c r="BD9">
        <v>36</v>
      </c>
      <c r="BE9">
        <v>0.35933333333333328</v>
      </c>
      <c r="BF9">
        <v>63</v>
      </c>
      <c r="BH9">
        <v>15</v>
      </c>
      <c r="BI9">
        <v>0.8</v>
      </c>
      <c r="BJ9">
        <v>7.68</v>
      </c>
      <c r="BK9">
        <v>1.6</v>
      </c>
      <c r="BL9">
        <v>68.5</v>
      </c>
      <c r="BS9">
        <v>26</v>
      </c>
      <c r="BT9">
        <v>2.7</v>
      </c>
      <c r="BU9">
        <v>5.0844444444444434</v>
      </c>
      <c r="BV9">
        <v>66.783216783216787</v>
      </c>
      <c r="BX9">
        <v>25</v>
      </c>
      <c r="BY9">
        <v>4</v>
      </c>
      <c r="BZ9">
        <v>3.516</v>
      </c>
      <c r="CA9">
        <v>68.600682593856661</v>
      </c>
      <c r="CE9">
        <v>25</v>
      </c>
      <c r="CF9">
        <v>66.723549488054616</v>
      </c>
    </row>
    <row r="10" spans="2:86" x14ac:dyDescent="0.2">
      <c r="B10">
        <v>12.9</v>
      </c>
      <c r="C10" t="s">
        <v>43</v>
      </c>
      <c r="D10">
        <v>57.2</v>
      </c>
      <c r="E10">
        <v>0.34447552447552449</v>
      </c>
      <c r="F10" t="s">
        <v>43</v>
      </c>
      <c r="G10">
        <v>3.8367844092570031</v>
      </c>
      <c r="K10">
        <v>31.5</v>
      </c>
      <c r="L10">
        <v>4.7761194029850747E-2</v>
      </c>
      <c r="M10">
        <v>33.5</v>
      </c>
      <c r="N10">
        <v>0.13</v>
      </c>
      <c r="O10">
        <v>79.558823529411768</v>
      </c>
      <c r="P10">
        <v>54.748603351955303</v>
      </c>
      <c r="R10">
        <v>4.7761194029850747E-2</v>
      </c>
      <c r="S10">
        <v>54.748603351955303</v>
      </c>
      <c r="U10">
        <v>4.7761194029850747E-2</v>
      </c>
      <c r="V10">
        <v>79.558823529411768</v>
      </c>
      <c r="Y10">
        <v>12.9</v>
      </c>
      <c r="Z10">
        <v>3.8367844092570031</v>
      </c>
      <c r="AC10">
        <v>13.6</v>
      </c>
      <c r="AD10">
        <v>49</v>
      </c>
      <c r="AF10">
        <v>2.8</v>
      </c>
      <c r="AG10">
        <v>50</v>
      </c>
      <c r="AI10">
        <v>4</v>
      </c>
      <c r="AJ10">
        <v>44.029850746268657</v>
      </c>
      <c r="AL10">
        <v>0.18</v>
      </c>
      <c r="AM10">
        <v>72.727272727272734</v>
      </c>
      <c r="AO10">
        <v>0.26</v>
      </c>
      <c r="AP10">
        <v>88.965517241379317</v>
      </c>
      <c r="AV10">
        <v>12.9</v>
      </c>
      <c r="AW10">
        <v>57.2</v>
      </c>
      <c r="AX10">
        <v>0.34447552447552449</v>
      </c>
      <c r="AY10">
        <v>3.8367844092570031</v>
      </c>
      <c r="BB10">
        <v>4.7761194029850747E-2</v>
      </c>
      <c r="BC10">
        <v>31.5</v>
      </c>
      <c r="BD10">
        <v>33.5</v>
      </c>
      <c r="BE10">
        <v>0.13</v>
      </c>
      <c r="BF10">
        <v>54.748603351955303</v>
      </c>
      <c r="BH10">
        <v>15</v>
      </c>
      <c r="BI10">
        <v>0.8</v>
      </c>
      <c r="BJ10">
        <v>10.32</v>
      </c>
      <c r="BK10">
        <v>0.79</v>
      </c>
      <c r="BL10">
        <v>70.3</v>
      </c>
      <c r="BS10">
        <v>22.5</v>
      </c>
      <c r="BT10">
        <v>2.8</v>
      </c>
      <c r="BU10">
        <v>4.74</v>
      </c>
      <c r="BV10">
        <v>50</v>
      </c>
      <c r="BX10">
        <v>26</v>
      </c>
      <c r="BY10">
        <v>4</v>
      </c>
      <c r="BZ10">
        <v>1.9259999999999997</v>
      </c>
      <c r="CA10">
        <v>52.336448598130836</v>
      </c>
      <c r="CE10">
        <v>25</v>
      </c>
      <c r="CF10">
        <v>68.600682593856661</v>
      </c>
    </row>
    <row r="11" spans="2:86" x14ac:dyDescent="0.2">
      <c r="B11">
        <v>13</v>
      </c>
      <c r="C11" t="s">
        <v>43</v>
      </c>
      <c r="D11">
        <v>4.7</v>
      </c>
      <c r="E11">
        <v>1.5931914893617023</v>
      </c>
      <c r="F11" t="s">
        <v>43</v>
      </c>
      <c r="G11">
        <v>64</v>
      </c>
      <c r="K11">
        <v>17</v>
      </c>
      <c r="L11">
        <v>5.2133575433907335E-2</v>
      </c>
      <c r="M11">
        <v>48</v>
      </c>
      <c r="N11">
        <v>0.45</v>
      </c>
      <c r="O11">
        <v>74</v>
      </c>
      <c r="P11">
        <v>51</v>
      </c>
      <c r="R11">
        <v>5.2133575433907335E-2</v>
      </c>
      <c r="S11">
        <v>51</v>
      </c>
      <c r="U11">
        <v>5.2133575433907335E-2</v>
      </c>
      <c r="V11">
        <v>74</v>
      </c>
      <c r="Y11">
        <v>13</v>
      </c>
      <c r="Z11">
        <v>64</v>
      </c>
      <c r="AC11">
        <v>13.7</v>
      </c>
      <c r="AD11">
        <v>67</v>
      </c>
      <c r="AF11">
        <v>3</v>
      </c>
      <c r="AG11">
        <v>42.4</v>
      </c>
      <c r="AI11">
        <v>4</v>
      </c>
      <c r="AJ11">
        <v>44.573643410852718</v>
      </c>
      <c r="AL11">
        <v>0.23</v>
      </c>
      <c r="AM11">
        <v>54</v>
      </c>
      <c r="AO11">
        <v>0.26950000000000002</v>
      </c>
      <c r="AP11">
        <v>80</v>
      </c>
      <c r="AV11">
        <v>13</v>
      </c>
      <c r="AW11">
        <v>4.7</v>
      </c>
      <c r="AX11">
        <v>1.5931914893617023</v>
      </c>
      <c r="AY11">
        <v>64</v>
      </c>
      <c r="BB11">
        <v>5.2133575433907335E-2</v>
      </c>
      <c r="BC11">
        <v>17</v>
      </c>
      <c r="BD11">
        <v>48</v>
      </c>
      <c r="BE11">
        <v>0.45</v>
      </c>
      <c r="BF11">
        <v>51</v>
      </c>
      <c r="BH11">
        <v>15</v>
      </c>
      <c r="BI11">
        <v>0.8</v>
      </c>
      <c r="BJ11">
        <v>12</v>
      </c>
      <c r="BK11">
        <v>0.82</v>
      </c>
      <c r="BL11">
        <v>53.2</v>
      </c>
      <c r="BS11">
        <v>25</v>
      </c>
      <c r="BT11">
        <v>3</v>
      </c>
      <c r="BU11">
        <v>5.9999999999999991</v>
      </c>
      <c r="BV11">
        <v>42.4</v>
      </c>
      <c r="BX11">
        <v>26</v>
      </c>
      <c r="BY11">
        <v>4</v>
      </c>
      <c r="BZ11">
        <v>1</v>
      </c>
      <c r="CA11">
        <v>53</v>
      </c>
      <c r="CE11">
        <v>26</v>
      </c>
      <c r="CF11">
        <v>52.336448598130836</v>
      </c>
    </row>
    <row r="12" spans="2:86" x14ac:dyDescent="0.2">
      <c r="B12">
        <v>13</v>
      </c>
      <c r="C12">
        <v>7.4999999999999997E-2</v>
      </c>
      <c r="D12">
        <v>8</v>
      </c>
      <c r="E12">
        <v>1.032</v>
      </c>
      <c r="F12" t="s">
        <v>43</v>
      </c>
      <c r="G12">
        <v>59</v>
      </c>
      <c r="K12">
        <v>24</v>
      </c>
      <c r="L12">
        <v>5.2133575433907335E-2</v>
      </c>
      <c r="M12">
        <v>48</v>
      </c>
      <c r="N12">
        <v>0.63349999999999995</v>
      </c>
      <c r="O12">
        <v>81</v>
      </c>
      <c r="P12">
        <v>56</v>
      </c>
      <c r="R12">
        <v>5.2133575433907335E-2</v>
      </c>
      <c r="S12">
        <v>56</v>
      </c>
      <c r="U12">
        <v>5.2133575433907335E-2</v>
      </c>
      <c r="V12">
        <v>81</v>
      </c>
      <c r="Y12">
        <v>13</v>
      </c>
      <c r="Z12">
        <v>59</v>
      </c>
      <c r="AC12">
        <v>14.4</v>
      </c>
      <c r="AD12">
        <v>53</v>
      </c>
      <c r="AF12">
        <v>3</v>
      </c>
      <c r="AG12">
        <v>58</v>
      </c>
      <c r="AI12">
        <v>4</v>
      </c>
      <c r="AJ12">
        <v>44.961240310077521</v>
      </c>
      <c r="AL12">
        <v>0.23</v>
      </c>
      <c r="AM12">
        <v>54.320987654320987</v>
      </c>
      <c r="AO12">
        <v>0.27</v>
      </c>
      <c r="AP12">
        <v>55</v>
      </c>
      <c r="AV12">
        <v>13</v>
      </c>
      <c r="AW12">
        <v>8</v>
      </c>
      <c r="AX12">
        <v>2.2000000000000002</v>
      </c>
      <c r="AY12">
        <v>48.113207547169814</v>
      </c>
      <c r="BB12">
        <v>5.2133575433907335E-2</v>
      </c>
      <c r="BC12">
        <v>24</v>
      </c>
      <c r="BD12">
        <v>48</v>
      </c>
      <c r="BE12">
        <v>0.63349999999999995</v>
      </c>
      <c r="BF12">
        <v>56</v>
      </c>
      <c r="BH12">
        <v>15</v>
      </c>
      <c r="BI12">
        <v>0.8</v>
      </c>
      <c r="BJ12">
        <v>13.919999999999998</v>
      </c>
      <c r="BK12">
        <v>0.45</v>
      </c>
      <c r="BL12">
        <v>63.7</v>
      </c>
      <c r="BS12">
        <v>28.5</v>
      </c>
      <c r="BT12">
        <v>3</v>
      </c>
      <c r="BU12">
        <v>5.8</v>
      </c>
      <c r="BV12">
        <v>58</v>
      </c>
      <c r="BX12">
        <v>26</v>
      </c>
      <c r="BY12">
        <v>4</v>
      </c>
      <c r="BZ12">
        <v>1</v>
      </c>
      <c r="CA12">
        <v>61</v>
      </c>
      <c r="CE12">
        <v>26</v>
      </c>
      <c r="CF12">
        <v>53</v>
      </c>
    </row>
    <row r="13" spans="2:86" x14ac:dyDescent="0.2">
      <c r="B13">
        <v>13</v>
      </c>
      <c r="D13">
        <v>8</v>
      </c>
      <c r="E13">
        <v>2.2000000000000002</v>
      </c>
      <c r="F13">
        <v>55.300859598853869</v>
      </c>
      <c r="G13">
        <v>48.113207547169814</v>
      </c>
      <c r="K13">
        <v>25.5</v>
      </c>
      <c r="L13">
        <v>5.6588424210451668E-2</v>
      </c>
      <c r="M13">
        <v>72</v>
      </c>
      <c r="N13">
        <v>0.14466666666666669</v>
      </c>
      <c r="O13">
        <v>50.936329588014985</v>
      </c>
      <c r="P13">
        <v>60.36866359447005</v>
      </c>
      <c r="R13">
        <v>5.6588424210451668E-2</v>
      </c>
      <c r="S13">
        <v>60.36866359447005</v>
      </c>
      <c r="U13">
        <v>5.6588424210451668E-2</v>
      </c>
      <c r="V13">
        <v>50.936329588014985</v>
      </c>
      <c r="Y13">
        <v>13</v>
      </c>
      <c r="Z13">
        <v>48.113207547169814</v>
      </c>
      <c r="AC13">
        <v>14.7</v>
      </c>
      <c r="AD13">
        <v>55</v>
      </c>
      <c r="AF13">
        <v>3.2</v>
      </c>
      <c r="AG13">
        <v>19.941348973607038</v>
      </c>
      <c r="AI13">
        <v>4</v>
      </c>
      <c r="AJ13">
        <v>47</v>
      </c>
      <c r="AL13">
        <v>0.24299999999999999</v>
      </c>
      <c r="AM13">
        <v>77</v>
      </c>
      <c r="AO13">
        <v>0.31674999999999998</v>
      </c>
      <c r="AP13">
        <v>82</v>
      </c>
      <c r="AV13">
        <v>13</v>
      </c>
      <c r="AW13">
        <v>8</v>
      </c>
      <c r="AX13">
        <v>1.032</v>
      </c>
      <c r="AY13">
        <v>59</v>
      </c>
      <c r="BB13">
        <v>5.6588424210451668E-2</v>
      </c>
      <c r="BC13">
        <v>25.5</v>
      </c>
      <c r="BD13">
        <v>72</v>
      </c>
      <c r="BE13">
        <v>0.14466666666666669</v>
      </c>
      <c r="BF13">
        <v>60.36866359447005</v>
      </c>
      <c r="BH13">
        <v>15</v>
      </c>
      <c r="BI13">
        <v>0.8</v>
      </c>
      <c r="BJ13">
        <v>19.919999999999998</v>
      </c>
      <c r="BK13">
        <v>0.38</v>
      </c>
      <c r="BL13">
        <v>68.8</v>
      </c>
      <c r="BS13">
        <v>20</v>
      </c>
      <c r="BT13">
        <v>3.2</v>
      </c>
      <c r="BU13">
        <v>2.6</v>
      </c>
      <c r="BV13">
        <v>19.941348973607038</v>
      </c>
      <c r="BX13">
        <v>26</v>
      </c>
      <c r="BY13">
        <v>4</v>
      </c>
      <c r="BZ13">
        <v>1</v>
      </c>
      <c r="CA13">
        <v>73</v>
      </c>
      <c r="CE13">
        <v>26</v>
      </c>
      <c r="CF13">
        <v>61</v>
      </c>
    </row>
    <row r="14" spans="2:86" x14ac:dyDescent="0.2">
      <c r="B14">
        <v>13</v>
      </c>
      <c r="D14">
        <v>12.5</v>
      </c>
      <c r="E14">
        <v>0.43</v>
      </c>
      <c r="F14" t="s">
        <v>43</v>
      </c>
      <c r="G14">
        <v>57</v>
      </c>
      <c r="K14">
        <f>AVERAGE(17,29)</f>
        <v>23</v>
      </c>
      <c r="L14">
        <v>5.8946275219220495E-2</v>
      </c>
      <c r="M14">
        <v>24</v>
      </c>
      <c r="N14">
        <v>0.53900000000000003</v>
      </c>
      <c r="O14">
        <v>73</v>
      </c>
      <c r="P14">
        <v>70</v>
      </c>
      <c r="R14">
        <v>5.8946275219220495E-2</v>
      </c>
      <c r="S14">
        <v>70</v>
      </c>
      <c r="U14">
        <v>5.8946275219220495E-2</v>
      </c>
      <c r="V14">
        <v>73</v>
      </c>
      <c r="Y14">
        <v>13</v>
      </c>
      <c r="Z14">
        <v>57</v>
      </c>
      <c r="AC14">
        <v>15.75</v>
      </c>
      <c r="AD14">
        <v>74.848484848484858</v>
      </c>
      <c r="AF14">
        <v>3.6</v>
      </c>
      <c r="AG14">
        <v>65.26315789473685</v>
      </c>
      <c r="AI14">
        <v>4</v>
      </c>
      <c r="AJ14">
        <v>61.363636363636367</v>
      </c>
      <c r="AL14">
        <v>0.25</v>
      </c>
      <c r="AM14">
        <v>60</v>
      </c>
      <c r="AO14">
        <v>0.35933333333333328</v>
      </c>
      <c r="AP14">
        <v>78</v>
      </c>
      <c r="AV14">
        <v>13</v>
      </c>
      <c r="AW14">
        <v>12.5</v>
      </c>
      <c r="AX14">
        <v>0.43</v>
      </c>
      <c r="AY14">
        <v>57</v>
      </c>
      <c r="BB14">
        <v>5.8946275219220495E-2</v>
      </c>
      <c r="BC14">
        <v>23</v>
      </c>
      <c r="BD14">
        <v>24</v>
      </c>
      <c r="BE14">
        <v>0.53900000000000003</v>
      </c>
      <c r="BF14">
        <v>70</v>
      </c>
      <c r="BH14">
        <v>15</v>
      </c>
      <c r="BI14">
        <v>0.8</v>
      </c>
      <c r="BJ14">
        <v>24</v>
      </c>
      <c r="BK14">
        <v>0.41</v>
      </c>
      <c r="BL14">
        <v>82.5</v>
      </c>
      <c r="BS14">
        <v>18.5</v>
      </c>
      <c r="BT14">
        <v>3.6</v>
      </c>
      <c r="BU14">
        <v>3.1666666666666665</v>
      </c>
      <c r="BV14">
        <v>65.26315789473685</v>
      </c>
      <c r="BX14">
        <v>27</v>
      </c>
      <c r="BY14">
        <v>4</v>
      </c>
      <c r="BZ14">
        <v>4.62</v>
      </c>
      <c r="CA14">
        <v>45.97402597402597</v>
      </c>
      <c r="CE14">
        <v>26</v>
      </c>
      <c r="CF14">
        <v>73</v>
      </c>
    </row>
    <row r="15" spans="2:86" x14ac:dyDescent="0.2">
      <c r="B15">
        <v>13</v>
      </c>
      <c r="D15">
        <v>15.6</v>
      </c>
      <c r="E15">
        <v>0.33</v>
      </c>
      <c r="F15" t="s">
        <v>43</v>
      </c>
      <c r="G15">
        <v>59</v>
      </c>
      <c r="K15">
        <v>28.1</v>
      </c>
      <c r="L15">
        <v>6.4000000000000001E-2</v>
      </c>
      <c r="M15">
        <v>25</v>
      </c>
      <c r="N15">
        <v>0.18</v>
      </c>
      <c r="O15">
        <v>78.870967741935488</v>
      </c>
      <c r="P15">
        <v>59.574468085106382</v>
      </c>
      <c r="R15">
        <v>6.4000000000000001E-2</v>
      </c>
      <c r="S15">
        <v>59.574468085106382</v>
      </c>
      <c r="U15">
        <v>6.4000000000000001E-2</v>
      </c>
      <c r="V15">
        <v>78.870967741935488</v>
      </c>
      <c r="Y15">
        <v>13</v>
      </c>
      <c r="Z15">
        <v>59</v>
      </c>
      <c r="AC15">
        <v>17</v>
      </c>
      <c r="AD15">
        <v>42.214532871972317</v>
      </c>
      <c r="AF15">
        <v>4</v>
      </c>
      <c r="AG15">
        <v>15</v>
      </c>
      <c r="AI15">
        <v>4</v>
      </c>
      <c r="AJ15">
        <v>62</v>
      </c>
      <c r="AL15">
        <v>0.26</v>
      </c>
      <c r="AM15">
        <v>54.635761589403977</v>
      </c>
      <c r="AO15">
        <v>0.41459999999999997</v>
      </c>
      <c r="AP15">
        <v>43.333333333333336</v>
      </c>
      <c r="AV15">
        <v>13</v>
      </c>
      <c r="AW15">
        <v>15.6</v>
      </c>
      <c r="AX15">
        <v>0.33</v>
      </c>
      <c r="AY15">
        <v>59</v>
      </c>
      <c r="BB15">
        <v>6.4000000000000001E-2</v>
      </c>
      <c r="BC15">
        <v>28.1</v>
      </c>
      <c r="BD15">
        <v>25</v>
      </c>
      <c r="BE15">
        <v>0.18</v>
      </c>
      <c r="BF15">
        <v>59.574468085106382</v>
      </c>
      <c r="BH15">
        <v>15</v>
      </c>
      <c r="BI15">
        <v>0.8</v>
      </c>
      <c r="BJ15">
        <v>42</v>
      </c>
      <c r="BK15">
        <v>0.15</v>
      </c>
      <c r="BL15">
        <v>50.1</v>
      </c>
      <c r="BS15">
        <v>18</v>
      </c>
      <c r="BT15">
        <v>4.4000000000000004</v>
      </c>
      <c r="BU15">
        <v>1.5545454545454545</v>
      </c>
      <c r="BV15">
        <v>33.684210526315788</v>
      </c>
      <c r="BX15">
        <v>30</v>
      </c>
      <c r="BY15">
        <v>4</v>
      </c>
      <c r="BZ15">
        <v>1.1000000000000001</v>
      </c>
      <c r="CA15">
        <v>67</v>
      </c>
      <c r="CE15">
        <v>27</v>
      </c>
      <c r="CF15">
        <v>45.97402597402597</v>
      </c>
    </row>
    <row r="16" spans="2:86" x14ac:dyDescent="0.2">
      <c r="B16">
        <v>13</v>
      </c>
      <c r="D16">
        <v>21.4</v>
      </c>
      <c r="E16">
        <v>0.25</v>
      </c>
      <c r="F16" t="s">
        <v>43</v>
      </c>
      <c r="G16">
        <v>60</v>
      </c>
      <c r="K16">
        <v>13</v>
      </c>
      <c r="L16">
        <v>7.4999999999999997E-2</v>
      </c>
      <c r="M16">
        <v>8</v>
      </c>
      <c r="N16">
        <v>1.032</v>
      </c>
      <c r="O16" t="s">
        <v>43</v>
      </c>
      <c r="P16">
        <v>59</v>
      </c>
      <c r="R16">
        <v>7.4999999999999997E-2</v>
      </c>
      <c r="S16">
        <v>59</v>
      </c>
      <c r="U16">
        <v>8.3333333333333329E-2</v>
      </c>
      <c r="V16">
        <v>67</v>
      </c>
      <c r="Y16">
        <v>13</v>
      </c>
      <c r="Z16">
        <v>60</v>
      </c>
      <c r="AC16">
        <v>17</v>
      </c>
      <c r="AD16">
        <v>43.944636678200695</v>
      </c>
      <c r="AF16">
        <v>4</v>
      </c>
      <c r="AG16">
        <v>45.97402597402597</v>
      </c>
      <c r="AI16">
        <v>4</v>
      </c>
      <c r="AJ16">
        <v>68.586387434554979</v>
      </c>
      <c r="AL16">
        <v>0.26950000000000002</v>
      </c>
      <c r="AM16">
        <v>63</v>
      </c>
      <c r="AO16">
        <v>0.41459999999999997</v>
      </c>
      <c r="AP16">
        <v>72.708333333333329</v>
      </c>
      <c r="AV16">
        <v>13</v>
      </c>
      <c r="AW16">
        <v>21.4</v>
      </c>
      <c r="AX16">
        <v>0.25</v>
      </c>
      <c r="AY16">
        <v>60</v>
      </c>
      <c r="BB16">
        <v>7.4999999999999997E-2</v>
      </c>
      <c r="BC16">
        <v>13</v>
      </c>
      <c r="BD16">
        <v>8</v>
      </c>
      <c r="BE16">
        <v>1.032</v>
      </c>
      <c r="BF16">
        <v>59</v>
      </c>
      <c r="BH16">
        <v>15</v>
      </c>
      <c r="BI16">
        <v>0.8</v>
      </c>
      <c r="BJ16">
        <v>42</v>
      </c>
      <c r="BK16">
        <v>0.36</v>
      </c>
      <c r="BL16">
        <v>82.5</v>
      </c>
      <c r="BS16">
        <v>22.5</v>
      </c>
      <c r="BT16">
        <v>4.4000000000000004</v>
      </c>
      <c r="BU16">
        <v>3.0163636363636361</v>
      </c>
      <c r="BV16">
        <v>47</v>
      </c>
      <c r="BX16">
        <v>30</v>
      </c>
      <c r="BY16">
        <v>4</v>
      </c>
      <c r="BZ16">
        <v>1.1000000000000001</v>
      </c>
      <c r="CA16">
        <v>83.5</v>
      </c>
      <c r="CE16">
        <v>30</v>
      </c>
      <c r="CF16">
        <v>67</v>
      </c>
    </row>
    <row r="17" spans="2:85" x14ac:dyDescent="0.2">
      <c r="B17">
        <v>13</v>
      </c>
      <c r="C17" t="s">
        <v>43</v>
      </c>
      <c r="D17">
        <v>60</v>
      </c>
      <c r="E17">
        <v>0.96179999999999999</v>
      </c>
      <c r="F17" t="s">
        <v>43</v>
      </c>
      <c r="G17">
        <v>79.7</v>
      </c>
      <c r="K17">
        <v>19</v>
      </c>
      <c r="L17">
        <v>8.3333333333333329E-2</v>
      </c>
      <c r="M17">
        <v>12</v>
      </c>
      <c r="N17">
        <v>0.48599999999999999</v>
      </c>
      <c r="O17">
        <v>67</v>
      </c>
      <c r="P17">
        <v>67</v>
      </c>
      <c r="R17">
        <v>8.3333333333333329E-2</v>
      </c>
      <c r="S17">
        <v>67</v>
      </c>
      <c r="U17">
        <v>9.5808383233532954E-2</v>
      </c>
      <c r="V17">
        <v>85.492957746478879</v>
      </c>
      <c r="Y17">
        <v>13</v>
      </c>
      <c r="Z17">
        <v>79.7</v>
      </c>
      <c r="AC17">
        <v>17</v>
      </c>
      <c r="AD17">
        <v>66.268656716417908</v>
      </c>
      <c r="AF17">
        <v>4</v>
      </c>
      <c r="AG17">
        <v>52.336448598130836</v>
      </c>
      <c r="AI17">
        <v>4</v>
      </c>
      <c r="AJ17">
        <v>69.148936170212778</v>
      </c>
      <c r="AL17">
        <v>0.27</v>
      </c>
      <c r="AM17">
        <v>39.726027397260275</v>
      </c>
      <c r="AO17">
        <v>0.43</v>
      </c>
      <c r="AP17">
        <v>61</v>
      </c>
      <c r="AV17">
        <v>13</v>
      </c>
      <c r="AW17">
        <v>60</v>
      </c>
      <c r="AX17">
        <v>0.96179999999999999</v>
      </c>
      <c r="AY17">
        <v>79.7</v>
      </c>
      <c r="BB17">
        <v>8.3333333333333329E-2</v>
      </c>
      <c r="BC17">
        <v>19</v>
      </c>
      <c r="BD17">
        <v>12</v>
      </c>
      <c r="BE17">
        <v>0.48599999999999999</v>
      </c>
      <c r="BF17">
        <v>67</v>
      </c>
      <c r="BH17">
        <v>15</v>
      </c>
      <c r="BI17">
        <v>0.8</v>
      </c>
      <c r="BJ17">
        <v>84</v>
      </c>
      <c r="BK17">
        <v>7.0000000000000007E-2</v>
      </c>
      <c r="BL17">
        <v>45.9</v>
      </c>
      <c r="BS17">
        <v>13</v>
      </c>
      <c r="BT17">
        <v>4.7</v>
      </c>
      <c r="BU17">
        <v>1.5931914893617023</v>
      </c>
      <c r="BV17">
        <v>64</v>
      </c>
      <c r="BX17">
        <v>35</v>
      </c>
      <c r="BY17">
        <v>4</v>
      </c>
      <c r="BZ17">
        <v>2.0460000000000003</v>
      </c>
      <c r="CA17">
        <v>65.102639296187675</v>
      </c>
      <c r="CE17">
        <v>30</v>
      </c>
      <c r="CF17">
        <v>83.5</v>
      </c>
    </row>
    <row r="18" spans="2:85" x14ac:dyDescent="0.2">
      <c r="B18">
        <v>13.6</v>
      </c>
      <c r="D18">
        <v>7.7</v>
      </c>
      <c r="E18">
        <v>0.85</v>
      </c>
      <c r="F18">
        <v>49</v>
      </c>
      <c r="G18">
        <v>26.642335766423358</v>
      </c>
      <c r="K18">
        <v>28</v>
      </c>
      <c r="L18">
        <v>8.9285714285714288E-2</v>
      </c>
      <c r="M18">
        <v>8</v>
      </c>
      <c r="N18">
        <v>0.65</v>
      </c>
      <c r="O18" t="s">
        <v>43</v>
      </c>
      <c r="P18">
        <v>72</v>
      </c>
      <c r="R18">
        <v>8.9285714285714288E-2</v>
      </c>
      <c r="S18">
        <v>72</v>
      </c>
      <c r="U18">
        <v>0.11678832116788324</v>
      </c>
      <c r="V18">
        <v>88.965517241379317</v>
      </c>
      <c r="Y18">
        <v>13.6</v>
      </c>
      <c r="Z18">
        <v>26.642335766423358</v>
      </c>
      <c r="AC18">
        <v>17</v>
      </c>
      <c r="AD18">
        <v>74</v>
      </c>
      <c r="AF18">
        <v>4</v>
      </c>
      <c r="AG18">
        <v>53</v>
      </c>
      <c r="AI18">
        <v>4</v>
      </c>
      <c r="AJ18">
        <v>71</v>
      </c>
      <c r="AL18">
        <v>0.3</v>
      </c>
      <c r="AM18">
        <v>75.238095238095241</v>
      </c>
      <c r="AO18">
        <v>0.45</v>
      </c>
      <c r="AP18">
        <v>74</v>
      </c>
      <c r="AV18">
        <v>13.6</v>
      </c>
      <c r="AW18">
        <v>7.7</v>
      </c>
      <c r="AX18">
        <v>0.85</v>
      </c>
      <c r="AY18">
        <v>26.642335766423358</v>
      </c>
      <c r="BB18">
        <v>8.9285714285714288E-2</v>
      </c>
      <c r="BC18">
        <v>28</v>
      </c>
      <c r="BD18">
        <v>8</v>
      </c>
      <c r="BE18">
        <v>0.65</v>
      </c>
      <c r="BF18">
        <v>72</v>
      </c>
      <c r="BH18">
        <v>17</v>
      </c>
      <c r="BI18">
        <v>2.6066787716953668E-2</v>
      </c>
      <c r="BJ18">
        <v>96</v>
      </c>
      <c r="BK18">
        <v>0.23</v>
      </c>
      <c r="BL18">
        <v>54</v>
      </c>
      <c r="BS18">
        <v>16</v>
      </c>
      <c r="BT18">
        <v>4.7</v>
      </c>
      <c r="BU18">
        <v>1.5931914893617023</v>
      </c>
      <c r="BV18">
        <v>71</v>
      </c>
      <c r="CE18">
        <v>35</v>
      </c>
      <c r="CF18">
        <v>65.102639296187675</v>
      </c>
    </row>
    <row r="19" spans="2:85" x14ac:dyDescent="0.2">
      <c r="B19">
        <v>13.7</v>
      </c>
      <c r="D19">
        <v>14.5</v>
      </c>
      <c r="E19">
        <v>0.56999999999999995</v>
      </c>
      <c r="F19">
        <v>67</v>
      </c>
      <c r="G19">
        <v>44.508670520231213</v>
      </c>
      <c r="K19">
        <v>28</v>
      </c>
      <c r="L19">
        <v>8.9285714285714288E-2</v>
      </c>
      <c r="M19">
        <v>8</v>
      </c>
      <c r="N19">
        <v>0.65</v>
      </c>
      <c r="O19" t="s">
        <v>43</v>
      </c>
      <c r="P19">
        <v>84</v>
      </c>
      <c r="R19">
        <v>8.9285714285714288E-2</v>
      </c>
      <c r="S19">
        <v>84</v>
      </c>
      <c r="U19">
        <v>0.16</v>
      </c>
      <c r="V19">
        <v>31.692677070828328</v>
      </c>
      <c r="Y19">
        <v>13.7</v>
      </c>
      <c r="Z19">
        <v>44.508670520231213</v>
      </c>
      <c r="AC19">
        <v>17</v>
      </c>
      <c r="AD19">
        <v>78</v>
      </c>
      <c r="AF19">
        <v>4</v>
      </c>
      <c r="AG19">
        <v>53.619302949061662</v>
      </c>
      <c r="AI19">
        <v>4</v>
      </c>
      <c r="AJ19">
        <v>76</v>
      </c>
      <c r="AL19">
        <v>0.31674999999999998</v>
      </c>
      <c r="AM19">
        <v>58</v>
      </c>
      <c r="AO19">
        <v>0.45999999999999996</v>
      </c>
      <c r="AP19">
        <v>83</v>
      </c>
      <c r="AV19">
        <v>13.7</v>
      </c>
      <c r="AW19">
        <v>14.5</v>
      </c>
      <c r="AX19">
        <v>0.56999999999999995</v>
      </c>
      <c r="AY19">
        <v>44.508670520231213</v>
      </c>
      <c r="BB19">
        <v>8.9285714285714288E-2</v>
      </c>
      <c r="BC19">
        <v>28</v>
      </c>
      <c r="BD19">
        <v>8</v>
      </c>
      <c r="BE19">
        <v>0.65</v>
      </c>
      <c r="BF19">
        <v>84</v>
      </c>
      <c r="BH19">
        <v>17</v>
      </c>
      <c r="BI19">
        <v>5.2133575433907335E-2</v>
      </c>
      <c r="BJ19">
        <v>48</v>
      </c>
      <c r="BK19">
        <v>0.45</v>
      </c>
      <c r="BL19">
        <v>51</v>
      </c>
      <c r="BS19">
        <v>19</v>
      </c>
      <c r="BT19">
        <v>4.7</v>
      </c>
      <c r="BU19">
        <v>1.5931914893617023</v>
      </c>
      <c r="BV19">
        <v>72</v>
      </c>
      <c r="BX19">
        <v>15</v>
      </c>
      <c r="BY19">
        <v>6</v>
      </c>
      <c r="BZ19">
        <v>2.8839999999999999</v>
      </c>
      <c r="CA19">
        <v>45.908460471567267</v>
      </c>
      <c r="CE19">
        <v>15</v>
      </c>
      <c r="CG19">
        <v>45.908460471567267</v>
      </c>
    </row>
    <row r="20" spans="2:85" x14ac:dyDescent="0.2">
      <c r="B20">
        <v>13.8</v>
      </c>
      <c r="C20" t="s">
        <v>43</v>
      </c>
      <c r="D20">
        <v>44.3</v>
      </c>
      <c r="E20">
        <v>0.52875846501128676</v>
      </c>
      <c r="F20" t="s">
        <v>43</v>
      </c>
      <c r="G20">
        <v>31.290983606557376</v>
      </c>
      <c r="K20">
        <v>27.9</v>
      </c>
      <c r="L20">
        <v>9.5808383233532954E-2</v>
      </c>
      <c r="M20">
        <v>16.7</v>
      </c>
      <c r="N20">
        <v>0.23</v>
      </c>
      <c r="O20">
        <v>85.492957746478879</v>
      </c>
      <c r="P20">
        <v>54.320987654320987</v>
      </c>
      <c r="R20">
        <v>9.5808383233532954E-2</v>
      </c>
      <c r="S20">
        <v>54.320987654320987</v>
      </c>
      <c r="U20">
        <v>0.16</v>
      </c>
      <c r="V20">
        <v>65.217391304347828</v>
      </c>
      <c r="Y20">
        <v>13.8</v>
      </c>
      <c r="Z20">
        <v>31.290983606557376</v>
      </c>
      <c r="AC20">
        <v>18</v>
      </c>
      <c r="AD20">
        <v>55</v>
      </c>
      <c r="AF20">
        <v>4</v>
      </c>
      <c r="AG20">
        <v>60.141509433962256</v>
      </c>
      <c r="AI20">
        <v>4.4000000000000004</v>
      </c>
      <c r="AJ20">
        <v>55.508474576271183</v>
      </c>
      <c r="AL20">
        <v>0.31799999999999995</v>
      </c>
      <c r="AM20">
        <v>57.9</v>
      </c>
      <c r="AO20">
        <v>0.47</v>
      </c>
      <c r="AP20">
        <v>65.217391304347828</v>
      </c>
      <c r="AV20">
        <v>13.8</v>
      </c>
      <c r="AW20">
        <v>44.3</v>
      </c>
      <c r="AX20">
        <v>0.52875846501128676</v>
      </c>
      <c r="AY20">
        <v>31.290983606557376</v>
      </c>
      <c r="BB20">
        <v>9.5808383233532954E-2</v>
      </c>
      <c r="BC20">
        <v>27.9</v>
      </c>
      <c r="BD20">
        <v>16.7</v>
      </c>
      <c r="BE20">
        <v>0.23</v>
      </c>
      <c r="BF20">
        <v>54.320987654320987</v>
      </c>
      <c r="BH20">
        <v>17</v>
      </c>
      <c r="BI20">
        <v>0.8</v>
      </c>
      <c r="BJ20">
        <v>10</v>
      </c>
      <c r="BK20">
        <v>1.5288000000000002</v>
      </c>
      <c r="BL20">
        <v>60</v>
      </c>
      <c r="BS20">
        <v>22</v>
      </c>
      <c r="BT20">
        <v>4.7</v>
      </c>
      <c r="BU20">
        <v>1.5931914893617023</v>
      </c>
      <c r="BV20">
        <v>70</v>
      </c>
      <c r="BX20">
        <v>15.75</v>
      </c>
      <c r="BY20">
        <v>6</v>
      </c>
      <c r="BZ20">
        <v>3.4840000000000004</v>
      </c>
      <c r="CA20">
        <v>70.493685419058551</v>
      </c>
      <c r="CE20">
        <v>15.75</v>
      </c>
      <c r="CG20">
        <v>70.493685419058551</v>
      </c>
    </row>
    <row r="21" spans="2:85" x14ac:dyDescent="0.2">
      <c r="B21">
        <v>14.4</v>
      </c>
      <c r="D21">
        <v>9.6999999999999993</v>
      </c>
      <c r="E21">
        <v>0.53</v>
      </c>
      <c r="F21">
        <v>53</v>
      </c>
      <c r="G21">
        <v>39.814814814814817</v>
      </c>
      <c r="K21">
        <v>25.5</v>
      </c>
      <c r="L21">
        <v>0.11678832116788324</v>
      </c>
      <c r="M21">
        <v>13.7</v>
      </c>
      <c r="N21">
        <v>0.26</v>
      </c>
      <c r="O21">
        <v>88.965517241379317</v>
      </c>
      <c r="P21">
        <v>54.635761589403977</v>
      </c>
      <c r="R21">
        <v>0.11678832116788324</v>
      </c>
      <c r="S21">
        <v>54.635761589403977</v>
      </c>
      <c r="U21">
        <v>0.16666666666666666</v>
      </c>
      <c r="V21">
        <v>33</v>
      </c>
      <c r="Y21">
        <v>14.4</v>
      </c>
      <c r="Z21">
        <v>39.814814814814817</v>
      </c>
      <c r="AC21">
        <v>18</v>
      </c>
      <c r="AD21">
        <v>55.508474576271183</v>
      </c>
      <c r="AF21">
        <v>4</v>
      </c>
      <c r="AG21">
        <v>61</v>
      </c>
      <c r="AI21">
        <v>4.9000000000000004</v>
      </c>
      <c r="AJ21">
        <v>35</v>
      </c>
      <c r="AL21">
        <v>0.31799999999999995</v>
      </c>
      <c r="AM21">
        <v>57</v>
      </c>
      <c r="AO21">
        <v>0.48599999999999999</v>
      </c>
      <c r="AP21">
        <v>67</v>
      </c>
      <c r="AV21">
        <v>14.4</v>
      </c>
      <c r="AW21">
        <v>9.6999999999999993</v>
      </c>
      <c r="AX21">
        <v>0.53</v>
      </c>
      <c r="AY21">
        <v>39.814814814814817</v>
      </c>
      <c r="BB21">
        <v>0.11678832116788324</v>
      </c>
      <c r="BC21">
        <v>25.5</v>
      </c>
      <c r="BD21">
        <v>13.7</v>
      </c>
      <c r="BE21">
        <v>0.26</v>
      </c>
      <c r="BF21">
        <v>54.635761589403977</v>
      </c>
      <c r="BH21">
        <v>17</v>
      </c>
      <c r="BI21">
        <v>0.8</v>
      </c>
      <c r="BJ21">
        <v>14</v>
      </c>
      <c r="BK21">
        <v>1.0919999999999999</v>
      </c>
      <c r="BL21">
        <v>72</v>
      </c>
      <c r="BS21">
        <v>25</v>
      </c>
      <c r="BT21">
        <v>4.7</v>
      </c>
      <c r="BU21">
        <v>1.5931914893617023</v>
      </c>
      <c r="BV21">
        <v>70</v>
      </c>
      <c r="BX21">
        <v>19</v>
      </c>
      <c r="BY21">
        <v>6</v>
      </c>
      <c r="BZ21">
        <v>3.3</v>
      </c>
      <c r="CA21">
        <v>38.356164383561641</v>
      </c>
      <c r="CE21">
        <v>19</v>
      </c>
      <c r="CG21">
        <v>38.356164383561641</v>
      </c>
    </row>
    <row r="22" spans="2:85" x14ac:dyDescent="0.2">
      <c r="B22">
        <v>14.7</v>
      </c>
      <c r="D22">
        <v>12.8</v>
      </c>
      <c r="E22">
        <v>0.27</v>
      </c>
      <c r="F22">
        <v>55</v>
      </c>
      <c r="G22">
        <v>39.726027397260275</v>
      </c>
      <c r="K22">
        <v>26.5</v>
      </c>
      <c r="L22">
        <v>0.11904761904761905</v>
      </c>
      <c r="M22">
        <v>6</v>
      </c>
      <c r="N22">
        <v>0.87</v>
      </c>
      <c r="O22" t="s">
        <v>43</v>
      </c>
      <c r="P22">
        <v>70</v>
      </c>
      <c r="R22">
        <v>0.11904761904761905</v>
      </c>
      <c r="S22">
        <v>70</v>
      </c>
      <c r="U22">
        <v>0.17857142857142858</v>
      </c>
      <c r="V22">
        <v>47</v>
      </c>
      <c r="Y22">
        <v>14.7</v>
      </c>
      <c r="Z22">
        <v>39.726027397260275</v>
      </c>
      <c r="AC22">
        <v>18</v>
      </c>
      <c r="AD22">
        <v>75.27472527472527</v>
      </c>
      <c r="AF22">
        <v>4</v>
      </c>
      <c r="AG22">
        <v>64.583333333333343</v>
      </c>
      <c r="AI22">
        <v>5</v>
      </c>
      <c r="AJ22">
        <v>35</v>
      </c>
      <c r="AL22">
        <v>0.33</v>
      </c>
      <c r="AM22">
        <v>59</v>
      </c>
      <c r="AO22">
        <v>0.53</v>
      </c>
      <c r="AP22">
        <v>53</v>
      </c>
      <c r="AV22">
        <v>14.7</v>
      </c>
      <c r="AW22">
        <v>12.8</v>
      </c>
      <c r="AX22">
        <v>0.27</v>
      </c>
      <c r="AY22">
        <v>39.726027397260275</v>
      </c>
      <c r="BB22">
        <v>0.11904761904761905</v>
      </c>
      <c r="BC22">
        <v>26.5</v>
      </c>
      <c r="BD22">
        <v>6</v>
      </c>
      <c r="BE22">
        <v>0.87</v>
      </c>
      <c r="BF22">
        <v>70</v>
      </c>
      <c r="BH22">
        <v>17</v>
      </c>
      <c r="BI22">
        <v>0.8</v>
      </c>
      <c r="BJ22">
        <v>18</v>
      </c>
      <c r="BK22">
        <v>0.84933333333333338</v>
      </c>
      <c r="BL22">
        <v>74</v>
      </c>
      <c r="BS22">
        <v>23</v>
      </c>
      <c r="BT22">
        <v>4.9000000000000004</v>
      </c>
      <c r="BU22">
        <v>2.7379591836734689</v>
      </c>
      <c r="BV22">
        <v>51</v>
      </c>
      <c r="BX22">
        <v>19</v>
      </c>
      <c r="BY22">
        <v>6</v>
      </c>
      <c r="BZ22">
        <v>2.548</v>
      </c>
      <c r="CA22">
        <v>61</v>
      </c>
      <c r="CE22">
        <v>19</v>
      </c>
      <c r="CG22">
        <v>61</v>
      </c>
    </row>
    <row r="23" spans="2:85" x14ac:dyDescent="0.2">
      <c r="B23">
        <v>15</v>
      </c>
      <c r="C23" t="s">
        <v>43</v>
      </c>
      <c r="D23">
        <v>6</v>
      </c>
      <c r="E23">
        <v>2.8839999999999999</v>
      </c>
      <c r="F23" t="s">
        <v>43</v>
      </c>
      <c r="G23">
        <v>45.908460471567267</v>
      </c>
      <c r="K23">
        <v>26.5</v>
      </c>
      <c r="L23">
        <v>0.11904761904761905</v>
      </c>
      <c r="M23">
        <v>6</v>
      </c>
      <c r="N23">
        <v>0.87</v>
      </c>
      <c r="O23" t="s">
        <v>43</v>
      </c>
      <c r="P23">
        <v>82</v>
      </c>
      <c r="R23">
        <v>0.11904761904761905</v>
      </c>
      <c r="S23">
        <v>82</v>
      </c>
      <c r="U23">
        <v>0.17857142857142858</v>
      </c>
      <c r="V23">
        <v>76</v>
      </c>
      <c r="Y23">
        <v>15</v>
      </c>
      <c r="Z23">
        <v>45.908460471567267</v>
      </c>
      <c r="AC23">
        <v>18.5</v>
      </c>
      <c r="AD23">
        <v>76.31578947368422</v>
      </c>
      <c r="AF23">
        <v>4</v>
      </c>
      <c r="AG23">
        <v>65.024630541871915</v>
      </c>
      <c r="AI23">
        <v>5</v>
      </c>
      <c r="AJ23">
        <v>62.318840579710141</v>
      </c>
      <c r="AL23">
        <v>0.34447552447552449</v>
      </c>
      <c r="AM23">
        <v>3.8367844092570031</v>
      </c>
      <c r="AO23">
        <v>0.53900000000000003</v>
      </c>
      <c r="AP23">
        <v>73</v>
      </c>
      <c r="AV23">
        <v>15</v>
      </c>
      <c r="AW23">
        <v>6</v>
      </c>
      <c r="AX23">
        <v>2.8839999999999999</v>
      </c>
      <c r="AY23">
        <v>45.908460471567267</v>
      </c>
      <c r="BB23">
        <v>0.11904761904761905</v>
      </c>
      <c r="BC23">
        <v>26.5</v>
      </c>
      <c r="BD23">
        <v>6</v>
      </c>
      <c r="BE23">
        <v>0.87</v>
      </c>
      <c r="BF23">
        <v>82</v>
      </c>
      <c r="BH23">
        <v>18</v>
      </c>
      <c r="BI23">
        <v>0.2</v>
      </c>
      <c r="BJ23">
        <v>25</v>
      </c>
      <c r="BK23">
        <v>1.5</v>
      </c>
      <c r="BL23">
        <v>51</v>
      </c>
      <c r="BS23">
        <v>22</v>
      </c>
      <c r="BT23">
        <v>5</v>
      </c>
      <c r="BU23">
        <v>1.8863999999999999</v>
      </c>
      <c r="BV23">
        <v>28.753180661577609</v>
      </c>
      <c r="BX23">
        <v>20</v>
      </c>
      <c r="BY23">
        <v>6</v>
      </c>
      <c r="BZ23">
        <v>1.2</v>
      </c>
      <c r="CA23">
        <v>70</v>
      </c>
      <c r="CE23">
        <v>20</v>
      </c>
      <c r="CG23">
        <v>70</v>
      </c>
    </row>
    <row r="24" spans="2:85" x14ac:dyDescent="0.2">
      <c r="B24">
        <v>15</v>
      </c>
      <c r="C24">
        <v>0.8</v>
      </c>
      <c r="D24">
        <v>7.68</v>
      </c>
      <c r="E24">
        <v>1.51</v>
      </c>
      <c r="F24" t="s">
        <v>43</v>
      </c>
      <c r="G24">
        <v>68.099999999999994</v>
      </c>
      <c r="K24">
        <v>22.7</v>
      </c>
      <c r="L24">
        <v>0.16</v>
      </c>
      <c r="M24">
        <v>9.1</v>
      </c>
      <c r="N24">
        <v>3.4285714285714293</v>
      </c>
      <c r="O24">
        <v>31.692677070828328</v>
      </c>
      <c r="P24">
        <v>42.153846153846153</v>
      </c>
      <c r="R24">
        <v>0.16</v>
      </c>
      <c r="S24">
        <v>42.153846153846153</v>
      </c>
      <c r="U24">
        <v>0.18</v>
      </c>
      <c r="V24">
        <v>58</v>
      </c>
      <c r="Y24">
        <v>15</v>
      </c>
      <c r="Z24">
        <v>68.099999999999994</v>
      </c>
      <c r="AC24">
        <v>19</v>
      </c>
      <c r="AD24">
        <v>41.982507288629741</v>
      </c>
      <c r="AF24">
        <v>4</v>
      </c>
      <c r="AG24">
        <v>65.102639296187675</v>
      </c>
      <c r="AI24">
        <v>5.0999999999999996</v>
      </c>
      <c r="AJ24">
        <v>39</v>
      </c>
      <c r="AL24">
        <v>0.35933333333333328</v>
      </c>
      <c r="AM24">
        <v>63</v>
      </c>
      <c r="AO24">
        <v>0.56999999999999995</v>
      </c>
      <c r="AP24">
        <v>67</v>
      </c>
      <c r="AV24">
        <v>15</v>
      </c>
      <c r="AW24">
        <v>7.68</v>
      </c>
      <c r="AX24">
        <v>1.51</v>
      </c>
      <c r="AY24">
        <v>68.099999999999994</v>
      </c>
      <c r="BB24">
        <v>0.16</v>
      </c>
      <c r="BC24">
        <v>22.7</v>
      </c>
      <c r="BD24">
        <v>9.1</v>
      </c>
      <c r="BE24">
        <v>3.4285714285714293</v>
      </c>
      <c r="BF24">
        <v>42.153846153846153</v>
      </c>
      <c r="BH24">
        <v>18.5</v>
      </c>
      <c r="BI24">
        <v>7.1999999999999998E-3</v>
      </c>
      <c r="BJ24">
        <v>3.6</v>
      </c>
      <c r="BK24">
        <v>3.1666666666666665</v>
      </c>
      <c r="BL24">
        <v>65.26315789473685</v>
      </c>
      <c r="BS24">
        <v>22</v>
      </c>
      <c r="BT24">
        <v>5</v>
      </c>
      <c r="BU24">
        <v>3</v>
      </c>
      <c r="BV24">
        <v>39</v>
      </c>
      <c r="BX24">
        <v>20</v>
      </c>
      <c r="BY24">
        <v>6</v>
      </c>
      <c r="BZ24">
        <v>1.83</v>
      </c>
      <c r="CA24">
        <v>70</v>
      </c>
      <c r="CE24">
        <v>20</v>
      </c>
      <c r="CG24">
        <v>70</v>
      </c>
    </row>
    <row r="25" spans="2:85" x14ac:dyDescent="0.2">
      <c r="B25">
        <v>15</v>
      </c>
      <c r="C25">
        <v>0.8</v>
      </c>
      <c r="D25">
        <v>7.68</v>
      </c>
      <c r="E25">
        <v>1.6</v>
      </c>
      <c r="F25" t="s">
        <v>43</v>
      </c>
      <c r="G25">
        <v>68.5</v>
      </c>
      <c r="K25">
        <v>27.3</v>
      </c>
      <c r="L25">
        <v>0.16</v>
      </c>
      <c r="M25">
        <v>10</v>
      </c>
      <c r="N25">
        <v>0.47</v>
      </c>
      <c r="O25">
        <v>65.217391304347828</v>
      </c>
      <c r="P25">
        <v>68.341708542713562</v>
      </c>
      <c r="R25">
        <v>0.16</v>
      </c>
      <c r="S25">
        <v>68.341708542713562</v>
      </c>
      <c r="U25">
        <v>0.2</v>
      </c>
      <c r="V25">
        <v>55</v>
      </c>
      <c r="Y25">
        <v>15</v>
      </c>
      <c r="Z25">
        <v>68.5</v>
      </c>
      <c r="AC25">
        <v>19</v>
      </c>
      <c r="AD25">
        <v>67</v>
      </c>
      <c r="AF25">
        <v>4</v>
      </c>
      <c r="AG25">
        <v>66.723549488054616</v>
      </c>
      <c r="AI25">
        <v>5.0999999999999996</v>
      </c>
      <c r="AJ25">
        <v>67.114093959731548</v>
      </c>
      <c r="AL25">
        <v>0.36</v>
      </c>
      <c r="AM25">
        <v>82.5</v>
      </c>
      <c r="AO25">
        <v>0.5704999999999999</v>
      </c>
      <c r="AP25">
        <v>45</v>
      </c>
      <c r="AV25">
        <v>15</v>
      </c>
      <c r="AW25">
        <v>7.68</v>
      </c>
      <c r="AX25">
        <v>1.6</v>
      </c>
      <c r="AY25">
        <v>68.5</v>
      </c>
      <c r="BB25">
        <v>0.16</v>
      </c>
      <c r="BC25">
        <v>27.3</v>
      </c>
      <c r="BD25">
        <v>10</v>
      </c>
      <c r="BE25">
        <v>0.47</v>
      </c>
      <c r="BF25">
        <v>68.341708542713562</v>
      </c>
      <c r="BH25">
        <v>19</v>
      </c>
      <c r="BI25">
        <v>8.3333333333333329E-2</v>
      </c>
      <c r="BJ25">
        <v>12</v>
      </c>
      <c r="BK25">
        <v>0.48599999999999999</v>
      </c>
      <c r="BL25">
        <v>67</v>
      </c>
      <c r="BS25">
        <v>21</v>
      </c>
      <c r="BT25">
        <v>5.0999999999999996</v>
      </c>
      <c r="BU25">
        <v>1.4447058823529413</v>
      </c>
      <c r="BV25">
        <v>61.88925081433225</v>
      </c>
      <c r="BX25">
        <v>20</v>
      </c>
      <c r="BY25">
        <v>6</v>
      </c>
      <c r="BZ25">
        <v>2</v>
      </c>
      <c r="CA25">
        <v>70</v>
      </c>
      <c r="CE25">
        <v>20</v>
      </c>
      <c r="CG25">
        <v>70</v>
      </c>
    </row>
    <row r="26" spans="2:85" x14ac:dyDescent="0.2">
      <c r="B26">
        <v>15</v>
      </c>
      <c r="C26">
        <v>0.8</v>
      </c>
      <c r="D26">
        <v>7.68</v>
      </c>
      <c r="E26">
        <v>1.2</v>
      </c>
      <c r="F26" t="s">
        <v>43</v>
      </c>
      <c r="G26">
        <v>79.3</v>
      </c>
      <c r="K26">
        <v>21</v>
      </c>
      <c r="L26">
        <v>0.16666666666666666</v>
      </c>
      <c r="M26">
        <v>6</v>
      </c>
      <c r="N26">
        <v>0.97199999999999998</v>
      </c>
      <c r="O26">
        <v>33</v>
      </c>
      <c r="P26">
        <v>31</v>
      </c>
      <c r="R26">
        <v>0.16666666666666666</v>
      </c>
      <c r="S26">
        <v>31</v>
      </c>
      <c r="U26">
        <v>0.2</v>
      </c>
      <c r="V26">
        <v>62</v>
      </c>
      <c r="Y26">
        <v>15</v>
      </c>
      <c r="Z26">
        <v>79.3</v>
      </c>
      <c r="AC26">
        <v>19.149999999999999</v>
      </c>
      <c r="AD26">
        <v>66</v>
      </c>
      <c r="AF26">
        <v>4</v>
      </c>
      <c r="AG26">
        <v>67</v>
      </c>
      <c r="AI26">
        <v>5.5</v>
      </c>
      <c r="AJ26">
        <v>42.214532871972317</v>
      </c>
      <c r="AL26">
        <v>0.36</v>
      </c>
      <c r="AM26">
        <v>80.576208178438662</v>
      </c>
      <c r="AO26">
        <v>0.62079999999999991</v>
      </c>
      <c r="AP26">
        <v>62.637362637362635</v>
      </c>
      <c r="AV26">
        <v>15</v>
      </c>
      <c r="AW26">
        <v>7.68</v>
      </c>
      <c r="AX26">
        <v>1.2</v>
      </c>
      <c r="AY26">
        <v>79.3</v>
      </c>
      <c r="BB26">
        <v>0.16666666666666666</v>
      </c>
      <c r="BC26">
        <v>21</v>
      </c>
      <c r="BD26">
        <v>6</v>
      </c>
      <c r="BE26">
        <v>0.97199999999999998</v>
      </c>
      <c r="BF26">
        <v>31</v>
      </c>
      <c r="BH26">
        <v>19</v>
      </c>
      <c r="BI26">
        <v>0.8</v>
      </c>
      <c r="BJ26">
        <v>6</v>
      </c>
      <c r="BK26">
        <v>2.548</v>
      </c>
      <c r="BL26">
        <v>61</v>
      </c>
      <c r="BS26">
        <v>23</v>
      </c>
      <c r="BT26">
        <v>5.0999999999999996</v>
      </c>
      <c r="BU26">
        <v>2.6305882352941179</v>
      </c>
      <c r="BV26">
        <v>49</v>
      </c>
      <c r="BX26">
        <v>20</v>
      </c>
      <c r="BY26">
        <v>6</v>
      </c>
      <c r="BZ26">
        <v>2</v>
      </c>
      <c r="CA26">
        <v>75</v>
      </c>
      <c r="CE26">
        <v>20</v>
      </c>
      <c r="CG26">
        <v>75</v>
      </c>
    </row>
    <row r="27" spans="2:85" x14ac:dyDescent="0.2">
      <c r="B27">
        <v>15</v>
      </c>
      <c r="C27">
        <v>0.5</v>
      </c>
      <c r="D27">
        <v>8</v>
      </c>
      <c r="E27">
        <v>1.4760000000000002</v>
      </c>
      <c r="F27" t="s">
        <v>43</v>
      </c>
      <c r="G27">
        <v>61</v>
      </c>
      <c r="K27">
        <v>30</v>
      </c>
      <c r="L27">
        <v>0.17857142857142858</v>
      </c>
      <c r="M27">
        <v>4</v>
      </c>
      <c r="N27">
        <v>1.1000000000000001</v>
      </c>
      <c r="O27">
        <v>47</v>
      </c>
      <c r="P27">
        <v>67</v>
      </c>
      <c r="R27">
        <v>0.17857142857142858</v>
      </c>
      <c r="S27">
        <v>67</v>
      </c>
      <c r="U27">
        <v>0.2</v>
      </c>
      <c r="V27">
        <v>76</v>
      </c>
      <c r="Y27">
        <v>15</v>
      </c>
      <c r="Z27">
        <v>61</v>
      </c>
      <c r="AC27">
        <v>19.5</v>
      </c>
      <c r="AD27">
        <v>87</v>
      </c>
      <c r="AF27">
        <v>4</v>
      </c>
      <c r="AG27">
        <v>68.600682593856661</v>
      </c>
      <c r="AI27">
        <v>5.5</v>
      </c>
      <c r="AJ27">
        <v>43.944636678200695</v>
      </c>
      <c r="AL27">
        <v>0.36800000000000005</v>
      </c>
      <c r="AM27">
        <v>53.260869565217398</v>
      </c>
      <c r="AO27">
        <v>0.63349999999999995</v>
      </c>
      <c r="AP27">
        <v>81</v>
      </c>
      <c r="AV27">
        <v>15</v>
      </c>
      <c r="AW27">
        <v>8</v>
      </c>
      <c r="AX27">
        <v>1.4760000000000002</v>
      </c>
      <c r="AY27">
        <v>61</v>
      </c>
      <c r="BB27">
        <v>0.17857142857142858</v>
      </c>
      <c r="BC27">
        <v>30</v>
      </c>
      <c r="BD27">
        <v>4</v>
      </c>
      <c r="BE27">
        <v>1.1000000000000001</v>
      </c>
      <c r="BF27">
        <v>67</v>
      </c>
      <c r="BH27">
        <v>19</v>
      </c>
      <c r="BI27">
        <v>0.8</v>
      </c>
      <c r="BJ27">
        <v>8</v>
      </c>
      <c r="BK27">
        <v>1.911</v>
      </c>
      <c r="BL27">
        <v>65</v>
      </c>
      <c r="BS27">
        <v>17</v>
      </c>
      <c r="BT27">
        <v>5.5</v>
      </c>
      <c r="BU27">
        <v>2.474181818181818</v>
      </c>
      <c r="BV27">
        <v>69.135802469135797</v>
      </c>
      <c r="BX27">
        <v>20</v>
      </c>
      <c r="BY27">
        <v>6</v>
      </c>
      <c r="BZ27">
        <v>2</v>
      </c>
      <c r="CA27">
        <v>75</v>
      </c>
      <c r="CE27">
        <v>20</v>
      </c>
      <c r="CG27">
        <v>75</v>
      </c>
    </row>
    <row r="28" spans="2:85" x14ac:dyDescent="0.2">
      <c r="B28">
        <v>15</v>
      </c>
      <c r="C28" t="s">
        <v>43</v>
      </c>
      <c r="D28">
        <v>8</v>
      </c>
      <c r="E28">
        <v>0.9</v>
      </c>
      <c r="F28" t="s">
        <v>43</v>
      </c>
      <c r="G28">
        <v>70</v>
      </c>
      <c r="K28">
        <v>30</v>
      </c>
      <c r="L28">
        <v>0.17857142857142858</v>
      </c>
      <c r="M28">
        <v>4</v>
      </c>
      <c r="N28">
        <v>1.1000000000000001</v>
      </c>
      <c r="O28">
        <v>76</v>
      </c>
      <c r="P28">
        <v>83.5</v>
      </c>
      <c r="R28">
        <v>0.17857142857142858</v>
      </c>
      <c r="S28">
        <v>83.5</v>
      </c>
      <c r="U28">
        <v>0.2</v>
      </c>
      <c r="V28">
        <v>79</v>
      </c>
      <c r="Y28">
        <v>15</v>
      </c>
      <c r="Z28">
        <v>70</v>
      </c>
      <c r="AC28">
        <v>20</v>
      </c>
      <c r="AD28">
        <v>9</v>
      </c>
      <c r="AF28">
        <v>4</v>
      </c>
      <c r="AG28">
        <v>73</v>
      </c>
      <c r="AI28">
        <v>5.7</v>
      </c>
      <c r="AJ28">
        <v>46</v>
      </c>
      <c r="AL28">
        <v>0.38</v>
      </c>
      <c r="AM28">
        <v>68.8</v>
      </c>
      <c r="AO28">
        <v>0.65032258064516124</v>
      </c>
      <c r="AP28">
        <v>40.495867768595041</v>
      </c>
      <c r="AV28">
        <v>15</v>
      </c>
      <c r="AW28">
        <v>8</v>
      </c>
      <c r="AX28">
        <v>0.9</v>
      </c>
      <c r="AY28">
        <v>70</v>
      </c>
      <c r="BB28">
        <v>0.17857142857142858</v>
      </c>
      <c r="BC28">
        <v>30</v>
      </c>
      <c r="BD28">
        <v>4</v>
      </c>
      <c r="BE28">
        <v>1.1000000000000001</v>
      </c>
      <c r="BF28">
        <v>83.5</v>
      </c>
      <c r="BH28">
        <v>19</v>
      </c>
      <c r="BI28">
        <v>0.8</v>
      </c>
      <c r="BJ28">
        <v>10</v>
      </c>
      <c r="BK28">
        <v>1.5288000000000002</v>
      </c>
      <c r="BL28">
        <v>64</v>
      </c>
      <c r="BS28">
        <v>17</v>
      </c>
      <c r="BT28">
        <v>5.5</v>
      </c>
      <c r="BU28">
        <v>2.474181818181818</v>
      </c>
      <c r="BV28">
        <v>72.663139329805986</v>
      </c>
      <c r="BX28">
        <v>20.5</v>
      </c>
      <c r="BY28">
        <v>6</v>
      </c>
      <c r="BZ28">
        <v>2.4</v>
      </c>
      <c r="CA28">
        <v>62.2</v>
      </c>
      <c r="CE28">
        <v>20.5</v>
      </c>
      <c r="CG28">
        <v>62.2</v>
      </c>
    </row>
    <row r="29" spans="2:85" x14ac:dyDescent="0.2">
      <c r="B29">
        <v>15</v>
      </c>
      <c r="C29">
        <v>0.8</v>
      </c>
      <c r="D29">
        <v>10.32</v>
      </c>
      <c r="E29">
        <v>0.79</v>
      </c>
      <c r="F29" t="s">
        <v>43</v>
      </c>
      <c r="G29">
        <v>70.3</v>
      </c>
      <c r="K29">
        <v>20</v>
      </c>
      <c r="L29">
        <v>0.18</v>
      </c>
      <c r="O29">
        <v>58</v>
      </c>
      <c r="P29">
        <v>88.956397426733375</v>
      </c>
      <c r="R29">
        <v>0.18</v>
      </c>
      <c r="S29">
        <v>88.956397426733375</v>
      </c>
      <c r="U29">
        <v>0.27</v>
      </c>
      <c r="V29">
        <v>42</v>
      </c>
      <c r="Y29">
        <v>15</v>
      </c>
      <c r="Z29">
        <v>70.3</v>
      </c>
      <c r="AC29">
        <v>20</v>
      </c>
      <c r="AD29">
        <v>34</v>
      </c>
      <c r="AF29">
        <v>4</v>
      </c>
      <c r="AG29">
        <v>74</v>
      </c>
      <c r="AI29">
        <v>5.7</v>
      </c>
      <c r="AJ29">
        <v>61</v>
      </c>
      <c r="AL29">
        <v>0.38</v>
      </c>
      <c r="AM29">
        <v>75.161290322580655</v>
      </c>
      <c r="AO29">
        <v>0.71</v>
      </c>
      <c r="AP29">
        <v>71</v>
      </c>
      <c r="AV29">
        <v>15</v>
      </c>
      <c r="AW29">
        <v>10.32</v>
      </c>
      <c r="AX29">
        <v>0.79</v>
      </c>
      <c r="AY29">
        <v>70.3</v>
      </c>
      <c r="BB29">
        <v>0.2</v>
      </c>
      <c r="BC29">
        <v>25</v>
      </c>
      <c r="BD29">
        <v>16</v>
      </c>
      <c r="BE29">
        <v>1.3884000000000001</v>
      </c>
      <c r="BF29">
        <v>67.8</v>
      </c>
      <c r="BH29">
        <v>19</v>
      </c>
      <c r="BI29">
        <v>0.8</v>
      </c>
      <c r="BJ29">
        <v>14</v>
      </c>
      <c r="BK29">
        <v>1.0919999999999999</v>
      </c>
      <c r="BL29">
        <v>73</v>
      </c>
      <c r="BS29">
        <v>22.5</v>
      </c>
      <c r="BT29">
        <v>5.7</v>
      </c>
      <c r="BU29">
        <v>2.3284210526315783</v>
      </c>
      <c r="BV29">
        <v>56</v>
      </c>
      <c r="BX29">
        <v>21</v>
      </c>
      <c r="BY29">
        <v>6</v>
      </c>
      <c r="BZ29">
        <v>0.97199999999999998</v>
      </c>
      <c r="CA29">
        <v>31</v>
      </c>
      <c r="CE29">
        <v>21</v>
      </c>
      <c r="CG29">
        <v>31</v>
      </c>
    </row>
    <row r="30" spans="2:85" x14ac:dyDescent="0.2">
      <c r="B30">
        <v>15</v>
      </c>
      <c r="C30">
        <v>0.8</v>
      </c>
      <c r="D30">
        <v>12</v>
      </c>
      <c r="E30">
        <v>0.82</v>
      </c>
      <c r="F30" t="s">
        <v>43</v>
      </c>
      <c r="G30">
        <v>53.2</v>
      </c>
      <c r="K30">
        <v>18</v>
      </c>
      <c r="L30">
        <v>0.2</v>
      </c>
      <c r="M30" t="s">
        <v>354</v>
      </c>
      <c r="N30" t="s">
        <v>356</v>
      </c>
      <c r="O30">
        <v>55</v>
      </c>
      <c r="P30">
        <v>51</v>
      </c>
      <c r="R30">
        <v>0.2</v>
      </c>
      <c r="S30">
        <v>51</v>
      </c>
      <c r="U30">
        <v>0.28999999999999998</v>
      </c>
      <c r="V30">
        <v>55</v>
      </c>
      <c r="Y30">
        <v>15</v>
      </c>
      <c r="Z30">
        <v>53.2</v>
      </c>
      <c r="AC30">
        <v>20</v>
      </c>
      <c r="AD30">
        <v>58</v>
      </c>
      <c r="AF30">
        <v>4</v>
      </c>
      <c r="AG30">
        <v>83.5</v>
      </c>
      <c r="AI30">
        <v>5.7</v>
      </c>
      <c r="AJ30">
        <v>61</v>
      </c>
      <c r="AL30">
        <v>0.41</v>
      </c>
      <c r="AM30">
        <v>82.5</v>
      </c>
      <c r="AO30">
        <v>0.73967213114754105</v>
      </c>
      <c r="AP30">
        <v>64.179104477611943</v>
      </c>
      <c r="AV30">
        <v>15</v>
      </c>
      <c r="AW30">
        <v>12</v>
      </c>
      <c r="AX30">
        <v>0.82</v>
      </c>
      <c r="AY30">
        <v>53.2</v>
      </c>
      <c r="BB30">
        <v>0.2</v>
      </c>
      <c r="BC30">
        <v>25</v>
      </c>
      <c r="BD30">
        <v>16</v>
      </c>
      <c r="BE30">
        <v>1.3884000000000001</v>
      </c>
      <c r="BF30">
        <v>68.5</v>
      </c>
      <c r="BH30">
        <v>19</v>
      </c>
      <c r="BI30">
        <v>0.8</v>
      </c>
      <c r="BJ30">
        <v>18</v>
      </c>
      <c r="BK30">
        <v>0.84933333333333338</v>
      </c>
      <c r="BL30">
        <v>73</v>
      </c>
      <c r="BS30">
        <v>22.7</v>
      </c>
      <c r="BT30">
        <v>5.7</v>
      </c>
      <c r="BU30">
        <v>2.1</v>
      </c>
      <c r="BV30">
        <v>48</v>
      </c>
      <c r="BX30">
        <v>21</v>
      </c>
      <c r="BY30">
        <v>6</v>
      </c>
      <c r="BZ30">
        <v>2.2759999999999998</v>
      </c>
      <c r="CA30">
        <v>71</v>
      </c>
      <c r="CE30">
        <v>21</v>
      </c>
      <c r="CG30">
        <v>71</v>
      </c>
    </row>
    <row r="31" spans="2:85" x14ac:dyDescent="0.2">
      <c r="B31">
        <v>15</v>
      </c>
      <c r="C31">
        <v>0.8</v>
      </c>
      <c r="D31">
        <v>13.919999999999998</v>
      </c>
      <c r="E31">
        <v>0.45</v>
      </c>
      <c r="F31" t="s">
        <v>43</v>
      </c>
      <c r="G31">
        <v>63.7</v>
      </c>
      <c r="K31">
        <v>22</v>
      </c>
      <c r="L31">
        <v>0.2</v>
      </c>
      <c r="M31" t="s">
        <v>354</v>
      </c>
      <c r="N31" t="s">
        <v>356</v>
      </c>
      <c r="O31">
        <v>62</v>
      </c>
      <c r="P31">
        <v>58</v>
      </c>
      <c r="R31">
        <v>0.2</v>
      </c>
      <c r="S31">
        <v>58</v>
      </c>
      <c r="U31">
        <v>0.32</v>
      </c>
      <c r="V31">
        <v>8.1999999999999993</v>
      </c>
      <c r="Y31">
        <v>15</v>
      </c>
      <c r="Z31">
        <v>63.7</v>
      </c>
      <c r="AC31">
        <v>20</v>
      </c>
      <c r="AD31">
        <v>61</v>
      </c>
      <c r="AF31">
        <v>4.4000000000000004</v>
      </c>
      <c r="AG31">
        <v>33.684210526315788</v>
      </c>
      <c r="AI31">
        <v>5.9</v>
      </c>
      <c r="AJ31">
        <v>54</v>
      </c>
      <c r="AL31">
        <v>0.41459999999999997</v>
      </c>
      <c r="AM31">
        <v>33.14037626628074</v>
      </c>
      <c r="AO31">
        <v>0.79090909090909089</v>
      </c>
      <c r="AP31">
        <v>53.956834532374096</v>
      </c>
      <c r="AV31">
        <v>15</v>
      </c>
      <c r="AW31">
        <v>13.919999999999998</v>
      </c>
      <c r="AX31">
        <v>0.45</v>
      </c>
      <c r="AY31">
        <v>63.7</v>
      </c>
      <c r="BB31">
        <v>0.2</v>
      </c>
      <c r="BC31">
        <v>18</v>
      </c>
      <c r="BD31">
        <v>25</v>
      </c>
      <c r="BE31">
        <v>1.5</v>
      </c>
      <c r="BF31">
        <v>51</v>
      </c>
      <c r="BH31">
        <v>19</v>
      </c>
      <c r="BI31">
        <v>0.8</v>
      </c>
      <c r="BJ31">
        <v>24</v>
      </c>
      <c r="BK31">
        <v>0.63700000000000001</v>
      </c>
      <c r="BL31">
        <v>64</v>
      </c>
      <c r="BS31">
        <v>23</v>
      </c>
      <c r="BT31">
        <v>5.7</v>
      </c>
      <c r="BU31">
        <v>2.1431578947368419</v>
      </c>
      <c r="BV31">
        <v>49</v>
      </c>
      <c r="BX31">
        <v>23</v>
      </c>
      <c r="BY31">
        <v>6</v>
      </c>
      <c r="BZ31">
        <v>2.1280000000000001</v>
      </c>
      <c r="CA31">
        <v>63</v>
      </c>
      <c r="CE31">
        <v>23</v>
      </c>
      <c r="CG31">
        <v>63</v>
      </c>
    </row>
    <row r="32" spans="2:85" x14ac:dyDescent="0.2">
      <c r="B32">
        <v>15</v>
      </c>
      <c r="C32">
        <v>0.8</v>
      </c>
      <c r="D32">
        <v>19.919999999999998</v>
      </c>
      <c r="E32">
        <v>0.38</v>
      </c>
      <c r="F32" t="s">
        <v>43</v>
      </c>
      <c r="G32">
        <v>68.8</v>
      </c>
      <c r="K32">
        <v>25</v>
      </c>
      <c r="L32">
        <v>0.2</v>
      </c>
      <c r="M32">
        <v>16</v>
      </c>
      <c r="N32">
        <v>1.3884000000000001</v>
      </c>
      <c r="O32">
        <v>76</v>
      </c>
      <c r="P32">
        <v>67.8</v>
      </c>
      <c r="R32">
        <v>0.2</v>
      </c>
      <c r="S32">
        <v>67.8</v>
      </c>
      <c r="U32">
        <v>0.33</v>
      </c>
      <c r="V32">
        <v>67</v>
      </c>
      <c r="Y32">
        <v>15</v>
      </c>
      <c r="Z32">
        <v>68.8</v>
      </c>
      <c r="AC32">
        <v>20</v>
      </c>
      <c r="AD32">
        <v>69.148936170212778</v>
      </c>
      <c r="AF32">
        <v>4.4000000000000004</v>
      </c>
      <c r="AG32">
        <v>47</v>
      </c>
      <c r="AI32">
        <v>6</v>
      </c>
      <c r="AJ32">
        <v>33</v>
      </c>
      <c r="AL32">
        <v>0.41459999999999997</v>
      </c>
      <c r="AM32">
        <v>35.311143270622274</v>
      </c>
      <c r="AO32">
        <v>0.80727272727272714</v>
      </c>
      <c r="AP32">
        <v>61.589403973509938</v>
      </c>
      <c r="AV32">
        <v>15</v>
      </c>
      <c r="AW32">
        <v>19.919999999999998</v>
      </c>
      <c r="AX32">
        <v>0.38</v>
      </c>
      <c r="AY32">
        <v>68.8</v>
      </c>
      <c r="BB32">
        <v>0.2</v>
      </c>
      <c r="BC32">
        <v>22</v>
      </c>
      <c r="BD32">
        <v>25</v>
      </c>
      <c r="BE32">
        <v>1.5</v>
      </c>
      <c r="BF32">
        <v>58</v>
      </c>
      <c r="BH32">
        <v>19</v>
      </c>
      <c r="BI32">
        <v>0.8</v>
      </c>
      <c r="BJ32">
        <v>36</v>
      </c>
      <c r="BK32">
        <v>0.42466666666666669</v>
      </c>
      <c r="BL32">
        <v>68</v>
      </c>
      <c r="BS32">
        <v>23</v>
      </c>
      <c r="BT32">
        <v>5.7</v>
      </c>
      <c r="BU32">
        <v>2.1431578947368419</v>
      </c>
      <c r="BV32">
        <v>53</v>
      </c>
      <c r="BX32">
        <v>25</v>
      </c>
      <c r="BY32">
        <v>6</v>
      </c>
      <c r="BZ32">
        <v>1.4920000000000002</v>
      </c>
      <c r="CA32">
        <v>55.227882037533519</v>
      </c>
      <c r="CE32">
        <v>25</v>
      </c>
      <c r="CG32">
        <v>55.227882037533519</v>
      </c>
    </row>
    <row r="33" spans="2:85" x14ac:dyDescent="0.2">
      <c r="B33">
        <v>15</v>
      </c>
      <c r="C33">
        <v>0.8</v>
      </c>
      <c r="D33">
        <v>24</v>
      </c>
      <c r="E33">
        <v>0.41</v>
      </c>
      <c r="F33" t="s">
        <v>43</v>
      </c>
      <c r="G33">
        <v>82.5</v>
      </c>
      <c r="K33">
        <v>25</v>
      </c>
      <c r="L33">
        <v>0.2</v>
      </c>
      <c r="M33">
        <v>16</v>
      </c>
      <c r="N33">
        <v>1.3884000000000001</v>
      </c>
      <c r="O33">
        <v>79</v>
      </c>
      <c r="P33">
        <v>68.5</v>
      </c>
      <c r="R33">
        <v>0.2</v>
      </c>
      <c r="S33">
        <v>68.5</v>
      </c>
      <c r="U33">
        <v>0.35</v>
      </c>
      <c r="V33">
        <v>27</v>
      </c>
      <c r="Y33">
        <v>15</v>
      </c>
      <c r="Z33">
        <v>82.5</v>
      </c>
      <c r="AC33">
        <v>20</v>
      </c>
      <c r="AD33">
        <v>71</v>
      </c>
      <c r="AF33">
        <v>4.7</v>
      </c>
      <c r="AG33">
        <v>64</v>
      </c>
      <c r="AI33">
        <v>6</v>
      </c>
      <c r="AJ33">
        <v>41.982507288629741</v>
      </c>
      <c r="AL33">
        <v>0.42466666666666669</v>
      </c>
      <c r="AM33">
        <v>68</v>
      </c>
      <c r="AO33">
        <v>0.85</v>
      </c>
      <c r="AP33">
        <v>49</v>
      </c>
      <c r="AV33">
        <v>15</v>
      </c>
      <c r="AW33">
        <v>24</v>
      </c>
      <c r="AX33">
        <v>1.38</v>
      </c>
      <c r="AY33">
        <v>26</v>
      </c>
      <c r="BB33">
        <v>0.21</v>
      </c>
      <c r="BC33">
        <v>23</v>
      </c>
      <c r="BD33">
        <v>23</v>
      </c>
      <c r="BE33">
        <v>1.4</v>
      </c>
      <c r="BF33">
        <v>50</v>
      </c>
      <c r="BH33">
        <v>19.5</v>
      </c>
      <c r="BI33">
        <v>1.25</v>
      </c>
      <c r="BJ33">
        <v>7</v>
      </c>
      <c r="BK33">
        <v>1.3782857142857143</v>
      </c>
      <c r="BL33">
        <v>72</v>
      </c>
      <c r="BS33">
        <v>24.3</v>
      </c>
      <c r="BT33">
        <v>5.9</v>
      </c>
      <c r="BU33">
        <v>1.7</v>
      </c>
      <c r="BV33">
        <v>49</v>
      </c>
      <c r="BX33">
        <v>25</v>
      </c>
      <c r="BY33">
        <v>6</v>
      </c>
      <c r="BZ33">
        <v>1.5719999999999998</v>
      </c>
      <c r="CA33">
        <v>58</v>
      </c>
      <c r="CE33">
        <v>25</v>
      </c>
      <c r="CG33">
        <v>58</v>
      </c>
    </row>
    <row r="34" spans="2:85" x14ac:dyDescent="0.2">
      <c r="B34">
        <v>15</v>
      </c>
      <c r="D34">
        <v>24</v>
      </c>
      <c r="E34">
        <v>1.38</v>
      </c>
      <c r="F34" t="s">
        <v>43</v>
      </c>
      <c r="G34">
        <v>26</v>
      </c>
      <c r="K34">
        <v>23</v>
      </c>
      <c r="L34">
        <v>0.21</v>
      </c>
      <c r="M34">
        <v>23</v>
      </c>
      <c r="N34">
        <v>1.4</v>
      </c>
      <c r="O34" t="s">
        <v>43</v>
      </c>
      <c r="P34">
        <v>50</v>
      </c>
      <c r="R34">
        <v>0.21</v>
      </c>
      <c r="S34">
        <v>50</v>
      </c>
      <c r="U34">
        <v>0.37</v>
      </c>
      <c r="V34">
        <v>65.012406947890824</v>
      </c>
      <c r="Y34">
        <v>15</v>
      </c>
      <c r="Z34">
        <v>26</v>
      </c>
      <c r="AC34">
        <v>20</v>
      </c>
      <c r="AD34">
        <v>74</v>
      </c>
      <c r="AF34">
        <v>4.7</v>
      </c>
      <c r="AG34">
        <v>70</v>
      </c>
      <c r="AI34">
        <v>6</v>
      </c>
      <c r="AJ34">
        <v>47.014925373134332</v>
      </c>
      <c r="AL34">
        <v>0.43</v>
      </c>
      <c r="AM34">
        <v>65</v>
      </c>
      <c r="AO34">
        <v>0.8668309859154929</v>
      </c>
      <c r="AP34">
        <v>62</v>
      </c>
      <c r="AV34">
        <v>15</v>
      </c>
      <c r="AW34">
        <v>24</v>
      </c>
      <c r="AX34">
        <v>0.41</v>
      </c>
      <c r="AY34">
        <v>82.5</v>
      </c>
      <c r="BB34">
        <v>0.21</v>
      </c>
      <c r="BC34">
        <v>25</v>
      </c>
      <c r="BD34">
        <v>25</v>
      </c>
      <c r="BE34">
        <v>1.5</v>
      </c>
      <c r="BF34">
        <v>62</v>
      </c>
      <c r="BH34">
        <v>20</v>
      </c>
      <c r="BI34">
        <v>0.7</v>
      </c>
      <c r="BJ34">
        <v>4</v>
      </c>
      <c r="BK34">
        <v>2.544</v>
      </c>
      <c r="BL34">
        <v>60.141509433962256</v>
      </c>
      <c r="BS34">
        <v>28</v>
      </c>
      <c r="BT34">
        <v>6.1</v>
      </c>
      <c r="BU34">
        <v>0.73967213114754105</v>
      </c>
      <c r="BV34">
        <v>55.851063829787229</v>
      </c>
      <c r="BX34">
        <v>25</v>
      </c>
      <c r="BY34">
        <v>6</v>
      </c>
      <c r="BZ34">
        <v>2.2520000000000002</v>
      </c>
      <c r="CA34">
        <v>68.383658969804614</v>
      </c>
      <c r="CE34">
        <v>25</v>
      </c>
      <c r="CG34">
        <v>68.383658969804614</v>
      </c>
    </row>
    <row r="35" spans="2:85" x14ac:dyDescent="0.2">
      <c r="B35">
        <v>15</v>
      </c>
      <c r="C35">
        <v>0.8</v>
      </c>
      <c r="D35">
        <v>42</v>
      </c>
      <c r="E35">
        <v>0.15</v>
      </c>
      <c r="F35" t="s">
        <v>43</v>
      </c>
      <c r="G35">
        <v>50.1</v>
      </c>
      <c r="K35">
        <v>25</v>
      </c>
      <c r="L35">
        <v>0.23578510087688198</v>
      </c>
      <c r="M35">
        <v>6</v>
      </c>
      <c r="N35">
        <v>2.7919999999999998</v>
      </c>
      <c r="O35" t="s">
        <v>43</v>
      </c>
      <c r="P35">
        <v>71.633237822349571</v>
      </c>
      <c r="R35">
        <v>0.23578510087688198</v>
      </c>
      <c r="S35">
        <v>71.633237822349571</v>
      </c>
      <c r="U35">
        <v>0.4</v>
      </c>
      <c r="V35">
        <v>43.333333333333336</v>
      </c>
      <c r="Y35">
        <v>15</v>
      </c>
      <c r="Z35">
        <v>50.1</v>
      </c>
      <c r="AC35">
        <v>20</v>
      </c>
      <c r="AD35">
        <v>78</v>
      </c>
      <c r="AF35">
        <v>4.7</v>
      </c>
      <c r="AG35">
        <v>70</v>
      </c>
      <c r="AI35">
        <v>6</v>
      </c>
      <c r="AJ35">
        <v>61</v>
      </c>
      <c r="AL35">
        <v>0.43</v>
      </c>
      <c r="AM35">
        <v>57</v>
      </c>
      <c r="AO35">
        <v>0.87461538461538446</v>
      </c>
      <c r="AP35">
        <v>56.748466257668717</v>
      </c>
      <c r="AV35">
        <v>15</v>
      </c>
      <c r="AW35">
        <v>42</v>
      </c>
      <c r="AX35">
        <v>0.15</v>
      </c>
      <c r="AY35">
        <v>50.1</v>
      </c>
      <c r="BB35">
        <v>0.23578510087688198</v>
      </c>
      <c r="BC35">
        <v>25</v>
      </c>
      <c r="BD35">
        <v>6</v>
      </c>
      <c r="BE35">
        <v>2.7919999999999998</v>
      </c>
      <c r="BF35">
        <v>71.633237822349571</v>
      </c>
      <c r="BH35">
        <v>20.5</v>
      </c>
      <c r="BI35">
        <v>0.52083333333333337</v>
      </c>
      <c r="BJ35">
        <v>14.3</v>
      </c>
      <c r="BK35">
        <v>1.1563636363636363</v>
      </c>
      <c r="BL35">
        <v>41.509433962264154</v>
      </c>
      <c r="BS35">
        <v>25</v>
      </c>
      <c r="BT35">
        <v>6.2</v>
      </c>
      <c r="BU35">
        <v>0.9987096774193549</v>
      </c>
      <c r="BV35">
        <v>60.077519379844958</v>
      </c>
      <c r="BX35">
        <v>25</v>
      </c>
      <c r="BY35">
        <v>6</v>
      </c>
      <c r="BZ35">
        <v>2.2520000000000002</v>
      </c>
      <c r="CA35">
        <v>69.982238010657198</v>
      </c>
      <c r="CE35">
        <v>25</v>
      </c>
      <c r="CG35">
        <v>69.982238010657198</v>
      </c>
    </row>
    <row r="36" spans="2:85" x14ac:dyDescent="0.2">
      <c r="B36">
        <v>15</v>
      </c>
      <c r="C36">
        <v>0.8</v>
      </c>
      <c r="D36">
        <v>42</v>
      </c>
      <c r="E36">
        <v>0.36</v>
      </c>
      <c r="F36" t="s">
        <v>43</v>
      </c>
      <c r="G36">
        <v>82.5</v>
      </c>
      <c r="K36">
        <v>25</v>
      </c>
      <c r="L36">
        <v>0.27</v>
      </c>
      <c r="M36">
        <v>11.2</v>
      </c>
      <c r="N36">
        <v>1.4121428571428571</v>
      </c>
      <c r="O36">
        <v>42</v>
      </c>
      <c r="P36">
        <v>41</v>
      </c>
      <c r="R36">
        <v>0.27</v>
      </c>
      <c r="S36">
        <v>41</v>
      </c>
      <c r="U36">
        <v>0.4</v>
      </c>
      <c r="V36">
        <v>72.708333333333329</v>
      </c>
      <c r="Y36">
        <v>15</v>
      </c>
      <c r="Z36">
        <v>82.5</v>
      </c>
      <c r="AC36">
        <v>20.5</v>
      </c>
      <c r="AD36">
        <v>39.83050847457627</v>
      </c>
      <c r="AF36">
        <v>4.7</v>
      </c>
      <c r="AG36">
        <v>71</v>
      </c>
      <c r="AI36">
        <v>6</v>
      </c>
      <c r="AJ36">
        <v>62</v>
      </c>
      <c r="AL36">
        <v>0.43</v>
      </c>
      <c r="AM36">
        <v>33</v>
      </c>
      <c r="AO36">
        <v>0.87927272727272721</v>
      </c>
      <c r="AP36">
        <v>75.27472527472527</v>
      </c>
      <c r="AV36">
        <v>15</v>
      </c>
      <c r="AW36">
        <v>42</v>
      </c>
      <c r="AX36">
        <v>0.36</v>
      </c>
      <c r="AY36">
        <v>82.5</v>
      </c>
      <c r="BB36">
        <v>0.27</v>
      </c>
      <c r="BC36">
        <v>25</v>
      </c>
      <c r="BD36">
        <v>11.2</v>
      </c>
      <c r="BE36">
        <v>1.4121428571428571</v>
      </c>
      <c r="BF36">
        <v>41</v>
      </c>
      <c r="BH36">
        <v>20.5</v>
      </c>
      <c r="BI36">
        <v>0.55833333333333335</v>
      </c>
      <c r="BJ36">
        <v>10.9</v>
      </c>
      <c r="BK36">
        <v>1.664587155963303</v>
      </c>
      <c r="BL36">
        <v>40.476190476190474</v>
      </c>
      <c r="BS36">
        <v>20</v>
      </c>
      <c r="BT36">
        <v>6.6</v>
      </c>
      <c r="BU36">
        <v>1.8</v>
      </c>
      <c r="BV36">
        <v>95</v>
      </c>
      <c r="BX36">
        <v>25</v>
      </c>
      <c r="BY36">
        <v>6</v>
      </c>
      <c r="BZ36">
        <v>2.7919999999999998</v>
      </c>
      <c r="CA36">
        <v>71.633237822349571</v>
      </c>
      <c r="CE36">
        <v>25</v>
      </c>
      <c r="CG36">
        <v>71.633237822349571</v>
      </c>
    </row>
    <row r="37" spans="2:85" x14ac:dyDescent="0.2">
      <c r="B37">
        <v>15</v>
      </c>
      <c r="C37">
        <v>0.8</v>
      </c>
      <c r="D37">
        <v>84</v>
      </c>
      <c r="E37">
        <v>7.0000000000000007E-2</v>
      </c>
      <c r="F37" t="s">
        <v>43</v>
      </c>
      <c r="G37">
        <v>45.9</v>
      </c>
      <c r="K37">
        <v>25</v>
      </c>
      <c r="L37">
        <v>0.28999999999999998</v>
      </c>
      <c r="M37">
        <v>10.5</v>
      </c>
      <c r="N37">
        <v>1.7028571428571431</v>
      </c>
      <c r="O37">
        <v>55</v>
      </c>
      <c r="P37">
        <v>31</v>
      </c>
      <c r="R37">
        <v>0.28999999999999998</v>
      </c>
      <c r="S37">
        <v>31</v>
      </c>
      <c r="U37">
        <v>0.42</v>
      </c>
      <c r="V37">
        <v>62</v>
      </c>
      <c r="Y37">
        <v>15</v>
      </c>
      <c r="Z37">
        <v>45.9</v>
      </c>
      <c r="AC37">
        <v>20.5</v>
      </c>
      <c r="AD37">
        <v>53.284671532846716</v>
      </c>
      <c r="AF37">
        <v>4.7</v>
      </c>
      <c r="AG37">
        <v>72</v>
      </c>
      <c r="AI37">
        <v>6</v>
      </c>
      <c r="AJ37">
        <v>67.942583732057415</v>
      </c>
      <c r="AL37">
        <v>0.43</v>
      </c>
      <c r="AM37">
        <v>45.662100456621005</v>
      </c>
      <c r="AO37">
        <v>0.9</v>
      </c>
      <c r="AP37">
        <v>9</v>
      </c>
      <c r="AV37">
        <v>15</v>
      </c>
      <c r="AW37">
        <v>84</v>
      </c>
      <c r="AX37">
        <v>7.0000000000000007E-2</v>
      </c>
      <c r="AY37">
        <v>45.9</v>
      </c>
      <c r="BB37">
        <v>0.28999999999999998</v>
      </c>
      <c r="BC37">
        <v>25</v>
      </c>
      <c r="BD37">
        <v>10.5</v>
      </c>
      <c r="BE37">
        <v>1.7028571428571431</v>
      </c>
      <c r="BF37">
        <v>31</v>
      </c>
      <c r="BH37">
        <v>20.5</v>
      </c>
      <c r="BI37">
        <v>0.6166666666666667</v>
      </c>
      <c r="BJ37">
        <v>10.199999999999999</v>
      </c>
      <c r="BK37">
        <v>1.331764705882353</v>
      </c>
      <c r="BL37">
        <v>51.060070671378085</v>
      </c>
      <c r="BS37">
        <v>12</v>
      </c>
      <c r="BT37">
        <v>7</v>
      </c>
      <c r="BU37">
        <v>2.4000000000000004</v>
      </c>
      <c r="BV37">
        <v>70.428571428571431</v>
      </c>
      <c r="BX37">
        <v>25</v>
      </c>
      <c r="BY37">
        <v>6</v>
      </c>
      <c r="BZ37">
        <v>2.2520000000000002</v>
      </c>
      <c r="CA37">
        <v>73.53463587921847</v>
      </c>
      <c r="CE37">
        <v>25</v>
      </c>
      <c r="CG37">
        <v>73.53463587921847</v>
      </c>
    </row>
    <row r="38" spans="2:85" x14ac:dyDescent="0.2">
      <c r="B38">
        <f>AVERAGE(12.5,19)</f>
        <v>15.75</v>
      </c>
      <c r="C38" t="s">
        <v>43</v>
      </c>
      <c r="D38">
        <v>6</v>
      </c>
      <c r="E38">
        <v>3.4840000000000004</v>
      </c>
      <c r="F38">
        <v>74.848484848484858</v>
      </c>
      <c r="G38">
        <v>70.493685419058551</v>
      </c>
      <c r="K38">
        <v>26</v>
      </c>
      <c r="L38">
        <v>0.302734375</v>
      </c>
      <c r="M38">
        <v>8</v>
      </c>
      <c r="N38">
        <v>0.63</v>
      </c>
      <c r="O38" t="s">
        <v>43</v>
      </c>
      <c r="P38">
        <v>61</v>
      </c>
      <c r="R38">
        <v>0.302734375</v>
      </c>
      <c r="S38">
        <v>61</v>
      </c>
      <c r="U38">
        <v>0.43333333333333335</v>
      </c>
      <c r="V38">
        <v>49.440715883668908</v>
      </c>
      <c r="Y38">
        <v>15.75</v>
      </c>
      <c r="Z38">
        <v>70.493685419058551</v>
      </c>
      <c r="AC38">
        <v>20.5</v>
      </c>
      <c r="AD38">
        <v>59.556786703601105</v>
      </c>
      <c r="AF38">
        <v>4.9000000000000004</v>
      </c>
      <c r="AG38">
        <v>51</v>
      </c>
      <c r="AI38">
        <v>6</v>
      </c>
      <c r="AJ38">
        <v>68.899521531100476</v>
      </c>
      <c r="AL38">
        <v>0.43</v>
      </c>
      <c r="AM38">
        <v>70</v>
      </c>
      <c r="AO38">
        <v>0.90113207547169805</v>
      </c>
      <c r="AP38">
        <v>55.8</v>
      </c>
      <c r="AV38">
        <v>15.75</v>
      </c>
      <c r="AW38">
        <v>6</v>
      </c>
      <c r="AX38">
        <v>3.4840000000000004</v>
      </c>
      <c r="AY38">
        <v>70.493685419058551</v>
      </c>
      <c r="BB38">
        <v>0.302734375</v>
      </c>
      <c r="BC38">
        <v>26</v>
      </c>
      <c r="BD38">
        <v>8</v>
      </c>
      <c r="BE38">
        <v>0.63</v>
      </c>
      <c r="BF38">
        <v>61</v>
      </c>
      <c r="BH38">
        <v>21</v>
      </c>
      <c r="BI38">
        <v>0.16666666666666666</v>
      </c>
      <c r="BJ38">
        <v>6</v>
      </c>
      <c r="BK38">
        <v>0.97199999999999998</v>
      </c>
      <c r="BL38">
        <v>31</v>
      </c>
      <c r="BS38">
        <v>12</v>
      </c>
      <c r="BT38">
        <v>7</v>
      </c>
      <c r="BU38">
        <v>2.4000000000000004</v>
      </c>
      <c r="BV38">
        <v>71.142857142857139</v>
      </c>
      <c r="BX38">
        <v>26</v>
      </c>
      <c r="BY38">
        <v>6</v>
      </c>
      <c r="BZ38">
        <v>0.53</v>
      </c>
      <c r="CA38">
        <v>47</v>
      </c>
      <c r="CE38">
        <v>26</v>
      </c>
      <c r="CG38">
        <v>47</v>
      </c>
    </row>
    <row r="39" spans="2:85" x14ac:dyDescent="0.2">
      <c r="B39">
        <v>16</v>
      </c>
      <c r="C39" t="s">
        <v>43</v>
      </c>
      <c r="D39">
        <v>4.7</v>
      </c>
      <c r="E39">
        <v>1.5931914893617023</v>
      </c>
      <c r="F39" t="s">
        <v>43</v>
      </c>
      <c r="G39">
        <v>71</v>
      </c>
      <c r="K39">
        <v>26</v>
      </c>
      <c r="L39">
        <v>0.302734375</v>
      </c>
      <c r="M39">
        <v>8</v>
      </c>
      <c r="N39">
        <v>0.63</v>
      </c>
      <c r="O39" t="s">
        <v>43</v>
      </c>
      <c r="P39">
        <v>65</v>
      </c>
      <c r="R39">
        <v>0.302734375</v>
      </c>
      <c r="S39">
        <v>65</v>
      </c>
      <c r="U39">
        <v>0.52</v>
      </c>
      <c r="V39">
        <v>60.784313725490193</v>
      </c>
      <c r="Y39">
        <v>16</v>
      </c>
      <c r="Z39">
        <v>71</v>
      </c>
      <c r="AC39">
        <v>21</v>
      </c>
      <c r="AD39">
        <v>33</v>
      </c>
      <c r="AF39">
        <v>5</v>
      </c>
      <c r="AG39">
        <v>28.753180661577609</v>
      </c>
      <c r="AI39">
        <v>6</v>
      </c>
      <c r="AJ39">
        <v>74.401913875598098</v>
      </c>
      <c r="AL39">
        <v>0.45</v>
      </c>
      <c r="AM39">
        <v>63.7</v>
      </c>
      <c r="AO39">
        <v>0.92</v>
      </c>
      <c r="AP39">
        <v>74</v>
      </c>
      <c r="AV39">
        <v>16</v>
      </c>
      <c r="AW39">
        <v>4.7</v>
      </c>
      <c r="AX39">
        <v>1.5931914893617023</v>
      </c>
      <c r="AY39">
        <v>71</v>
      </c>
      <c r="BB39">
        <v>0.302734375</v>
      </c>
      <c r="BC39">
        <v>26</v>
      </c>
      <c r="BD39">
        <v>8</v>
      </c>
      <c r="BE39">
        <v>0.63</v>
      </c>
      <c r="BF39">
        <v>65</v>
      </c>
      <c r="BH39">
        <v>22</v>
      </c>
      <c r="BI39">
        <v>0.2</v>
      </c>
      <c r="BJ39">
        <v>25</v>
      </c>
      <c r="BK39">
        <v>1.5</v>
      </c>
      <c r="BL39">
        <v>58</v>
      </c>
      <c r="BS39">
        <v>19.5</v>
      </c>
      <c r="BT39">
        <v>7</v>
      </c>
      <c r="BU39">
        <v>1.3782857142857143</v>
      </c>
      <c r="BV39">
        <v>72</v>
      </c>
      <c r="BX39">
        <v>26</v>
      </c>
      <c r="BY39">
        <v>6</v>
      </c>
      <c r="BZ39">
        <v>0.53</v>
      </c>
      <c r="CA39">
        <v>47</v>
      </c>
      <c r="CE39">
        <v>26</v>
      </c>
      <c r="CG39">
        <v>47</v>
      </c>
    </row>
    <row r="40" spans="2:85" x14ac:dyDescent="0.2">
      <c r="B40">
        <v>16</v>
      </c>
      <c r="C40" t="s">
        <v>43</v>
      </c>
      <c r="D40">
        <v>10</v>
      </c>
      <c r="E40">
        <v>0.7</v>
      </c>
      <c r="F40" t="s">
        <v>43</v>
      </c>
      <c r="G40">
        <v>70</v>
      </c>
      <c r="K40">
        <v>26</v>
      </c>
      <c r="L40">
        <v>0.302734375</v>
      </c>
      <c r="M40">
        <v>8</v>
      </c>
      <c r="N40">
        <v>0.63</v>
      </c>
      <c r="O40" t="s">
        <v>43</v>
      </c>
      <c r="P40">
        <v>81</v>
      </c>
      <c r="R40">
        <v>0.302734375</v>
      </c>
      <c r="S40">
        <v>81</v>
      </c>
      <c r="U40">
        <v>0.52</v>
      </c>
      <c r="V40">
        <v>75.883575883575887</v>
      </c>
      <c r="Y40">
        <v>16</v>
      </c>
      <c r="Z40">
        <v>70</v>
      </c>
      <c r="AC40">
        <v>21</v>
      </c>
      <c r="AD40">
        <v>62</v>
      </c>
      <c r="AF40">
        <v>5</v>
      </c>
      <c r="AG40">
        <v>39</v>
      </c>
      <c r="AI40">
        <v>6</v>
      </c>
      <c r="AJ40">
        <v>74.848484848484858</v>
      </c>
      <c r="AL40">
        <v>0.45</v>
      </c>
      <c r="AM40">
        <v>51</v>
      </c>
      <c r="AO40">
        <v>0.92</v>
      </c>
      <c r="AP40">
        <v>78</v>
      </c>
      <c r="AV40">
        <v>16</v>
      </c>
      <c r="AW40">
        <v>10</v>
      </c>
      <c r="AX40">
        <v>0.7</v>
      </c>
      <c r="AY40">
        <v>70</v>
      </c>
      <c r="BB40">
        <v>0.302734375</v>
      </c>
      <c r="BC40">
        <v>26</v>
      </c>
      <c r="BD40">
        <v>8</v>
      </c>
      <c r="BE40">
        <v>0.63</v>
      </c>
      <c r="BF40">
        <v>81</v>
      </c>
      <c r="BH40">
        <v>22.7</v>
      </c>
      <c r="BI40">
        <v>0.16</v>
      </c>
      <c r="BJ40">
        <v>9.1</v>
      </c>
      <c r="BK40">
        <v>3.4285714285714293</v>
      </c>
      <c r="BL40">
        <v>42.153846153846153</v>
      </c>
      <c r="BS40">
        <v>20</v>
      </c>
      <c r="BT40">
        <v>7</v>
      </c>
      <c r="BU40">
        <v>2.04</v>
      </c>
      <c r="BV40">
        <v>90</v>
      </c>
      <c r="BX40">
        <v>26</v>
      </c>
      <c r="BY40">
        <v>6</v>
      </c>
      <c r="BZ40">
        <v>0.53</v>
      </c>
      <c r="CA40">
        <v>62</v>
      </c>
      <c r="CE40">
        <v>26</v>
      </c>
      <c r="CG40">
        <v>62</v>
      </c>
    </row>
    <row r="41" spans="2:85" x14ac:dyDescent="0.2">
      <c r="B41">
        <v>16</v>
      </c>
      <c r="D41">
        <v>48</v>
      </c>
      <c r="E41">
        <v>0.52</v>
      </c>
      <c r="F41" t="s">
        <v>43</v>
      </c>
      <c r="G41">
        <v>50</v>
      </c>
      <c r="K41">
        <v>25</v>
      </c>
      <c r="L41">
        <v>0.32</v>
      </c>
      <c r="M41">
        <v>9.5</v>
      </c>
      <c r="N41">
        <v>2.0715789473684212</v>
      </c>
      <c r="O41">
        <v>8.1999999999999993</v>
      </c>
      <c r="P41">
        <v>23</v>
      </c>
      <c r="R41">
        <v>0.32</v>
      </c>
      <c r="S41">
        <v>23</v>
      </c>
      <c r="U41">
        <v>0.52083333333333337</v>
      </c>
      <c r="V41">
        <v>39.83050847457627</v>
      </c>
      <c r="Y41">
        <v>16</v>
      </c>
      <c r="Z41">
        <v>50</v>
      </c>
      <c r="AC41">
        <v>21</v>
      </c>
      <c r="AD41">
        <v>67.114093959731548</v>
      </c>
      <c r="AF41">
        <v>5.0999999999999996</v>
      </c>
      <c r="AG41">
        <v>49</v>
      </c>
      <c r="AI41">
        <v>6</v>
      </c>
      <c r="AJ41">
        <v>84.73684210526315</v>
      </c>
      <c r="AL41">
        <v>0.45</v>
      </c>
      <c r="AM41">
        <v>82.4</v>
      </c>
      <c r="AO41">
        <v>0.96484848484848473</v>
      </c>
      <c r="AP41">
        <v>57.2</v>
      </c>
      <c r="AV41">
        <v>16</v>
      </c>
      <c r="AW41">
        <v>48</v>
      </c>
      <c r="AX41">
        <v>0.52</v>
      </c>
      <c r="AY41">
        <v>50</v>
      </c>
      <c r="BB41">
        <v>0.32</v>
      </c>
      <c r="BC41">
        <v>25</v>
      </c>
      <c r="BD41">
        <v>9.5</v>
      </c>
      <c r="BE41">
        <v>2.0715789473684212</v>
      </c>
      <c r="BF41">
        <v>23</v>
      </c>
      <c r="BH41">
        <v>23</v>
      </c>
      <c r="BI41">
        <v>2.9473137609610248E-2</v>
      </c>
      <c r="BJ41">
        <v>48</v>
      </c>
      <c r="BK41">
        <v>0.26950000000000002</v>
      </c>
      <c r="BL41">
        <v>63</v>
      </c>
      <c r="BS41">
        <v>22</v>
      </c>
      <c r="BT41">
        <v>7</v>
      </c>
      <c r="BU41">
        <v>1.2822857142857143</v>
      </c>
      <c r="BV41">
        <v>59.358288770053477</v>
      </c>
      <c r="BX41">
        <v>26.5</v>
      </c>
      <c r="BY41">
        <v>6</v>
      </c>
      <c r="BZ41">
        <v>0.87</v>
      </c>
      <c r="CA41">
        <v>70</v>
      </c>
      <c r="CE41">
        <v>26.5</v>
      </c>
      <c r="CG41">
        <v>70</v>
      </c>
    </row>
    <row r="42" spans="2:85" x14ac:dyDescent="0.2">
      <c r="B42">
        <v>16</v>
      </c>
      <c r="D42">
        <v>103.19999999999999</v>
      </c>
      <c r="E42">
        <v>0.43</v>
      </c>
      <c r="F42" t="s">
        <v>43</v>
      </c>
      <c r="G42">
        <v>33</v>
      </c>
      <c r="K42">
        <v>25</v>
      </c>
      <c r="L42">
        <v>0.33</v>
      </c>
      <c r="M42">
        <v>13</v>
      </c>
      <c r="N42">
        <v>1.3956923076923078</v>
      </c>
      <c r="O42">
        <v>67</v>
      </c>
      <c r="P42">
        <v>66</v>
      </c>
      <c r="R42">
        <v>0.33</v>
      </c>
      <c r="S42">
        <v>66</v>
      </c>
      <c r="U42">
        <v>0.52083333333333337</v>
      </c>
      <c r="V42">
        <v>51.201011378002526</v>
      </c>
      <c r="Y42">
        <v>16</v>
      </c>
      <c r="Z42">
        <v>33</v>
      </c>
      <c r="AC42">
        <v>21</v>
      </c>
      <c r="AD42">
        <v>74.871794871794876</v>
      </c>
      <c r="AF42">
        <v>5.0999999999999996</v>
      </c>
      <c r="AG42">
        <v>61.88925081433225</v>
      </c>
      <c r="AI42">
        <v>6.1</v>
      </c>
      <c r="AJ42">
        <v>64.179104477611943</v>
      </c>
      <c r="AL42">
        <v>0.45</v>
      </c>
      <c r="AM42">
        <v>85</v>
      </c>
      <c r="AO42">
        <v>0.9701052631578948</v>
      </c>
      <c r="AP42">
        <v>17.123287671232877</v>
      </c>
      <c r="AV42">
        <v>16</v>
      </c>
      <c r="AW42">
        <v>103.19999999999999</v>
      </c>
      <c r="AX42">
        <v>0.43</v>
      </c>
      <c r="AY42">
        <v>33</v>
      </c>
      <c r="BB42">
        <v>0.33</v>
      </c>
      <c r="BC42">
        <v>25</v>
      </c>
      <c r="BD42">
        <v>13</v>
      </c>
      <c r="BE42">
        <v>1.3956923076923078</v>
      </c>
      <c r="BF42">
        <v>66</v>
      </c>
      <c r="BH42">
        <v>23</v>
      </c>
      <c r="BI42">
        <v>4.4209706414415371E-2</v>
      </c>
      <c r="BJ42">
        <v>36</v>
      </c>
      <c r="BK42">
        <v>0.35933333333333328</v>
      </c>
      <c r="BL42">
        <v>63</v>
      </c>
      <c r="BS42">
        <v>22</v>
      </c>
      <c r="BT42">
        <v>7.2</v>
      </c>
      <c r="BU42">
        <v>1.5300000000000002</v>
      </c>
      <c r="BV42">
        <v>55.119825708061001</v>
      </c>
      <c r="BX42">
        <v>26.5</v>
      </c>
      <c r="BY42">
        <v>6</v>
      </c>
      <c r="BZ42">
        <v>0.87</v>
      </c>
      <c r="CA42">
        <v>82</v>
      </c>
      <c r="CE42">
        <v>26.5</v>
      </c>
      <c r="CG42">
        <v>82</v>
      </c>
    </row>
    <row r="43" spans="2:85" x14ac:dyDescent="0.2">
      <c r="B43">
        <v>16.399999999999999</v>
      </c>
      <c r="D43">
        <v>23</v>
      </c>
      <c r="E43">
        <v>1.51</v>
      </c>
      <c r="F43" t="s">
        <v>43</v>
      </c>
      <c r="G43">
        <v>38</v>
      </c>
      <c r="K43">
        <v>25</v>
      </c>
      <c r="L43">
        <v>0.35</v>
      </c>
      <c r="M43">
        <v>8.8000000000000007</v>
      </c>
      <c r="N43">
        <v>1.780909090909091</v>
      </c>
      <c r="O43">
        <v>27</v>
      </c>
      <c r="P43">
        <v>22</v>
      </c>
      <c r="R43">
        <v>0.35</v>
      </c>
      <c r="S43">
        <v>22</v>
      </c>
      <c r="U43">
        <v>0.53</v>
      </c>
      <c r="V43">
        <v>51.020408163265309</v>
      </c>
      <c r="Y43">
        <v>16.399999999999999</v>
      </c>
      <c r="Z43">
        <v>38</v>
      </c>
      <c r="AC43">
        <v>22</v>
      </c>
      <c r="AD43">
        <v>20</v>
      </c>
      <c r="AF43">
        <v>5.5</v>
      </c>
      <c r="AG43">
        <v>69.135802469135797</v>
      </c>
      <c r="AI43">
        <v>6.2</v>
      </c>
      <c r="AJ43">
        <v>67.256637168141594</v>
      </c>
      <c r="AL43">
        <v>0.45</v>
      </c>
      <c r="AM43">
        <v>84.6</v>
      </c>
      <c r="AO43">
        <v>0.97199999999999998</v>
      </c>
      <c r="AP43">
        <v>33</v>
      </c>
      <c r="AV43">
        <v>16.399999999999999</v>
      </c>
      <c r="AW43">
        <v>23</v>
      </c>
      <c r="AX43">
        <v>1.51</v>
      </c>
      <c r="AY43">
        <v>38</v>
      </c>
      <c r="BB43">
        <v>0.35</v>
      </c>
      <c r="BC43">
        <v>25</v>
      </c>
      <c r="BD43">
        <v>8.8000000000000007</v>
      </c>
      <c r="BE43">
        <v>1.780909090909091</v>
      </c>
      <c r="BF43">
        <v>22</v>
      </c>
      <c r="BH43">
        <v>23</v>
      </c>
      <c r="BI43">
        <v>5.8946275219220495E-2</v>
      </c>
      <c r="BJ43">
        <v>24</v>
      </c>
      <c r="BK43">
        <v>0.53900000000000003</v>
      </c>
      <c r="BL43">
        <v>70</v>
      </c>
      <c r="BS43">
        <v>33</v>
      </c>
      <c r="BT43">
        <v>7.2</v>
      </c>
      <c r="BU43">
        <v>0.77</v>
      </c>
      <c r="BV43">
        <v>77</v>
      </c>
      <c r="BX43">
        <v>27</v>
      </c>
      <c r="BY43">
        <v>6</v>
      </c>
      <c r="BZ43">
        <v>0.36800000000000005</v>
      </c>
      <c r="CA43">
        <v>53.260869565217398</v>
      </c>
      <c r="CE43">
        <v>27</v>
      </c>
      <c r="CG43">
        <v>53.260869565217398</v>
      </c>
    </row>
    <row r="44" spans="2:85" x14ac:dyDescent="0.2">
      <c r="B44">
        <v>16.399999999999999</v>
      </c>
      <c r="D44">
        <v>24</v>
      </c>
      <c r="E44">
        <v>1.45</v>
      </c>
      <c r="F44" t="s">
        <v>43</v>
      </c>
      <c r="G44">
        <v>41</v>
      </c>
      <c r="K44">
        <v>25</v>
      </c>
      <c r="L44">
        <v>0.35367765131532297</v>
      </c>
      <c r="M44">
        <v>4</v>
      </c>
      <c r="N44">
        <v>4.032</v>
      </c>
      <c r="O44" t="s">
        <v>43</v>
      </c>
      <c r="P44">
        <v>64.583333333333343</v>
      </c>
      <c r="R44">
        <v>0.35367765131532297</v>
      </c>
      <c r="S44">
        <v>64.583333333333343</v>
      </c>
      <c r="U44">
        <v>0.53333333333333333</v>
      </c>
      <c r="V44">
        <v>17.123287671232877</v>
      </c>
      <c r="Y44">
        <v>16.399999999999999</v>
      </c>
      <c r="Z44">
        <v>41</v>
      </c>
      <c r="AC44">
        <v>22</v>
      </c>
      <c r="AD44">
        <v>35</v>
      </c>
      <c r="AF44">
        <v>5.5</v>
      </c>
      <c r="AG44">
        <v>72.663139329805986</v>
      </c>
      <c r="AI44">
        <v>7</v>
      </c>
      <c r="AJ44">
        <v>47.266881028938904</v>
      </c>
      <c r="AL44">
        <v>0.45999999999999996</v>
      </c>
      <c r="AM44">
        <v>57</v>
      </c>
      <c r="AO44">
        <v>0.99463917525773216</v>
      </c>
      <c r="AP44">
        <v>68</v>
      </c>
      <c r="AV44">
        <v>16.399999999999999</v>
      </c>
      <c r="AW44">
        <v>24</v>
      </c>
      <c r="AX44">
        <v>1.45</v>
      </c>
      <c r="AY44">
        <v>41</v>
      </c>
      <c r="BB44">
        <v>0.35367765131532297</v>
      </c>
      <c r="BC44">
        <v>25</v>
      </c>
      <c r="BD44">
        <v>4</v>
      </c>
      <c r="BE44">
        <v>4.032</v>
      </c>
      <c r="BF44">
        <v>64.583333333333343</v>
      </c>
      <c r="BH44">
        <v>23</v>
      </c>
      <c r="BI44">
        <v>0.21</v>
      </c>
      <c r="BJ44">
        <v>23</v>
      </c>
      <c r="BK44">
        <v>1.4</v>
      </c>
      <c r="BL44">
        <v>50</v>
      </c>
      <c r="BS44">
        <v>25</v>
      </c>
      <c r="BT44">
        <v>7.5</v>
      </c>
      <c r="BU44">
        <v>0.62079999999999991</v>
      </c>
      <c r="BV44">
        <v>54.123711340206185</v>
      </c>
      <c r="BX44">
        <v>27</v>
      </c>
      <c r="BY44">
        <v>6</v>
      </c>
      <c r="BZ44">
        <v>0.77999999999999992</v>
      </c>
      <c r="CA44">
        <v>54.358974358974358</v>
      </c>
      <c r="CE44">
        <v>27</v>
      </c>
      <c r="CG44">
        <v>54.358974358974358</v>
      </c>
    </row>
    <row r="45" spans="2:85" x14ac:dyDescent="0.2">
      <c r="B45">
        <f>AVERAGE(14,19)</f>
        <v>16.5</v>
      </c>
      <c r="D45">
        <v>103.19999999999999</v>
      </c>
      <c r="E45">
        <v>0.89</v>
      </c>
      <c r="F45" t="s">
        <v>43</v>
      </c>
      <c r="G45">
        <v>70</v>
      </c>
      <c r="K45">
        <v>24.3</v>
      </c>
      <c r="L45">
        <v>0.37</v>
      </c>
      <c r="M45">
        <v>13.6</v>
      </c>
      <c r="N45">
        <v>1.54</v>
      </c>
      <c r="O45">
        <v>65.012406947890824</v>
      </c>
      <c r="P45">
        <v>71.085714285714289</v>
      </c>
      <c r="R45">
        <v>0.37</v>
      </c>
      <c r="S45">
        <v>71.085714285714289</v>
      </c>
      <c r="U45">
        <v>0.54166666666666663</v>
      </c>
      <c r="V45">
        <v>61.589403973509938</v>
      </c>
      <c r="Y45">
        <v>16.5</v>
      </c>
      <c r="Z45">
        <v>70</v>
      </c>
      <c r="AC45">
        <v>22</v>
      </c>
      <c r="AD45">
        <v>62</v>
      </c>
      <c r="AF45">
        <v>5.7</v>
      </c>
      <c r="AG45">
        <v>48</v>
      </c>
      <c r="AI45">
        <v>7</v>
      </c>
      <c r="AJ45">
        <v>49.517684887459808</v>
      </c>
      <c r="AL45">
        <v>0.46</v>
      </c>
      <c r="AM45">
        <v>80.810810810810821</v>
      </c>
      <c r="AO45">
        <v>0.9987096774193549</v>
      </c>
      <c r="AP45">
        <v>67.256637168141594</v>
      </c>
      <c r="AV45">
        <v>16.5</v>
      </c>
      <c r="AW45">
        <v>103.19999999999999</v>
      </c>
      <c r="AX45">
        <v>0.89</v>
      </c>
      <c r="AY45">
        <v>70</v>
      </c>
      <c r="BB45">
        <v>0.37</v>
      </c>
      <c r="BC45">
        <v>24.3</v>
      </c>
      <c r="BD45">
        <v>13.6</v>
      </c>
      <c r="BE45">
        <v>1.54</v>
      </c>
      <c r="BF45">
        <v>71.085714285714289</v>
      </c>
      <c r="BH45">
        <v>23</v>
      </c>
      <c r="BI45">
        <v>0.59</v>
      </c>
      <c r="BJ45">
        <v>7.7</v>
      </c>
      <c r="BK45">
        <v>1.5335064935064935</v>
      </c>
      <c r="BL45">
        <v>58.943089430894311</v>
      </c>
      <c r="BS45">
        <v>27.4</v>
      </c>
      <c r="BT45">
        <v>7.5</v>
      </c>
      <c r="BU45">
        <v>2.0608000000000004</v>
      </c>
      <c r="BV45">
        <v>79.968944099378874</v>
      </c>
      <c r="BX45">
        <v>27</v>
      </c>
      <c r="BY45">
        <v>6</v>
      </c>
      <c r="BZ45">
        <v>3.2640000000000002</v>
      </c>
      <c r="CA45">
        <v>57.965686274509807</v>
      </c>
      <c r="CE45">
        <v>27</v>
      </c>
      <c r="CG45">
        <v>57.965686274509807</v>
      </c>
    </row>
    <row r="46" spans="2:85" x14ac:dyDescent="0.2">
      <c r="B46">
        <v>17</v>
      </c>
      <c r="C46" t="s">
        <v>43</v>
      </c>
      <c r="D46">
        <v>5.5</v>
      </c>
      <c r="E46">
        <v>2.474181818181818</v>
      </c>
      <c r="F46">
        <v>42.214532871972317</v>
      </c>
      <c r="G46">
        <v>69.135802469135797</v>
      </c>
      <c r="K46">
        <v>7.1</v>
      </c>
      <c r="L46">
        <v>0.4</v>
      </c>
      <c r="M46">
        <v>8</v>
      </c>
      <c r="N46">
        <v>0.41459999999999997</v>
      </c>
      <c r="O46">
        <v>72.708333333333329</v>
      </c>
      <c r="P46">
        <v>33.14037626628074</v>
      </c>
      <c r="R46">
        <v>0.4</v>
      </c>
      <c r="S46">
        <v>33.14037626628074</v>
      </c>
      <c r="U46">
        <v>0.55833333333333335</v>
      </c>
      <c r="V46">
        <v>59.556786703601105</v>
      </c>
      <c r="Y46">
        <v>17</v>
      </c>
      <c r="Z46">
        <v>69.135802469135797</v>
      </c>
      <c r="AC46">
        <v>22</v>
      </c>
      <c r="AD46">
        <v>62</v>
      </c>
      <c r="AF46">
        <v>5.7</v>
      </c>
      <c r="AG46">
        <v>49</v>
      </c>
      <c r="AI46">
        <v>7</v>
      </c>
      <c r="AJ46">
        <v>76.5625</v>
      </c>
      <c r="AL46">
        <v>0.47</v>
      </c>
      <c r="AM46">
        <v>68.341708542713562</v>
      </c>
      <c r="AO46">
        <v>1</v>
      </c>
      <c r="AP46">
        <v>66.268656716417908</v>
      </c>
      <c r="AV46">
        <v>17</v>
      </c>
      <c r="AW46">
        <v>5.5</v>
      </c>
      <c r="AX46">
        <v>2.474181818181818</v>
      </c>
      <c r="AY46">
        <v>69.135802469135797</v>
      </c>
      <c r="BB46">
        <v>0.4</v>
      </c>
      <c r="BC46">
        <v>7.1</v>
      </c>
      <c r="BD46">
        <v>8</v>
      </c>
      <c r="BE46">
        <v>0.41459999999999997</v>
      </c>
      <c r="BF46">
        <v>33.14037626628074</v>
      </c>
      <c r="BH46">
        <v>23</v>
      </c>
      <c r="BI46">
        <v>0.7</v>
      </c>
      <c r="BJ46">
        <v>4</v>
      </c>
      <c r="BK46">
        <v>2.4359999999999999</v>
      </c>
      <c r="BL46">
        <v>65.024630541871915</v>
      </c>
      <c r="BS46">
        <v>27.4</v>
      </c>
      <c r="BT46">
        <v>7.5</v>
      </c>
      <c r="BU46">
        <v>1.9903999999999997</v>
      </c>
      <c r="BV46">
        <v>83.60128617363344</v>
      </c>
      <c r="BX46">
        <v>27</v>
      </c>
      <c r="BY46">
        <v>6</v>
      </c>
      <c r="BZ46">
        <v>2.2199999999999998</v>
      </c>
      <c r="CA46">
        <v>61.621621621621628</v>
      </c>
      <c r="CE46">
        <v>27</v>
      </c>
      <c r="CG46">
        <v>61.621621621621628</v>
      </c>
    </row>
    <row r="47" spans="2:85" x14ac:dyDescent="0.2">
      <c r="B47">
        <v>17</v>
      </c>
      <c r="C47" t="s">
        <v>43</v>
      </c>
      <c r="D47">
        <v>5.5</v>
      </c>
      <c r="E47">
        <v>2.474181818181818</v>
      </c>
      <c r="F47">
        <v>43.944636678200695</v>
      </c>
      <c r="G47">
        <v>72.663139329805986</v>
      </c>
      <c r="K47">
        <v>10.3</v>
      </c>
      <c r="L47">
        <v>0.4</v>
      </c>
      <c r="M47">
        <v>8</v>
      </c>
      <c r="N47">
        <v>0.41459999999999997</v>
      </c>
      <c r="O47">
        <v>43.333333333333336</v>
      </c>
      <c r="P47">
        <v>35.311143270622274</v>
      </c>
      <c r="R47">
        <v>0.4</v>
      </c>
      <c r="S47">
        <v>35.311143270622274</v>
      </c>
      <c r="U47">
        <v>0.5625</v>
      </c>
      <c r="V47">
        <v>40.495867768595041</v>
      </c>
      <c r="Y47">
        <v>17</v>
      </c>
      <c r="Z47">
        <v>72.663139329805986</v>
      </c>
      <c r="AC47">
        <v>22</v>
      </c>
      <c r="AD47">
        <v>62.318840579710141</v>
      </c>
      <c r="AF47">
        <v>5.7</v>
      </c>
      <c r="AG47">
        <v>53</v>
      </c>
      <c r="AI47">
        <v>7</v>
      </c>
      <c r="AJ47">
        <v>87</v>
      </c>
      <c r="AL47">
        <v>0.48</v>
      </c>
      <c r="AM47">
        <v>63</v>
      </c>
      <c r="AO47">
        <v>1.026</v>
      </c>
      <c r="AP47">
        <v>66</v>
      </c>
      <c r="AV47">
        <v>17</v>
      </c>
      <c r="AW47">
        <v>5.5</v>
      </c>
      <c r="AX47">
        <v>2.474181818181818</v>
      </c>
      <c r="AY47">
        <v>72.663139329805986</v>
      </c>
      <c r="BB47">
        <v>0.4</v>
      </c>
      <c r="BC47">
        <v>10.3</v>
      </c>
      <c r="BD47">
        <v>8</v>
      </c>
      <c r="BE47">
        <v>0.41459999999999997</v>
      </c>
      <c r="BF47">
        <v>35.311143270622274</v>
      </c>
      <c r="BH47">
        <v>24</v>
      </c>
      <c r="BI47">
        <v>2.6066787716953668E-2</v>
      </c>
      <c r="BJ47">
        <v>96</v>
      </c>
      <c r="BK47">
        <v>0.31674999999999998</v>
      </c>
      <c r="BL47">
        <v>58</v>
      </c>
      <c r="BS47">
        <v>27.4</v>
      </c>
      <c r="BT47">
        <v>7.5</v>
      </c>
      <c r="BU47">
        <v>2.5888</v>
      </c>
      <c r="BV47">
        <v>88.627935723114959</v>
      </c>
      <c r="BX47">
        <v>27</v>
      </c>
      <c r="BY47">
        <v>6</v>
      </c>
      <c r="BZ47">
        <v>1.1919999999999999</v>
      </c>
      <c r="CA47">
        <v>65.100671140939596</v>
      </c>
      <c r="CE47">
        <v>27</v>
      </c>
      <c r="CG47">
        <v>65.100671140939596</v>
      </c>
    </row>
    <row r="48" spans="2:85" x14ac:dyDescent="0.2">
      <c r="B48">
        <v>17</v>
      </c>
      <c r="C48">
        <v>0.8</v>
      </c>
      <c r="D48">
        <v>10</v>
      </c>
      <c r="E48">
        <v>1.5288000000000002</v>
      </c>
      <c r="F48" t="s">
        <v>43</v>
      </c>
      <c r="G48">
        <v>60</v>
      </c>
      <c r="K48">
        <v>26</v>
      </c>
      <c r="L48">
        <v>0.40364583333333331</v>
      </c>
      <c r="M48">
        <v>6</v>
      </c>
      <c r="N48">
        <v>0.53</v>
      </c>
      <c r="O48" t="s">
        <v>43</v>
      </c>
      <c r="P48">
        <v>47</v>
      </c>
      <c r="R48">
        <v>0.40364583333333331</v>
      </c>
      <c r="S48">
        <v>47</v>
      </c>
      <c r="U48">
        <v>0.56666666666666665</v>
      </c>
      <c r="V48">
        <v>70.466321243523311</v>
      </c>
      <c r="Y48">
        <v>17</v>
      </c>
      <c r="Z48">
        <v>60</v>
      </c>
      <c r="AC48">
        <v>22</v>
      </c>
      <c r="AD48">
        <v>66.210045662100455</v>
      </c>
      <c r="AF48">
        <v>5.7</v>
      </c>
      <c r="AG48">
        <v>56</v>
      </c>
      <c r="AI48">
        <v>7.2</v>
      </c>
      <c r="AJ48">
        <v>66.210045662100455</v>
      </c>
      <c r="AL48">
        <v>0.48599999999999999</v>
      </c>
      <c r="AM48">
        <v>67</v>
      </c>
      <c r="AO48">
        <v>1.1000000000000001</v>
      </c>
      <c r="AP48">
        <v>47</v>
      </c>
      <c r="AV48">
        <v>17</v>
      </c>
      <c r="AW48">
        <v>10</v>
      </c>
      <c r="AX48">
        <v>1.5288000000000002</v>
      </c>
      <c r="AY48">
        <v>60</v>
      </c>
      <c r="BB48">
        <v>0.40364583333333331</v>
      </c>
      <c r="BC48">
        <v>26</v>
      </c>
      <c r="BD48">
        <v>6</v>
      </c>
      <c r="BE48">
        <v>0.53</v>
      </c>
      <c r="BF48">
        <v>47</v>
      </c>
      <c r="BH48">
        <v>24</v>
      </c>
      <c r="BI48">
        <v>5.2133575433907335E-2</v>
      </c>
      <c r="BJ48">
        <v>48</v>
      </c>
      <c r="BK48">
        <v>0.63349999999999995</v>
      </c>
      <c r="BL48">
        <v>56</v>
      </c>
      <c r="BS48">
        <v>33</v>
      </c>
      <c r="BT48">
        <v>7.5</v>
      </c>
      <c r="BU48">
        <v>0.61</v>
      </c>
      <c r="BV48">
        <v>73</v>
      </c>
      <c r="BX48">
        <v>28</v>
      </c>
      <c r="BY48">
        <v>6</v>
      </c>
      <c r="BZ48">
        <v>2.9960000000000004</v>
      </c>
      <c r="CA48">
        <v>79.839786381842458</v>
      </c>
      <c r="CE48">
        <v>28</v>
      </c>
      <c r="CG48">
        <v>79.839786381842458</v>
      </c>
    </row>
    <row r="49" spans="2:86" x14ac:dyDescent="0.2">
      <c r="B49">
        <v>17</v>
      </c>
      <c r="C49">
        <v>0.8</v>
      </c>
      <c r="D49">
        <v>14</v>
      </c>
      <c r="E49">
        <v>1.0919999999999999</v>
      </c>
      <c r="F49" t="s">
        <v>43</v>
      </c>
      <c r="G49">
        <v>72</v>
      </c>
      <c r="K49">
        <v>26</v>
      </c>
      <c r="L49">
        <v>0.40364583333333331</v>
      </c>
      <c r="M49">
        <v>6</v>
      </c>
      <c r="N49">
        <v>0.53</v>
      </c>
      <c r="O49" t="s">
        <v>43</v>
      </c>
      <c r="P49">
        <v>47</v>
      </c>
      <c r="R49">
        <v>0.40364583333333331</v>
      </c>
      <c r="S49">
        <v>47</v>
      </c>
      <c r="U49">
        <v>0.56999999999999995</v>
      </c>
      <c r="V49">
        <v>53.956834532374096</v>
      </c>
      <c r="Y49">
        <v>17</v>
      </c>
      <c r="Z49">
        <v>72</v>
      </c>
      <c r="AC49">
        <v>22</v>
      </c>
      <c r="AD49">
        <v>76.5625</v>
      </c>
      <c r="AF49">
        <v>5.9</v>
      </c>
      <c r="AG49">
        <v>49</v>
      </c>
      <c r="AI49">
        <v>7.5</v>
      </c>
      <c r="AJ49">
        <v>62.637362637362635</v>
      </c>
      <c r="AL49">
        <v>0.52</v>
      </c>
      <c r="AM49">
        <v>50</v>
      </c>
      <c r="AO49">
        <v>1.1000000000000001</v>
      </c>
      <c r="AP49">
        <v>76</v>
      </c>
      <c r="AV49">
        <v>17</v>
      </c>
      <c r="AW49">
        <v>14</v>
      </c>
      <c r="AX49">
        <v>1.0919999999999999</v>
      </c>
      <c r="AY49">
        <v>72</v>
      </c>
      <c r="BB49">
        <v>0.40364583333333331</v>
      </c>
      <c r="BC49">
        <v>26</v>
      </c>
      <c r="BD49">
        <v>6</v>
      </c>
      <c r="BE49">
        <v>0.53</v>
      </c>
      <c r="BF49">
        <v>47</v>
      </c>
      <c r="BH49">
        <v>24.3</v>
      </c>
      <c r="BI49">
        <v>0.37</v>
      </c>
      <c r="BJ49">
        <v>13.6</v>
      </c>
      <c r="BK49">
        <v>1.54</v>
      </c>
      <c r="BL49">
        <v>71.085714285714289</v>
      </c>
      <c r="BS49">
        <v>15</v>
      </c>
      <c r="BT49">
        <v>7.68</v>
      </c>
      <c r="BU49">
        <v>1.51</v>
      </c>
      <c r="BV49">
        <v>68.099999999999994</v>
      </c>
      <c r="BX49">
        <v>28.5</v>
      </c>
      <c r="BY49">
        <v>6</v>
      </c>
      <c r="BZ49">
        <v>2.4</v>
      </c>
      <c r="CA49">
        <v>64</v>
      </c>
      <c r="CE49">
        <v>28.5</v>
      </c>
      <c r="CG49">
        <v>64</v>
      </c>
    </row>
    <row r="50" spans="2:86" x14ac:dyDescent="0.2">
      <c r="B50">
        <v>17</v>
      </c>
      <c r="C50">
        <v>0.8</v>
      </c>
      <c r="D50">
        <v>18</v>
      </c>
      <c r="E50">
        <v>0.84933333333333338</v>
      </c>
      <c r="F50" t="s">
        <v>43</v>
      </c>
      <c r="G50">
        <v>74</v>
      </c>
      <c r="K50">
        <v>26</v>
      </c>
      <c r="L50">
        <v>0.40364583333333331</v>
      </c>
      <c r="M50">
        <v>6</v>
      </c>
      <c r="N50">
        <v>0.53</v>
      </c>
      <c r="O50" t="s">
        <v>43</v>
      </c>
      <c r="P50">
        <v>62</v>
      </c>
      <c r="R50">
        <v>0.40364583333333331</v>
      </c>
      <c r="S50">
        <v>62</v>
      </c>
      <c r="U50">
        <v>0.58750000000000002</v>
      </c>
      <c r="V50">
        <v>56.748466257668717</v>
      </c>
      <c r="Y50">
        <v>17</v>
      </c>
      <c r="Z50">
        <v>74</v>
      </c>
      <c r="AC50">
        <v>22</v>
      </c>
      <c r="AD50">
        <v>83</v>
      </c>
      <c r="AF50">
        <v>6</v>
      </c>
      <c r="AG50">
        <v>31</v>
      </c>
      <c r="AI50">
        <v>7.5</v>
      </c>
      <c r="AJ50">
        <v>88.020833333333343</v>
      </c>
      <c r="AL50">
        <v>0.52</v>
      </c>
      <c r="AM50">
        <v>70</v>
      </c>
      <c r="AO50">
        <v>1.1099999999999997</v>
      </c>
      <c r="AP50">
        <v>74.871794871794876</v>
      </c>
      <c r="AV50">
        <v>17</v>
      </c>
      <c r="AW50">
        <v>18</v>
      </c>
      <c r="AX50">
        <v>1</v>
      </c>
      <c r="AY50">
        <v>56.8</v>
      </c>
      <c r="BB50">
        <v>0.40364583333333331</v>
      </c>
      <c r="BC50">
        <v>26</v>
      </c>
      <c r="BD50">
        <v>6</v>
      </c>
      <c r="BE50">
        <v>0.53</v>
      </c>
      <c r="BF50">
        <v>62</v>
      </c>
      <c r="BH50">
        <v>25</v>
      </c>
      <c r="BI50">
        <v>0.2</v>
      </c>
      <c r="BJ50">
        <v>16</v>
      </c>
      <c r="BK50">
        <v>1.3884000000000001</v>
      </c>
      <c r="BL50">
        <v>67.8</v>
      </c>
      <c r="BS50">
        <v>15</v>
      </c>
      <c r="BT50">
        <v>7.68</v>
      </c>
      <c r="BU50">
        <v>1.6</v>
      </c>
      <c r="BV50">
        <v>68.5</v>
      </c>
      <c r="CE50">
        <v>7.1</v>
      </c>
      <c r="CH50">
        <v>33.14037626628074</v>
      </c>
    </row>
    <row r="51" spans="2:86" x14ac:dyDescent="0.2">
      <c r="B51">
        <v>17</v>
      </c>
      <c r="D51">
        <v>18</v>
      </c>
      <c r="E51">
        <v>1</v>
      </c>
      <c r="F51">
        <v>66.268656716417908</v>
      </c>
      <c r="G51">
        <v>56.8</v>
      </c>
      <c r="K51">
        <f>AVERAGE(17,35)</f>
        <v>26</v>
      </c>
      <c r="L51">
        <v>0.42</v>
      </c>
      <c r="M51">
        <v>4</v>
      </c>
      <c r="N51">
        <v>1.9259999999999997</v>
      </c>
      <c r="O51">
        <v>62</v>
      </c>
      <c r="P51">
        <v>52.336448598130836</v>
      </c>
      <c r="R51">
        <v>0.42</v>
      </c>
      <c r="S51">
        <v>52.336448598130836</v>
      </c>
      <c r="U51">
        <v>0.59</v>
      </c>
      <c r="V51">
        <v>63.302752293577981</v>
      </c>
      <c r="Y51">
        <v>17</v>
      </c>
      <c r="Z51">
        <v>56.8</v>
      </c>
      <c r="AC51">
        <v>22.5</v>
      </c>
      <c r="AD51">
        <v>68</v>
      </c>
      <c r="AF51">
        <v>6</v>
      </c>
      <c r="AG51">
        <v>38.356164383561641</v>
      </c>
      <c r="AI51">
        <v>7.5</v>
      </c>
      <c r="AJ51">
        <v>91.545189504373184</v>
      </c>
      <c r="AL51">
        <v>0.52875846501128676</v>
      </c>
      <c r="AM51">
        <v>31.290983606557376</v>
      </c>
      <c r="AO51">
        <v>1.1100000000000001</v>
      </c>
      <c r="AP51">
        <v>71</v>
      </c>
      <c r="AV51">
        <v>17</v>
      </c>
      <c r="AW51">
        <v>18</v>
      </c>
      <c r="AX51">
        <v>0.84933333333333338</v>
      </c>
      <c r="AY51">
        <v>74</v>
      </c>
      <c r="BB51">
        <v>0.42</v>
      </c>
      <c r="BC51">
        <v>26</v>
      </c>
      <c r="BD51">
        <v>4</v>
      </c>
      <c r="BE51">
        <v>1.9259999999999997</v>
      </c>
      <c r="BF51">
        <v>52.336448598130836</v>
      </c>
      <c r="BH51">
        <v>25</v>
      </c>
      <c r="BI51">
        <v>0.2</v>
      </c>
      <c r="BJ51">
        <v>16</v>
      </c>
      <c r="BK51">
        <v>1.3884000000000001</v>
      </c>
      <c r="BL51">
        <v>68.5</v>
      </c>
      <c r="BS51">
        <v>15</v>
      </c>
      <c r="BT51">
        <v>7.68</v>
      </c>
      <c r="BU51">
        <v>1.2</v>
      </c>
      <c r="BV51">
        <v>79.3</v>
      </c>
      <c r="BX51">
        <v>7.1</v>
      </c>
      <c r="BY51">
        <v>8</v>
      </c>
      <c r="BZ51">
        <v>0.41459999999999997</v>
      </c>
      <c r="CA51">
        <v>33.14037626628074</v>
      </c>
      <c r="CE51">
        <v>10.3</v>
      </c>
      <c r="CH51">
        <v>35.311143270622274</v>
      </c>
    </row>
    <row r="52" spans="2:86" x14ac:dyDescent="0.2">
      <c r="B52">
        <v>17</v>
      </c>
      <c r="C52">
        <v>5.2133575433907335E-2</v>
      </c>
      <c r="D52">
        <v>48</v>
      </c>
      <c r="E52">
        <v>0.45</v>
      </c>
      <c r="F52">
        <v>74</v>
      </c>
      <c r="G52">
        <v>51</v>
      </c>
      <c r="K52">
        <v>27</v>
      </c>
      <c r="L52">
        <v>0.43333333333333335</v>
      </c>
      <c r="M52">
        <v>11.8</v>
      </c>
      <c r="N52">
        <v>1.1125423728813557</v>
      </c>
      <c r="O52">
        <v>49.440715883668908</v>
      </c>
      <c r="P52">
        <v>55.210237659963433</v>
      </c>
      <c r="R52">
        <v>0.43333333333333335</v>
      </c>
      <c r="S52">
        <v>55.210237659963433</v>
      </c>
      <c r="U52">
        <v>0.61115498147287806</v>
      </c>
      <c r="V52">
        <v>68.646864686468646</v>
      </c>
      <c r="Y52">
        <v>17</v>
      </c>
      <c r="Z52">
        <v>51</v>
      </c>
      <c r="AC52">
        <v>22.7</v>
      </c>
      <c r="AD52">
        <v>31.692677070828328</v>
      </c>
      <c r="AF52">
        <v>6</v>
      </c>
      <c r="AG52">
        <v>45.908460471567267</v>
      </c>
      <c r="AI52">
        <v>7.5</v>
      </c>
      <c r="AJ52">
        <v>97.398843930635834</v>
      </c>
      <c r="AL52">
        <v>0.53</v>
      </c>
      <c r="AM52">
        <v>39.814814814814817</v>
      </c>
      <c r="AO52">
        <v>1.1125423728813557</v>
      </c>
      <c r="AP52">
        <v>49.440715883668908</v>
      </c>
      <c r="AV52">
        <v>17</v>
      </c>
      <c r="AW52">
        <v>48</v>
      </c>
      <c r="AX52">
        <v>0.45</v>
      </c>
      <c r="AY52">
        <v>51</v>
      </c>
      <c r="BB52">
        <v>0.43333333333333335</v>
      </c>
      <c r="BC52">
        <v>27</v>
      </c>
      <c r="BD52">
        <v>11.8</v>
      </c>
      <c r="BE52">
        <v>1.1125423728813557</v>
      </c>
      <c r="BF52">
        <v>55.210237659963433</v>
      </c>
      <c r="BH52">
        <v>25</v>
      </c>
      <c r="BI52">
        <v>0.21</v>
      </c>
      <c r="BJ52">
        <v>25</v>
      </c>
      <c r="BK52">
        <v>1.5</v>
      </c>
      <c r="BL52">
        <v>62</v>
      </c>
      <c r="BS52">
        <v>13.6</v>
      </c>
      <c r="BT52">
        <v>7.7</v>
      </c>
      <c r="BU52">
        <v>0.85</v>
      </c>
      <c r="BV52">
        <v>26.642335766423358</v>
      </c>
      <c r="BX52">
        <v>10.3</v>
      </c>
      <c r="BY52">
        <v>8</v>
      </c>
      <c r="BZ52">
        <v>0.41459999999999997</v>
      </c>
      <c r="CA52">
        <v>35.311143270622274</v>
      </c>
      <c r="CE52">
        <v>13</v>
      </c>
      <c r="CH52">
        <v>48.113207547169814</v>
      </c>
    </row>
    <row r="53" spans="2:86" x14ac:dyDescent="0.2">
      <c r="B53">
        <v>17</v>
      </c>
      <c r="C53">
        <v>2.6066787716953668E-2</v>
      </c>
      <c r="D53">
        <v>96</v>
      </c>
      <c r="E53">
        <v>0.23</v>
      </c>
      <c r="F53">
        <v>78</v>
      </c>
      <c r="G53">
        <v>54</v>
      </c>
      <c r="K53">
        <f>AVERAGE(23.5,28.5)</f>
        <v>26</v>
      </c>
      <c r="L53">
        <v>0.45</v>
      </c>
      <c r="M53" t="s">
        <v>290</v>
      </c>
      <c r="N53" t="s">
        <v>293</v>
      </c>
      <c r="O53" t="s">
        <v>43</v>
      </c>
      <c r="P53">
        <v>50</v>
      </c>
      <c r="R53">
        <v>0.45</v>
      </c>
      <c r="S53">
        <v>50</v>
      </c>
      <c r="U53">
        <v>0.6166666666666667</v>
      </c>
      <c r="V53">
        <v>53.284671532846716</v>
      </c>
      <c r="Y53">
        <v>17</v>
      </c>
      <c r="Z53">
        <v>54</v>
      </c>
      <c r="AC53">
        <v>22.7</v>
      </c>
      <c r="AD53">
        <v>46</v>
      </c>
      <c r="AF53">
        <v>6</v>
      </c>
      <c r="AG53">
        <v>47</v>
      </c>
      <c r="AI53">
        <v>7.7</v>
      </c>
      <c r="AJ53">
        <v>49</v>
      </c>
      <c r="AL53">
        <v>0.53</v>
      </c>
      <c r="AM53">
        <v>47</v>
      </c>
      <c r="AO53">
        <v>1.1563636363636363</v>
      </c>
      <c r="AP53">
        <v>39.83050847457627</v>
      </c>
      <c r="AV53">
        <v>17</v>
      </c>
      <c r="AW53">
        <v>96</v>
      </c>
      <c r="AX53">
        <v>0.23</v>
      </c>
      <c r="AY53">
        <v>54</v>
      </c>
      <c r="BB53">
        <v>0.45</v>
      </c>
      <c r="BC53">
        <v>26</v>
      </c>
      <c r="BD53">
        <v>12</v>
      </c>
      <c r="BE53">
        <v>1.6</v>
      </c>
      <c r="BF53">
        <v>50</v>
      </c>
      <c r="BH53">
        <v>25</v>
      </c>
      <c r="BI53">
        <v>0.23578510087688198</v>
      </c>
      <c r="BJ53">
        <v>6</v>
      </c>
      <c r="BK53">
        <v>2.7919999999999998</v>
      </c>
      <c r="BL53">
        <v>71.633237822349571</v>
      </c>
      <c r="BS53">
        <v>23</v>
      </c>
      <c r="BT53">
        <v>7.7</v>
      </c>
      <c r="BU53">
        <v>1.5335064935064935</v>
      </c>
      <c r="BV53">
        <v>58.943089430894311</v>
      </c>
      <c r="BX53">
        <v>13</v>
      </c>
      <c r="BY53">
        <v>8</v>
      </c>
      <c r="BZ53">
        <v>2.2000000000000002</v>
      </c>
      <c r="CA53">
        <v>48.113207547169814</v>
      </c>
      <c r="CE53">
        <v>13</v>
      </c>
      <c r="CH53">
        <v>59</v>
      </c>
    </row>
    <row r="54" spans="2:86" x14ac:dyDescent="0.2">
      <c r="B54">
        <v>18</v>
      </c>
      <c r="D54">
        <v>4.4000000000000004</v>
      </c>
      <c r="E54">
        <v>1.5545454545454545</v>
      </c>
      <c r="F54">
        <v>55.508474576271183</v>
      </c>
      <c r="G54">
        <v>33.684210526315788</v>
      </c>
      <c r="K54">
        <v>25</v>
      </c>
      <c r="L54">
        <v>0.47157020175376396</v>
      </c>
      <c r="M54">
        <v>3</v>
      </c>
      <c r="N54">
        <v>5.9999999999999991</v>
      </c>
      <c r="O54" t="s">
        <v>43</v>
      </c>
      <c r="P54">
        <v>42.4</v>
      </c>
      <c r="R54">
        <v>0.47157020175376396</v>
      </c>
      <c r="S54">
        <v>42.4</v>
      </c>
      <c r="U54">
        <v>0.6166666666666667</v>
      </c>
      <c r="V54">
        <v>66.834170854271363</v>
      </c>
      <c r="Y54">
        <v>18</v>
      </c>
      <c r="Z54">
        <v>33.684210526315788</v>
      </c>
      <c r="AC54">
        <v>23</v>
      </c>
      <c r="AD54">
        <v>35</v>
      </c>
      <c r="AF54">
        <v>6</v>
      </c>
      <c r="AG54">
        <v>47</v>
      </c>
      <c r="AI54">
        <v>7.7</v>
      </c>
      <c r="AJ54">
        <v>63.302752293577981</v>
      </c>
      <c r="AL54">
        <v>0.53</v>
      </c>
      <c r="AM54">
        <v>47</v>
      </c>
      <c r="AO54">
        <v>1.2030379746835442</v>
      </c>
      <c r="AP54">
        <v>36</v>
      </c>
      <c r="AV54">
        <v>18</v>
      </c>
      <c r="AW54">
        <v>4.4000000000000004</v>
      </c>
      <c r="AX54">
        <v>1.5545454545454545</v>
      </c>
      <c r="AY54">
        <v>33.684210526315788</v>
      </c>
      <c r="BB54">
        <v>0.47157020175376396</v>
      </c>
      <c r="BC54">
        <v>25</v>
      </c>
      <c r="BD54">
        <v>3</v>
      </c>
      <c r="BE54">
        <v>5.9999999999999991</v>
      </c>
      <c r="BF54">
        <v>42.4</v>
      </c>
      <c r="BH54">
        <v>25</v>
      </c>
      <c r="BI54">
        <v>0.27</v>
      </c>
      <c r="BJ54">
        <v>11.2</v>
      </c>
      <c r="BK54">
        <v>1.4121428571428571</v>
      </c>
      <c r="BL54">
        <v>41</v>
      </c>
      <c r="BS54">
        <v>23</v>
      </c>
      <c r="BT54">
        <v>7.8</v>
      </c>
      <c r="BU54">
        <v>1.2184615384615383</v>
      </c>
      <c r="BV54">
        <v>58</v>
      </c>
      <c r="BX54">
        <v>13</v>
      </c>
      <c r="BY54">
        <v>8</v>
      </c>
      <c r="BZ54">
        <v>1.032</v>
      </c>
      <c r="CA54">
        <v>59</v>
      </c>
      <c r="CE54">
        <v>15</v>
      </c>
      <c r="CH54">
        <v>61</v>
      </c>
    </row>
    <row r="55" spans="2:86" x14ac:dyDescent="0.2">
      <c r="B55">
        <v>18</v>
      </c>
      <c r="D55">
        <v>11</v>
      </c>
      <c r="E55">
        <v>0.87927272727272721</v>
      </c>
      <c r="F55">
        <v>75.27472527472527</v>
      </c>
      <c r="G55">
        <v>63.027295285359799</v>
      </c>
      <c r="K55">
        <v>15</v>
      </c>
      <c r="L55">
        <v>0.5</v>
      </c>
      <c r="M55">
        <v>8</v>
      </c>
      <c r="N55">
        <v>1.4760000000000002</v>
      </c>
      <c r="O55" t="s">
        <v>43</v>
      </c>
      <c r="P55">
        <v>61</v>
      </c>
      <c r="R55">
        <v>0.5</v>
      </c>
      <c r="S55">
        <v>61</v>
      </c>
      <c r="U55">
        <v>0.7</v>
      </c>
      <c r="V55">
        <v>61.363636363636367</v>
      </c>
      <c r="Y55">
        <v>18</v>
      </c>
      <c r="Z55">
        <v>63.027295285359799</v>
      </c>
      <c r="AC55">
        <v>23</v>
      </c>
      <c r="AD55">
        <v>36</v>
      </c>
      <c r="AF55">
        <v>6</v>
      </c>
      <c r="AG55">
        <v>53.260869565217398</v>
      </c>
      <c r="AI55">
        <v>7.8</v>
      </c>
      <c r="AJ55">
        <v>65</v>
      </c>
      <c r="AL55">
        <v>0.53</v>
      </c>
      <c r="AM55">
        <v>62</v>
      </c>
      <c r="AO55">
        <v>1.2184615384615383</v>
      </c>
      <c r="AP55">
        <v>65</v>
      </c>
      <c r="AV55">
        <v>18</v>
      </c>
      <c r="AW55">
        <v>11</v>
      </c>
      <c r="AX55">
        <v>0.87927272727272721</v>
      </c>
      <c r="AY55">
        <v>63.027295285359799</v>
      </c>
      <c r="BB55">
        <v>0.5</v>
      </c>
      <c r="BC55">
        <v>15</v>
      </c>
      <c r="BD55">
        <v>8</v>
      </c>
      <c r="BE55">
        <v>1.4760000000000002</v>
      </c>
      <c r="BF55">
        <v>61</v>
      </c>
      <c r="BH55">
        <v>25</v>
      </c>
      <c r="BI55">
        <v>0.28999999999999998</v>
      </c>
      <c r="BJ55">
        <v>10.5</v>
      </c>
      <c r="BK55">
        <v>1.7028571428571431</v>
      </c>
      <c r="BL55">
        <v>31</v>
      </c>
      <c r="BS55">
        <v>23</v>
      </c>
      <c r="BT55">
        <v>7.9</v>
      </c>
      <c r="BU55">
        <v>1.2030379746835442</v>
      </c>
      <c r="BV55">
        <v>53</v>
      </c>
      <c r="BX55">
        <v>15</v>
      </c>
      <c r="BY55">
        <v>8</v>
      </c>
      <c r="BZ55">
        <v>1.4760000000000002</v>
      </c>
      <c r="CA55">
        <v>61</v>
      </c>
      <c r="CE55">
        <v>15</v>
      </c>
      <c r="CH55">
        <v>70</v>
      </c>
    </row>
    <row r="56" spans="2:86" x14ac:dyDescent="0.2">
      <c r="B56">
        <v>18</v>
      </c>
      <c r="C56" t="s">
        <v>43</v>
      </c>
      <c r="D56">
        <v>60</v>
      </c>
      <c r="E56">
        <v>1.6015999999999999</v>
      </c>
      <c r="F56" t="s">
        <v>43</v>
      </c>
      <c r="G56">
        <v>93.9</v>
      </c>
      <c r="K56">
        <v>30</v>
      </c>
      <c r="L56">
        <v>0.52</v>
      </c>
      <c r="M56">
        <v>9.6999999999999993</v>
      </c>
      <c r="N56">
        <v>1.3929896907216497</v>
      </c>
      <c r="O56">
        <v>60.784313725490193</v>
      </c>
      <c r="P56">
        <v>64.120781527531079</v>
      </c>
      <c r="R56">
        <v>0.52</v>
      </c>
      <c r="S56">
        <v>64.120781527531079</v>
      </c>
      <c r="U56">
        <v>0.7</v>
      </c>
      <c r="V56">
        <v>68.586387434554979</v>
      </c>
      <c r="Y56">
        <v>18</v>
      </c>
      <c r="Z56">
        <v>93.9</v>
      </c>
      <c r="AC56">
        <v>23</v>
      </c>
      <c r="AD56">
        <v>39</v>
      </c>
      <c r="AF56">
        <v>6</v>
      </c>
      <c r="AG56">
        <v>54.358974358974358</v>
      </c>
      <c r="AI56">
        <v>7.9</v>
      </c>
      <c r="AJ56">
        <v>36</v>
      </c>
      <c r="AL56">
        <v>0.53900000000000003</v>
      </c>
      <c r="AM56">
        <v>70</v>
      </c>
      <c r="AO56">
        <v>1.2682352941176471</v>
      </c>
      <c r="AP56">
        <v>66.834170854271363</v>
      </c>
      <c r="AV56">
        <v>18</v>
      </c>
      <c r="AW56">
        <v>25</v>
      </c>
      <c r="AX56">
        <v>1.5</v>
      </c>
      <c r="AY56">
        <v>51</v>
      </c>
      <c r="BB56">
        <v>0.52</v>
      </c>
      <c r="BC56">
        <v>30</v>
      </c>
      <c r="BD56">
        <v>9.6999999999999993</v>
      </c>
      <c r="BE56">
        <v>1.3929896907216497</v>
      </c>
      <c r="BF56">
        <v>64.120781527531079</v>
      </c>
      <c r="BH56">
        <v>25</v>
      </c>
      <c r="BI56">
        <v>0.32</v>
      </c>
      <c r="BJ56">
        <v>9.5</v>
      </c>
      <c r="BK56">
        <v>2.0715789473684212</v>
      </c>
      <c r="BL56">
        <v>23</v>
      </c>
      <c r="BS56">
        <v>27</v>
      </c>
      <c r="BT56">
        <v>8.5</v>
      </c>
      <c r="BU56">
        <v>1.5981176470588239</v>
      </c>
      <c r="BV56">
        <v>75.441696113074215</v>
      </c>
      <c r="BX56">
        <v>15</v>
      </c>
      <c r="BY56">
        <v>8</v>
      </c>
      <c r="BZ56">
        <v>0.9</v>
      </c>
      <c r="CA56">
        <v>70</v>
      </c>
      <c r="CE56">
        <v>19</v>
      </c>
      <c r="CH56">
        <v>65</v>
      </c>
    </row>
    <row r="57" spans="2:86" x14ac:dyDescent="0.2">
      <c r="B57">
        <v>18</v>
      </c>
      <c r="C57">
        <v>0.2</v>
      </c>
      <c r="D57" t="s">
        <v>354</v>
      </c>
      <c r="E57" t="s">
        <v>356</v>
      </c>
      <c r="F57">
        <v>55</v>
      </c>
      <c r="G57">
        <v>51</v>
      </c>
      <c r="K57">
        <v>30</v>
      </c>
      <c r="L57">
        <v>0.52</v>
      </c>
      <c r="M57">
        <v>32</v>
      </c>
      <c r="N57">
        <v>1.52</v>
      </c>
      <c r="O57">
        <v>75.883575883575887</v>
      </c>
      <c r="P57">
        <v>61.629881154499152</v>
      </c>
      <c r="R57">
        <v>0.52</v>
      </c>
      <c r="S57">
        <v>61.629881154499152</v>
      </c>
      <c r="U57">
        <v>0.7</v>
      </c>
      <c r="V57">
        <v>69.148936170212778</v>
      </c>
      <c r="Y57">
        <v>18</v>
      </c>
      <c r="Z57">
        <v>51</v>
      </c>
      <c r="AC57">
        <v>23</v>
      </c>
      <c r="AD57">
        <v>55.8</v>
      </c>
      <c r="AF57">
        <v>6</v>
      </c>
      <c r="AG57">
        <v>55.227882037533519</v>
      </c>
      <c r="AI57">
        <v>8</v>
      </c>
      <c r="AJ57">
        <v>43.333333333333336</v>
      </c>
      <c r="AL57">
        <v>0.56999999999999995</v>
      </c>
      <c r="AM57">
        <v>44.508670520231213</v>
      </c>
      <c r="AO57">
        <v>1.2822857142857143</v>
      </c>
      <c r="AP57">
        <v>76.5625</v>
      </c>
      <c r="AV57">
        <v>18</v>
      </c>
      <c r="AW57">
        <v>60</v>
      </c>
      <c r="AX57">
        <v>1.6015999999999999</v>
      </c>
      <c r="AY57">
        <v>93.9</v>
      </c>
      <c r="BB57">
        <v>0.52</v>
      </c>
      <c r="BC57">
        <v>30</v>
      </c>
      <c r="BD57">
        <v>32</v>
      </c>
      <c r="BE57">
        <v>1.52</v>
      </c>
      <c r="BF57">
        <v>61.629881154499152</v>
      </c>
      <c r="BH57">
        <v>25</v>
      </c>
      <c r="BI57">
        <v>0.33</v>
      </c>
      <c r="BJ57">
        <v>13</v>
      </c>
      <c r="BK57">
        <v>1.3956923076923078</v>
      </c>
      <c r="BL57">
        <v>66</v>
      </c>
      <c r="BS57">
        <v>25</v>
      </c>
      <c r="BT57">
        <v>8.6</v>
      </c>
      <c r="BU57">
        <v>0.52</v>
      </c>
      <c r="BV57">
        <v>70</v>
      </c>
      <c r="BX57">
        <v>19</v>
      </c>
      <c r="BY57">
        <v>8</v>
      </c>
      <c r="BZ57">
        <v>1.911</v>
      </c>
      <c r="CA57">
        <v>65</v>
      </c>
      <c r="CE57">
        <v>19.149999999999999</v>
      </c>
      <c r="CH57">
        <v>66</v>
      </c>
    </row>
    <row r="58" spans="2:86" x14ac:dyDescent="0.2">
      <c r="B58">
        <v>18.5</v>
      </c>
      <c r="C58">
        <v>7.1999999999999998E-3</v>
      </c>
      <c r="D58">
        <v>3.6</v>
      </c>
      <c r="E58">
        <v>3.1666666666666665</v>
      </c>
      <c r="F58">
        <v>76.31578947368422</v>
      </c>
      <c r="G58">
        <v>65.26315789473685</v>
      </c>
      <c r="K58">
        <f>AVERAGE(18,23)</f>
        <v>20.5</v>
      </c>
      <c r="L58">
        <v>0.52083333333333337</v>
      </c>
      <c r="M58">
        <v>14.3</v>
      </c>
      <c r="N58">
        <v>1.1563636363636363</v>
      </c>
      <c r="O58">
        <v>39.83050847457627</v>
      </c>
      <c r="P58">
        <v>41.509433962264154</v>
      </c>
      <c r="R58">
        <v>0.52083333333333337</v>
      </c>
      <c r="S58">
        <v>41.509433962264154</v>
      </c>
      <c r="U58">
        <v>1.25</v>
      </c>
      <c r="V58">
        <v>87</v>
      </c>
      <c r="Y58">
        <v>18.5</v>
      </c>
      <c r="Z58">
        <v>65.26315789473685</v>
      </c>
      <c r="AC58">
        <v>23</v>
      </c>
      <c r="AD58">
        <v>57.2</v>
      </c>
      <c r="AF58">
        <v>6</v>
      </c>
      <c r="AG58">
        <v>57.965686274509807</v>
      </c>
      <c r="AI58">
        <v>8</v>
      </c>
      <c r="AJ58">
        <v>55.300859598853869</v>
      </c>
      <c r="AL58">
        <v>0.5704999999999999</v>
      </c>
      <c r="AM58">
        <v>66</v>
      </c>
      <c r="AO58">
        <v>1.331764705882353</v>
      </c>
      <c r="AP58">
        <v>53.284671532846716</v>
      </c>
      <c r="AV58">
        <v>18.5</v>
      </c>
      <c r="AW58">
        <v>3.6</v>
      </c>
      <c r="AX58">
        <v>3.1666666666666665</v>
      </c>
      <c r="AY58">
        <v>65.26315789473685</v>
      </c>
      <c r="BB58">
        <v>0.52083333333333337</v>
      </c>
      <c r="BC58">
        <v>27</v>
      </c>
      <c r="BD58">
        <v>9.8000000000000007</v>
      </c>
      <c r="BE58">
        <v>1.9493877551020407</v>
      </c>
      <c r="BF58">
        <v>16.206030150753769</v>
      </c>
      <c r="BH58">
        <v>25</v>
      </c>
      <c r="BI58">
        <v>0.35</v>
      </c>
      <c r="BJ58">
        <v>8.8000000000000007</v>
      </c>
      <c r="BK58">
        <v>1.780909090909091</v>
      </c>
      <c r="BL58">
        <v>22</v>
      </c>
      <c r="BS58">
        <v>21</v>
      </c>
      <c r="BT58">
        <v>8.8000000000000007</v>
      </c>
      <c r="BU58">
        <v>1.1099999999999997</v>
      </c>
      <c r="BV58">
        <v>65.110565110565105</v>
      </c>
      <c r="BX58">
        <v>19.149999999999999</v>
      </c>
      <c r="BY58">
        <v>8</v>
      </c>
      <c r="BZ58">
        <v>1.026</v>
      </c>
      <c r="CA58">
        <v>66</v>
      </c>
      <c r="CE58">
        <v>20</v>
      </c>
      <c r="CH58">
        <v>70</v>
      </c>
    </row>
    <row r="59" spans="2:86" x14ac:dyDescent="0.2">
      <c r="B59">
        <v>19</v>
      </c>
      <c r="D59">
        <v>4.7</v>
      </c>
      <c r="E59">
        <v>1.5931914893617023</v>
      </c>
      <c r="F59" t="s">
        <v>43</v>
      </c>
      <c r="G59">
        <v>72</v>
      </c>
      <c r="K59">
        <v>27</v>
      </c>
      <c r="L59">
        <v>0.52083333333333337</v>
      </c>
      <c r="M59">
        <v>9.8000000000000007</v>
      </c>
      <c r="N59">
        <v>1.9493877551020407</v>
      </c>
      <c r="O59">
        <v>51.201011378002526</v>
      </c>
      <c r="P59">
        <v>16.206030150753769</v>
      </c>
      <c r="R59">
        <v>0.52083333333333337</v>
      </c>
      <c r="S59">
        <v>16.206030150753769</v>
      </c>
      <c r="Y59">
        <v>19</v>
      </c>
      <c r="Z59">
        <v>72</v>
      </c>
      <c r="AC59">
        <v>23</v>
      </c>
      <c r="AD59">
        <v>61</v>
      </c>
      <c r="AF59">
        <v>6</v>
      </c>
      <c r="AG59">
        <v>58</v>
      </c>
      <c r="AI59">
        <v>8</v>
      </c>
      <c r="AJ59">
        <v>66</v>
      </c>
      <c r="AL59">
        <v>0.6</v>
      </c>
      <c r="AM59">
        <v>82.608695652173907</v>
      </c>
      <c r="AO59">
        <v>1.3782857142857143</v>
      </c>
      <c r="AP59">
        <v>87</v>
      </c>
      <c r="AV59">
        <v>19</v>
      </c>
      <c r="AW59">
        <v>4.7</v>
      </c>
      <c r="AX59">
        <v>1.5931914893617023</v>
      </c>
      <c r="AY59">
        <v>72</v>
      </c>
      <c r="BB59">
        <v>0.52083333333333337</v>
      </c>
      <c r="BC59">
        <v>20.5</v>
      </c>
      <c r="BD59">
        <v>14.3</v>
      </c>
      <c r="BE59">
        <v>1.1563636363636363</v>
      </c>
      <c r="BF59">
        <v>41.509433962264154</v>
      </c>
      <c r="BH59">
        <v>25</v>
      </c>
      <c r="BI59">
        <v>0.35367765131532297</v>
      </c>
      <c r="BJ59">
        <v>4</v>
      </c>
      <c r="BK59">
        <v>4.032</v>
      </c>
      <c r="BL59">
        <v>64.583333333333343</v>
      </c>
      <c r="BS59">
        <v>25</v>
      </c>
      <c r="BT59">
        <v>8.8000000000000007</v>
      </c>
      <c r="BU59">
        <v>1.780909090909091</v>
      </c>
      <c r="BV59">
        <v>22</v>
      </c>
      <c r="BX59">
        <v>20</v>
      </c>
      <c r="BY59">
        <v>8</v>
      </c>
      <c r="BZ59">
        <v>0.75</v>
      </c>
      <c r="CA59">
        <v>70</v>
      </c>
      <c r="CE59">
        <v>20</v>
      </c>
      <c r="CH59">
        <v>70</v>
      </c>
    </row>
    <row r="60" spans="2:86" x14ac:dyDescent="0.2">
      <c r="B60">
        <v>19</v>
      </c>
      <c r="C60">
        <v>0.8</v>
      </c>
      <c r="D60">
        <v>6</v>
      </c>
      <c r="E60">
        <v>2.548</v>
      </c>
      <c r="F60" t="s">
        <v>43</v>
      </c>
      <c r="G60">
        <v>61</v>
      </c>
      <c r="K60">
        <v>31</v>
      </c>
      <c r="L60">
        <v>0.53</v>
      </c>
      <c r="M60">
        <v>9.4</v>
      </c>
      <c r="N60">
        <v>1.4017021276595745</v>
      </c>
      <c r="O60">
        <v>51.020408163265309</v>
      </c>
      <c r="P60">
        <v>75.045537340619305</v>
      </c>
      <c r="R60">
        <v>0.53</v>
      </c>
      <c r="S60">
        <v>75.045537340619305</v>
      </c>
      <c r="V60">
        <f>PEARSON(U3:U58,V3:V58)</f>
        <v>-0.21787446774366775</v>
      </c>
      <c r="Y60">
        <v>19</v>
      </c>
      <c r="Z60">
        <v>61</v>
      </c>
      <c r="AC60">
        <v>23</v>
      </c>
      <c r="AD60">
        <v>61</v>
      </c>
      <c r="AF60">
        <v>6</v>
      </c>
      <c r="AG60">
        <v>61</v>
      </c>
      <c r="AI60">
        <v>8</v>
      </c>
      <c r="AJ60">
        <v>68.646864686468646</v>
      </c>
      <c r="AL60">
        <v>0.6</v>
      </c>
      <c r="AM60">
        <v>72</v>
      </c>
      <c r="AO60">
        <v>1.3884000000000001</v>
      </c>
      <c r="AP60">
        <v>76</v>
      </c>
      <c r="AV60">
        <v>19</v>
      </c>
      <c r="AW60">
        <v>6</v>
      </c>
      <c r="AX60">
        <v>3.3</v>
      </c>
      <c r="AY60">
        <v>38.356164383561641</v>
      </c>
      <c r="BB60">
        <v>0.53</v>
      </c>
      <c r="BC60">
        <v>31</v>
      </c>
      <c r="BD60">
        <v>9.4</v>
      </c>
      <c r="BE60">
        <v>1.4017021276595745</v>
      </c>
      <c r="BF60">
        <v>75.045537340619305</v>
      </c>
      <c r="BH60">
        <v>25</v>
      </c>
      <c r="BI60">
        <v>0.47157020175376396</v>
      </c>
      <c r="BJ60">
        <v>3</v>
      </c>
      <c r="BK60">
        <v>5.9999999999999991</v>
      </c>
      <c r="BL60">
        <v>42.4</v>
      </c>
      <c r="BS60">
        <v>27</v>
      </c>
      <c r="BT60">
        <v>8.8000000000000007</v>
      </c>
      <c r="BU60">
        <v>0.80727272727272714</v>
      </c>
      <c r="BV60">
        <v>62.5</v>
      </c>
      <c r="BX60">
        <v>20</v>
      </c>
      <c r="BY60">
        <v>8</v>
      </c>
      <c r="BZ60">
        <v>0.8</v>
      </c>
      <c r="CA60">
        <v>70</v>
      </c>
      <c r="CE60">
        <v>20</v>
      </c>
      <c r="CH60">
        <v>70</v>
      </c>
    </row>
    <row r="61" spans="2:86" x14ac:dyDescent="0.2">
      <c r="B61">
        <v>19</v>
      </c>
      <c r="D61">
        <v>6</v>
      </c>
      <c r="E61">
        <v>3.3</v>
      </c>
      <c r="F61">
        <v>41.982507288629741</v>
      </c>
      <c r="G61">
        <v>38.356164383561641</v>
      </c>
      <c r="K61">
        <v>27</v>
      </c>
      <c r="L61">
        <v>0.53333333333333333</v>
      </c>
      <c r="M61">
        <v>9.5</v>
      </c>
      <c r="N61">
        <v>0.9701052631578948</v>
      </c>
      <c r="O61">
        <v>17.123287671232877</v>
      </c>
      <c r="P61">
        <v>46.354166666666671</v>
      </c>
      <c r="R61">
        <v>0.53333333333333333</v>
      </c>
      <c r="S61">
        <v>46.354166666666671</v>
      </c>
      <c r="Y61">
        <v>19</v>
      </c>
      <c r="Z61">
        <v>38.356164383561641</v>
      </c>
      <c r="AC61">
        <v>23</v>
      </c>
      <c r="AD61">
        <v>63.302752293577981</v>
      </c>
      <c r="AF61">
        <v>6</v>
      </c>
      <c r="AG61">
        <v>61.621621621621628</v>
      </c>
      <c r="AI61">
        <v>8</v>
      </c>
      <c r="AJ61">
        <v>72.708333333333329</v>
      </c>
      <c r="AL61">
        <v>0.61</v>
      </c>
      <c r="AM61">
        <v>73</v>
      </c>
      <c r="AO61">
        <v>1.3884000000000001</v>
      </c>
      <c r="AP61">
        <v>79</v>
      </c>
      <c r="AV61">
        <v>19</v>
      </c>
      <c r="AW61">
        <v>6</v>
      </c>
      <c r="AX61">
        <v>2.548</v>
      </c>
      <c r="AY61">
        <v>61</v>
      </c>
      <c r="BB61">
        <v>0.53333333333333333</v>
      </c>
      <c r="BC61">
        <v>27</v>
      </c>
      <c r="BD61">
        <v>9.5</v>
      </c>
      <c r="BE61">
        <v>0.9701052631578948</v>
      </c>
      <c r="BF61">
        <v>46.354166666666671</v>
      </c>
      <c r="BH61">
        <v>25</v>
      </c>
      <c r="BI61">
        <v>0.58946275219220501</v>
      </c>
      <c r="BJ61">
        <v>2.4</v>
      </c>
      <c r="BK61">
        <v>7.76</v>
      </c>
      <c r="BL61">
        <v>48.711340206185568</v>
      </c>
      <c r="BS61">
        <v>31</v>
      </c>
      <c r="BT61">
        <v>8.8000000000000007</v>
      </c>
      <c r="BU61">
        <v>0.79090909090909089</v>
      </c>
      <c r="BV61">
        <v>56.896551724137936</v>
      </c>
      <c r="BX61">
        <v>20</v>
      </c>
      <c r="BY61">
        <v>8</v>
      </c>
      <c r="BZ61">
        <v>0.8</v>
      </c>
      <c r="CA61">
        <v>70</v>
      </c>
      <c r="CE61">
        <v>20</v>
      </c>
      <c r="CH61">
        <v>70</v>
      </c>
    </row>
    <row r="62" spans="2:86" x14ac:dyDescent="0.2">
      <c r="B62">
        <v>19</v>
      </c>
      <c r="C62">
        <v>0.8</v>
      </c>
      <c r="D62">
        <v>8</v>
      </c>
      <c r="E62">
        <v>1.911</v>
      </c>
      <c r="F62" t="s">
        <v>43</v>
      </c>
      <c r="G62">
        <v>65</v>
      </c>
      <c r="K62">
        <v>27</v>
      </c>
      <c r="L62">
        <v>0.54166666666666663</v>
      </c>
      <c r="M62">
        <v>8.8000000000000007</v>
      </c>
      <c r="N62">
        <v>0.80727272727272714</v>
      </c>
      <c r="O62">
        <v>61.589403973509938</v>
      </c>
      <c r="P62">
        <v>62.5</v>
      </c>
      <c r="R62">
        <v>0.54166666666666663</v>
      </c>
      <c r="S62">
        <v>62.5</v>
      </c>
      <c r="Y62">
        <v>19</v>
      </c>
      <c r="Z62">
        <v>65</v>
      </c>
      <c r="AC62">
        <v>23</v>
      </c>
      <c r="AD62">
        <v>65</v>
      </c>
      <c r="AF62">
        <v>6</v>
      </c>
      <c r="AG62">
        <v>62</v>
      </c>
      <c r="AI62">
        <v>8.5</v>
      </c>
      <c r="AJ62">
        <v>70.466321243523311</v>
      </c>
      <c r="AL62">
        <v>0.62079999999999991</v>
      </c>
      <c r="AM62">
        <v>54.123711340206185</v>
      </c>
      <c r="AO62">
        <v>1.3929896907216497</v>
      </c>
      <c r="AP62">
        <v>60.784313725490193</v>
      </c>
      <c r="AV62">
        <v>19</v>
      </c>
      <c r="AW62">
        <v>8</v>
      </c>
      <c r="AX62">
        <v>1.911</v>
      </c>
      <c r="AY62">
        <v>65</v>
      </c>
      <c r="BB62">
        <v>0.54166666666666663</v>
      </c>
      <c r="BC62">
        <v>27</v>
      </c>
      <c r="BD62">
        <v>8.8000000000000007</v>
      </c>
      <c r="BE62">
        <v>0.80727272727272714</v>
      </c>
      <c r="BF62">
        <v>62.5</v>
      </c>
      <c r="BH62">
        <v>25.5</v>
      </c>
      <c r="BI62">
        <v>5.6588424210451668E-2</v>
      </c>
      <c r="BJ62">
        <v>72</v>
      </c>
      <c r="BK62">
        <v>0.14466666666666669</v>
      </c>
      <c r="BL62">
        <v>60.36866359447005</v>
      </c>
      <c r="BS62">
        <v>20</v>
      </c>
      <c r="BT62">
        <v>9.1</v>
      </c>
      <c r="BU62">
        <v>0.92</v>
      </c>
      <c r="BV62">
        <v>54.700854700854705</v>
      </c>
      <c r="BX62">
        <v>20</v>
      </c>
      <c r="BY62">
        <v>8</v>
      </c>
      <c r="BZ62">
        <v>0.8</v>
      </c>
      <c r="CA62">
        <v>70</v>
      </c>
      <c r="CE62">
        <v>25</v>
      </c>
      <c r="CH62">
        <v>72</v>
      </c>
    </row>
    <row r="63" spans="2:86" x14ac:dyDescent="0.2">
      <c r="B63">
        <v>19</v>
      </c>
      <c r="C63">
        <v>0.8</v>
      </c>
      <c r="D63">
        <v>10</v>
      </c>
      <c r="E63">
        <v>1.5288000000000002</v>
      </c>
      <c r="F63" t="s">
        <v>43</v>
      </c>
      <c r="G63">
        <v>64</v>
      </c>
      <c r="K63">
        <f>AVERAGE(18,23)</f>
        <v>20.5</v>
      </c>
      <c r="L63">
        <v>0.55833333333333335</v>
      </c>
      <c r="M63">
        <v>10.9</v>
      </c>
      <c r="N63">
        <v>1.664587155963303</v>
      </c>
      <c r="O63">
        <v>59.556786703601105</v>
      </c>
      <c r="P63">
        <v>40.476190476190474</v>
      </c>
      <c r="R63">
        <v>0.55833333333333335</v>
      </c>
      <c r="S63">
        <v>40.476190476190474</v>
      </c>
      <c r="Y63">
        <v>19</v>
      </c>
      <c r="Z63">
        <v>64</v>
      </c>
      <c r="AC63">
        <v>23</v>
      </c>
      <c r="AD63">
        <v>68.586387434554979</v>
      </c>
      <c r="AF63">
        <v>6</v>
      </c>
      <c r="AG63">
        <v>62.2</v>
      </c>
      <c r="AI63">
        <v>8.8000000000000007</v>
      </c>
      <c r="AJ63">
        <v>27</v>
      </c>
      <c r="AL63">
        <v>0.63</v>
      </c>
      <c r="AM63">
        <v>61</v>
      </c>
      <c r="AO63">
        <v>1.3956923076923078</v>
      </c>
      <c r="AP63">
        <v>67</v>
      </c>
      <c r="AV63">
        <v>19</v>
      </c>
      <c r="AW63">
        <v>10</v>
      </c>
      <c r="AX63">
        <v>1.5288000000000002</v>
      </c>
      <c r="AY63">
        <v>64</v>
      </c>
      <c r="BB63">
        <v>0.55833333333333335</v>
      </c>
      <c r="BC63">
        <v>20.5</v>
      </c>
      <c r="BD63">
        <v>10.9</v>
      </c>
      <c r="BE63">
        <v>1.664587155963303</v>
      </c>
      <c r="BF63">
        <v>40.476190476190474</v>
      </c>
      <c r="BH63">
        <v>25.5</v>
      </c>
      <c r="BI63">
        <v>0.11678832116788324</v>
      </c>
      <c r="BJ63">
        <v>13.7</v>
      </c>
      <c r="BK63">
        <v>0.26</v>
      </c>
      <c r="BL63">
        <v>54.635761589403977</v>
      </c>
      <c r="BS63">
        <v>22.7</v>
      </c>
      <c r="BT63">
        <v>9.1</v>
      </c>
      <c r="BU63">
        <v>3.4285714285714293</v>
      </c>
      <c r="BV63">
        <v>42.153846153846153</v>
      </c>
      <c r="BX63">
        <v>25</v>
      </c>
      <c r="BY63">
        <v>8</v>
      </c>
      <c r="BZ63">
        <v>0.6</v>
      </c>
      <c r="CA63">
        <v>72</v>
      </c>
      <c r="CE63">
        <v>25.5</v>
      </c>
      <c r="CH63">
        <v>65.938864628820966</v>
      </c>
    </row>
    <row r="64" spans="2:86" x14ac:dyDescent="0.2">
      <c r="B64">
        <v>19</v>
      </c>
      <c r="C64">
        <v>8.3333333333333329E-2</v>
      </c>
      <c r="D64">
        <v>12</v>
      </c>
      <c r="E64">
        <v>0.48599999999999999</v>
      </c>
      <c r="F64">
        <v>67</v>
      </c>
      <c r="G64">
        <v>67</v>
      </c>
      <c r="K64">
        <v>27</v>
      </c>
      <c r="L64">
        <v>0.5625</v>
      </c>
      <c r="M64">
        <v>9.3000000000000007</v>
      </c>
      <c r="N64">
        <v>0.65032258064516124</v>
      </c>
      <c r="O64">
        <v>40.495867768595041</v>
      </c>
      <c r="P64">
        <v>43.253968253968253</v>
      </c>
      <c r="R64">
        <v>0.5625</v>
      </c>
      <c r="S64">
        <v>43.253968253968253</v>
      </c>
      <c r="Y64">
        <v>19</v>
      </c>
      <c r="Z64">
        <v>67</v>
      </c>
      <c r="AC64">
        <v>23</v>
      </c>
      <c r="AD64">
        <v>71</v>
      </c>
      <c r="AF64">
        <v>6</v>
      </c>
      <c r="AG64">
        <v>63</v>
      </c>
      <c r="AI64">
        <v>8.8000000000000007</v>
      </c>
      <c r="AJ64">
        <v>53.956834532374096</v>
      </c>
      <c r="AL64">
        <v>0.63</v>
      </c>
      <c r="AM64">
        <v>65</v>
      </c>
      <c r="AO64">
        <v>1.4017021276595745</v>
      </c>
      <c r="AP64">
        <v>51.020408163265309</v>
      </c>
      <c r="AV64">
        <v>19</v>
      </c>
      <c r="AW64">
        <v>12</v>
      </c>
      <c r="AX64">
        <v>0.48599999999999999</v>
      </c>
      <c r="AY64">
        <v>67</v>
      </c>
      <c r="BB64">
        <v>0.5625</v>
      </c>
      <c r="BC64">
        <v>27</v>
      </c>
      <c r="BD64">
        <v>9.3000000000000007</v>
      </c>
      <c r="BE64">
        <v>0.65032258064516124</v>
      </c>
      <c r="BF64">
        <v>43.253968253968253</v>
      </c>
      <c r="BH64">
        <v>25.5</v>
      </c>
      <c r="BI64">
        <v>0.61115498147287806</v>
      </c>
      <c r="BJ64">
        <v>8</v>
      </c>
      <c r="BK64">
        <v>2</v>
      </c>
      <c r="BL64">
        <v>65.938864628820966</v>
      </c>
      <c r="BS64">
        <v>25</v>
      </c>
      <c r="BT64">
        <v>9.1</v>
      </c>
      <c r="BU64">
        <v>0.48</v>
      </c>
      <c r="BV64">
        <v>63</v>
      </c>
      <c r="BX64">
        <v>25.5</v>
      </c>
      <c r="BY64">
        <v>8</v>
      </c>
      <c r="BZ64">
        <v>2</v>
      </c>
      <c r="CA64">
        <v>65.938864628820966</v>
      </c>
      <c r="CE64">
        <v>26</v>
      </c>
      <c r="CH64">
        <v>61</v>
      </c>
    </row>
    <row r="65" spans="2:86" x14ac:dyDescent="0.2">
      <c r="B65">
        <v>19</v>
      </c>
      <c r="C65">
        <v>0.8</v>
      </c>
      <c r="D65">
        <v>14</v>
      </c>
      <c r="E65">
        <v>1.0919999999999999</v>
      </c>
      <c r="F65" t="s">
        <v>43</v>
      </c>
      <c r="G65">
        <v>73</v>
      </c>
      <c r="K65">
        <v>27</v>
      </c>
      <c r="L65">
        <v>0.56666666666666665</v>
      </c>
      <c r="M65">
        <v>8.5</v>
      </c>
      <c r="N65">
        <v>1.5981176470588239</v>
      </c>
      <c r="O65">
        <v>70.466321243523311</v>
      </c>
      <c r="P65">
        <v>75.441696113074215</v>
      </c>
      <c r="R65">
        <v>0.56666666666666665</v>
      </c>
      <c r="S65">
        <v>75.441696113074215</v>
      </c>
      <c r="Y65">
        <v>19</v>
      </c>
      <c r="Z65">
        <v>73</v>
      </c>
      <c r="AC65">
        <v>23</v>
      </c>
      <c r="AD65">
        <v>73</v>
      </c>
      <c r="AF65">
        <v>6</v>
      </c>
      <c r="AG65">
        <v>64</v>
      </c>
      <c r="AI65">
        <v>8.8000000000000007</v>
      </c>
      <c r="AJ65">
        <v>61.589403973509938</v>
      </c>
      <c r="AL65">
        <v>0.63</v>
      </c>
      <c r="AM65">
        <v>81</v>
      </c>
      <c r="AO65">
        <v>1.4121428571428571</v>
      </c>
      <c r="AP65">
        <v>42</v>
      </c>
      <c r="AV65">
        <v>19</v>
      </c>
      <c r="AW65">
        <v>14</v>
      </c>
      <c r="AX65">
        <v>1.0919999999999999</v>
      </c>
      <c r="AY65">
        <v>73</v>
      </c>
      <c r="BB65">
        <v>0.56666666666666665</v>
      </c>
      <c r="BC65">
        <v>27</v>
      </c>
      <c r="BD65">
        <v>8.5</v>
      </c>
      <c r="BE65">
        <v>1.5981176470588239</v>
      </c>
      <c r="BF65">
        <v>75.441696113074215</v>
      </c>
      <c r="BH65">
        <v>26</v>
      </c>
      <c r="BI65">
        <v>4.1666666666666664E-2</v>
      </c>
      <c r="BJ65">
        <v>24</v>
      </c>
      <c r="BK65">
        <v>0.24299999999999999</v>
      </c>
      <c r="BL65">
        <v>77</v>
      </c>
      <c r="BS65">
        <v>27</v>
      </c>
      <c r="BT65">
        <v>9.3000000000000007</v>
      </c>
      <c r="BU65">
        <v>0.65032258064516124</v>
      </c>
      <c r="BV65">
        <v>43.253968253968253</v>
      </c>
      <c r="BX65">
        <v>26</v>
      </c>
      <c r="BY65">
        <v>8</v>
      </c>
      <c r="BZ65">
        <v>0.63</v>
      </c>
      <c r="CA65">
        <v>61</v>
      </c>
      <c r="CE65">
        <v>26</v>
      </c>
      <c r="CH65">
        <v>65</v>
      </c>
    </row>
    <row r="66" spans="2:86" x14ac:dyDescent="0.2">
      <c r="B66">
        <v>19</v>
      </c>
      <c r="D66">
        <v>14.5</v>
      </c>
      <c r="E66">
        <v>0.66206896551724137</v>
      </c>
      <c r="F66" t="s">
        <v>43</v>
      </c>
      <c r="G66">
        <v>64.5</v>
      </c>
      <c r="K66">
        <v>31</v>
      </c>
      <c r="L66">
        <v>0.56999999999999995</v>
      </c>
      <c r="M66">
        <v>8.8000000000000007</v>
      </c>
      <c r="N66">
        <v>0.79090909090909089</v>
      </c>
      <c r="O66">
        <v>53.956834532374096</v>
      </c>
      <c r="P66">
        <v>56.896551724137936</v>
      </c>
      <c r="R66">
        <v>0.56999999999999995</v>
      </c>
      <c r="S66">
        <v>56.896551724137936</v>
      </c>
      <c r="Y66">
        <v>19</v>
      </c>
      <c r="Z66">
        <v>64.5</v>
      </c>
      <c r="AC66">
        <v>23</v>
      </c>
      <c r="AD66">
        <v>78</v>
      </c>
      <c r="AF66">
        <v>6</v>
      </c>
      <c r="AG66">
        <v>65.100671140939596</v>
      </c>
      <c r="AI66">
        <v>8.8000000000000007</v>
      </c>
      <c r="AJ66">
        <v>74.871794871794876</v>
      </c>
      <c r="AL66">
        <v>0.63349999999999995</v>
      </c>
      <c r="AM66">
        <v>56</v>
      </c>
      <c r="AO66">
        <v>1.4447058823529413</v>
      </c>
      <c r="AP66">
        <v>67.114093959731548</v>
      </c>
      <c r="AV66">
        <v>19</v>
      </c>
      <c r="AW66">
        <v>14.5</v>
      </c>
      <c r="AX66">
        <v>0.66206896551724137</v>
      </c>
      <c r="AY66">
        <v>64.5</v>
      </c>
      <c r="BB66">
        <v>0.56999999999999995</v>
      </c>
      <c r="BC66">
        <v>31</v>
      </c>
      <c r="BD66">
        <v>8.8000000000000007</v>
      </c>
      <c r="BE66">
        <v>0.79090909090909089</v>
      </c>
      <c r="BF66">
        <v>56.896551724137936</v>
      </c>
      <c r="BH66">
        <v>26</v>
      </c>
      <c r="BI66">
        <v>0.302734375</v>
      </c>
      <c r="BJ66">
        <v>8</v>
      </c>
      <c r="BK66">
        <v>0.63</v>
      </c>
      <c r="BL66">
        <v>61</v>
      </c>
      <c r="BS66">
        <v>31</v>
      </c>
      <c r="BT66">
        <v>9.4</v>
      </c>
      <c r="BU66">
        <v>1.4017021276595745</v>
      </c>
      <c r="BV66">
        <v>75.045537340619305</v>
      </c>
      <c r="BX66">
        <v>26</v>
      </c>
      <c r="BY66">
        <v>8</v>
      </c>
      <c r="BZ66">
        <v>0.63</v>
      </c>
      <c r="CA66">
        <v>65</v>
      </c>
      <c r="CE66">
        <v>26</v>
      </c>
      <c r="CH66">
        <v>81</v>
      </c>
    </row>
    <row r="67" spans="2:86" x14ac:dyDescent="0.2">
      <c r="B67">
        <v>19</v>
      </c>
      <c r="C67">
        <v>0.8</v>
      </c>
      <c r="D67">
        <v>18</v>
      </c>
      <c r="E67">
        <v>0.84933333333333338</v>
      </c>
      <c r="F67" t="s">
        <v>43</v>
      </c>
      <c r="G67">
        <v>73</v>
      </c>
      <c r="K67">
        <v>27</v>
      </c>
      <c r="L67">
        <v>0.58750000000000002</v>
      </c>
      <c r="M67">
        <v>10.4</v>
      </c>
      <c r="N67">
        <v>0.87461538461538446</v>
      </c>
      <c r="O67">
        <v>56.748466257668717</v>
      </c>
      <c r="P67">
        <v>58.311345646437992</v>
      </c>
      <c r="R67">
        <v>0.58750000000000002</v>
      </c>
      <c r="S67">
        <v>58.311345646437992</v>
      </c>
      <c r="Y67">
        <v>19</v>
      </c>
      <c r="Z67">
        <v>73</v>
      </c>
      <c r="AC67">
        <v>23</v>
      </c>
      <c r="AD67">
        <v>80</v>
      </c>
      <c r="AF67">
        <v>6</v>
      </c>
      <c r="AG67">
        <v>68.383658969804614</v>
      </c>
      <c r="AI67">
        <v>9.1</v>
      </c>
      <c r="AJ67">
        <v>31.692677070828328</v>
      </c>
      <c r="AL67">
        <v>0.63700000000000001</v>
      </c>
      <c r="AM67">
        <v>64</v>
      </c>
      <c r="AO67">
        <v>1.4920000000000002</v>
      </c>
      <c r="AP67">
        <v>47.014925373134332</v>
      </c>
      <c r="AV67">
        <v>19</v>
      </c>
      <c r="AW67">
        <v>18</v>
      </c>
      <c r="AX67">
        <v>0.84933333333333338</v>
      </c>
      <c r="AY67">
        <v>73</v>
      </c>
      <c r="BB67">
        <v>0.58750000000000002</v>
      </c>
      <c r="BC67">
        <v>27</v>
      </c>
      <c r="BD67">
        <v>10.4</v>
      </c>
      <c r="BE67">
        <v>0.87461538461538446</v>
      </c>
      <c r="BF67">
        <v>58.311345646437992</v>
      </c>
      <c r="BH67">
        <v>26</v>
      </c>
      <c r="BI67">
        <v>0.302734375</v>
      </c>
      <c r="BJ67">
        <v>8</v>
      </c>
      <c r="BK67">
        <v>0.63</v>
      </c>
      <c r="BL67">
        <v>65</v>
      </c>
      <c r="BS67">
        <v>20</v>
      </c>
      <c r="BT67">
        <v>9.5</v>
      </c>
      <c r="BU67">
        <v>0.92</v>
      </c>
      <c r="BV67">
        <v>58.677685950413228</v>
      </c>
      <c r="BX67">
        <v>26</v>
      </c>
      <c r="BY67">
        <v>8</v>
      </c>
      <c r="BZ67">
        <v>0.63</v>
      </c>
      <c r="CA67">
        <v>81</v>
      </c>
      <c r="CE67">
        <v>28</v>
      </c>
      <c r="CH67">
        <v>72</v>
      </c>
    </row>
    <row r="68" spans="2:86" x14ac:dyDescent="0.2">
      <c r="B68">
        <v>19</v>
      </c>
      <c r="C68">
        <v>0.8</v>
      </c>
      <c r="D68">
        <v>24</v>
      </c>
      <c r="E68">
        <v>0.63700000000000001</v>
      </c>
      <c r="F68" t="s">
        <v>43</v>
      </c>
      <c r="G68">
        <v>64</v>
      </c>
      <c r="K68">
        <v>25</v>
      </c>
      <c r="L68">
        <v>0.58946275219220501</v>
      </c>
      <c r="M68">
        <v>2.4</v>
      </c>
      <c r="N68">
        <v>7.76</v>
      </c>
      <c r="O68" t="s">
        <v>43</v>
      </c>
      <c r="P68">
        <v>48.711340206185568</v>
      </c>
      <c r="R68">
        <v>0.58946275219220501</v>
      </c>
      <c r="S68">
        <v>48.711340206185568</v>
      </c>
      <c r="Y68">
        <v>19</v>
      </c>
      <c r="Z68">
        <v>64</v>
      </c>
      <c r="AC68">
        <v>24</v>
      </c>
      <c r="AD68">
        <v>81</v>
      </c>
      <c r="AF68">
        <v>6</v>
      </c>
      <c r="AG68">
        <v>69.982238010657198</v>
      </c>
      <c r="AI68">
        <v>9.1</v>
      </c>
      <c r="AJ68">
        <v>78</v>
      </c>
      <c r="AL68">
        <v>0.65</v>
      </c>
      <c r="AM68">
        <v>72</v>
      </c>
      <c r="AO68">
        <v>1.5</v>
      </c>
      <c r="AP68">
        <v>55</v>
      </c>
      <c r="AV68">
        <v>19</v>
      </c>
      <c r="AW68">
        <v>24</v>
      </c>
      <c r="AX68">
        <v>0.63700000000000001</v>
      </c>
      <c r="AY68">
        <v>64</v>
      </c>
      <c r="BB68">
        <v>0.58946275219220501</v>
      </c>
      <c r="BC68">
        <v>25</v>
      </c>
      <c r="BD68">
        <v>2.4</v>
      </c>
      <c r="BE68">
        <v>7.76</v>
      </c>
      <c r="BF68">
        <v>48.711340206185568</v>
      </c>
      <c r="BH68">
        <v>26</v>
      </c>
      <c r="BI68">
        <v>0.302734375</v>
      </c>
      <c r="BJ68">
        <v>8</v>
      </c>
      <c r="BK68">
        <v>0.63</v>
      </c>
      <c r="BL68">
        <v>81</v>
      </c>
      <c r="BS68">
        <v>25</v>
      </c>
      <c r="BT68">
        <v>9.5</v>
      </c>
      <c r="BU68">
        <v>2.0715789473684212</v>
      </c>
      <c r="BV68">
        <v>23</v>
      </c>
      <c r="BX68">
        <v>28</v>
      </c>
      <c r="BY68">
        <v>8</v>
      </c>
      <c r="BZ68">
        <v>0.65</v>
      </c>
      <c r="CA68">
        <v>72</v>
      </c>
      <c r="CE68">
        <v>28</v>
      </c>
      <c r="CH68">
        <v>84</v>
      </c>
    </row>
    <row r="69" spans="2:86" x14ac:dyDescent="0.2">
      <c r="B69">
        <v>19</v>
      </c>
      <c r="C69">
        <v>0.8</v>
      </c>
      <c r="D69">
        <v>36</v>
      </c>
      <c r="E69">
        <v>0.42466666666666669</v>
      </c>
      <c r="F69" t="s">
        <v>43</v>
      </c>
      <c r="G69">
        <v>68</v>
      </c>
      <c r="K69">
        <v>23</v>
      </c>
      <c r="L69">
        <v>0.59</v>
      </c>
      <c r="M69">
        <v>7.7</v>
      </c>
      <c r="N69">
        <v>1.5335064935064935</v>
      </c>
      <c r="O69">
        <v>63.302752293577981</v>
      </c>
      <c r="P69">
        <v>58.943089430894311</v>
      </c>
      <c r="R69">
        <v>0.59</v>
      </c>
      <c r="S69">
        <v>58.943089430894311</v>
      </c>
      <c r="Y69">
        <v>19</v>
      </c>
      <c r="Z69">
        <v>68</v>
      </c>
      <c r="AC69">
        <v>24</v>
      </c>
      <c r="AD69">
        <v>82</v>
      </c>
      <c r="AF69">
        <v>6</v>
      </c>
      <c r="AG69">
        <v>70</v>
      </c>
      <c r="AI69">
        <v>9.3000000000000007</v>
      </c>
      <c r="AJ69">
        <v>40.495867768595041</v>
      </c>
      <c r="AL69">
        <v>0.65</v>
      </c>
      <c r="AM69">
        <v>84</v>
      </c>
      <c r="AO69">
        <v>1.5</v>
      </c>
      <c r="AP69">
        <v>60</v>
      </c>
      <c r="AV69">
        <v>19</v>
      </c>
      <c r="AW69">
        <v>36</v>
      </c>
      <c r="AX69">
        <v>0.42466666666666669</v>
      </c>
      <c r="AY69">
        <v>68</v>
      </c>
      <c r="BB69">
        <v>0.59</v>
      </c>
      <c r="BC69">
        <v>23</v>
      </c>
      <c r="BD69">
        <v>7.7</v>
      </c>
      <c r="BE69">
        <v>1.5335064935064935</v>
      </c>
      <c r="BF69">
        <v>58.943089430894311</v>
      </c>
      <c r="BH69">
        <v>26</v>
      </c>
      <c r="BI69">
        <v>0.40364583333333331</v>
      </c>
      <c r="BJ69">
        <v>6</v>
      </c>
      <c r="BK69">
        <v>0.53</v>
      </c>
      <c r="BL69">
        <v>47</v>
      </c>
      <c r="BS69">
        <v>27</v>
      </c>
      <c r="BT69">
        <v>9.5</v>
      </c>
      <c r="BU69">
        <v>0.9701052631578948</v>
      </c>
      <c r="BV69">
        <v>46.354166666666671</v>
      </c>
      <c r="BX69">
        <v>28</v>
      </c>
      <c r="BY69">
        <v>8</v>
      </c>
      <c r="BZ69">
        <v>0.65</v>
      </c>
      <c r="CA69">
        <v>84</v>
      </c>
      <c r="CE69">
        <v>28.5</v>
      </c>
      <c r="CH69">
        <v>69</v>
      </c>
    </row>
    <row r="70" spans="2:86" x14ac:dyDescent="0.2">
      <c r="B70">
        <f>AVERAGE(10.6,27.7)</f>
        <v>19.149999999999999</v>
      </c>
      <c r="C70" t="s">
        <v>43</v>
      </c>
      <c r="D70">
        <v>8</v>
      </c>
      <c r="E70">
        <v>1.026</v>
      </c>
      <c r="F70">
        <v>66</v>
      </c>
      <c r="G70">
        <v>66</v>
      </c>
      <c r="K70">
        <v>26</v>
      </c>
      <c r="L70">
        <v>0.60546875</v>
      </c>
      <c r="M70">
        <v>4</v>
      </c>
      <c r="N70">
        <v>1</v>
      </c>
      <c r="O70" t="s">
        <v>43</v>
      </c>
      <c r="P70">
        <v>53</v>
      </c>
      <c r="R70">
        <v>0.60546875</v>
      </c>
      <c r="S70">
        <v>53</v>
      </c>
      <c r="Y70">
        <v>19.149999999999999</v>
      </c>
      <c r="Z70">
        <v>66</v>
      </c>
      <c r="AC70">
        <v>24.3</v>
      </c>
      <c r="AD70">
        <v>54</v>
      </c>
      <c r="AF70">
        <v>6</v>
      </c>
      <c r="AG70">
        <v>70</v>
      </c>
      <c r="AI70">
        <v>9.4</v>
      </c>
      <c r="AJ70">
        <v>51.020408163265309</v>
      </c>
      <c r="AL70">
        <v>0.65032258064516124</v>
      </c>
      <c r="AM70">
        <v>43.253968253968253</v>
      </c>
      <c r="AO70">
        <v>1.5</v>
      </c>
      <c r="AP70">
        <v>62</v>
      </c>
      <c r="AV70">
        <v>19.149999999999999</v>
      </c>
      <c r="AW70">
        <v>8</v>
      </c>
      <c r="AX70">
        <v>1.026</v>
      </c>
      <c r="AY70">
        <v>66</v>
      </c>
      <c r="BB70">
        <v>0.60546875</v>
      </c>
      <c r="BC70">
        <v>26</v>
      </c>
      <c r="BD70">
        <v>4</v>
      </c>
      <c r="BE70">
        <v>1</v>
      </c>
      <c r="BF70">
        <v>53</v>
      </c>
      <c r="BH70">
        <v>26</v>
      </c>
      <c r="BI70">
        <v>0.40364583333333331</v>
      </c>
      <c r="BJ70">
        <v>6</v>
      </c>
      <c r="BK70">
        <v>0.53</v>
      </c>
      <c r="BL70">
        <v>47</v>
      </c>
      <c r="BS70">
        <v>20</v>
      </c>
      <c r="BT70">
        <v>9.6</v>
      </c>
      <c r="BU70">
        <v>1.1100000000000001</v>
      </c>
      <c r="BV70">
        <v>48.648648648648653</v>
      </c>
      <c r="BX70">
        <v>28.5</v>
      </c>
      <c r="BY70">
        <v>8</v>
      </c>
      <c r="BZ70">
        <v>1.5</v>
      </c>
      <c r="CA70">
        <v>69</v>
      </c>
    </row>
    <row r="71" spans="2:86" x14ac:dyDescent="0.2">
      <c r="B71">
        <f>AVERAGE(16,23)</f>
        <v>19.5</v>
      </c>
      <c r="C71">
        <v>1.25</v>
      </c>
      <c r="D71">
        <v>7</v>
      </c>
      <c r="E71">
        <v>1.3782857142857143</v>
      </c>
      <c r="F71">
        <v>87</v>
      </c>
      <c r="G71">
        <v>72</v>
      </c>
      <c r="K71">
        <v>26</v>
      </c>
      <c r="L71">
        <v>0.60546875</v>
      </c>
      <c r="M71">
        <v>4</v>
      </c>
      <c r="N71">
        <v>1</v>
      </c>
      <c r="O71" t="s">
        <v>43</v>
      </c>
      <c r="P71">
        <v>61</v>
      </c>
      <c r="R71">
        <v>0.60546875</v>
      </c>
      <c r="S71">
        <v>61</v>
      </c>
      <c r="Y71">
        <v>19.5</v>
      </c>
      <c r="Z71">
        <v>72</v>
      </c>
      <c r="AC71">
        <v>24.3</v>
      </c>
      <c r="AD71">
        <v>65.012406947890824</v>
      </c>
      <c r="AF71">
        <v>6</v>
      </c>
      <c r="AG71">
        <v>70</v>
      </c>
      <c r="AI71">
        <v>9.5</v>
      </c>
      <c r="AJ71">
        <v>8.1999999999999993</v>
      </c>
      <c r="AL71">
        <v>0.66206896551724137</v>
      </c>
      <c r="AM71">
        <v>64.5</v>
      </c>
      <c r="AO71">
        <v>1.52</v>
      </c>
      <c r="AP71">
        <v>75.883575883575887</v>
      </c>
      <c r="AV71">
        <v>19.5</v>
      </c>
      <c r="AW71">
        <v>7</v>
      </c>
      <c r="AX71">
        <v>1.3782857142857143</v>
      </c>
      <c r="AY71">
        <v>72</v>
      </c>
      <c r="BB71">
        <v>0.60546875</v>
      </c>
      <c r="BC71">
        <v>26</v>
      </c>
      <c r="BD71">
        <v>4</v>
      </c>
      <c r="BE71">
        <v>1</v>
      </c>
      <c r="BF71">
        <v>61</v>
      </c>
      <c r="BH71">
        <v>26</v>
      </c>
      <c r="BI71">
        <v>0.40364583333333331</v>
      </c>
      <c r="BJ71">
        <v>6</v>
      </c>
      <c r="BK71">
        <v>0.53</v>
      </c>
      <c r="BL71">
        <v>62</v>
      </c>
      <c r="BS71">
        <v>14.4</v>
      </c>
      <c r="BT71">
        <v>9.6999999999999993</v>
      </c>
      <c r="BU71">
        <v>0.53</v>
      </c>
      <c r="BV71">
        <v>39.814814814814817</v>
      </c>
    </row>
    <row r="72" spans="2:86" x14ac:dyDescent="0.2">
      <c r="B72">
        <v>20</v>
      </c>
      <c r="C72" t="s">
        <v>43</v>
      </c>
      <c r="D72">
        <v>3.2</v>
      </c>
      <c r="E72">
        <v>2.6</v>
      </c>
      <c r="F72">
        <v>34</v>
      </c>
      <c r="G72">
        <v>19.941348973607038</v>
      </c>
      <c r="K72">
        <v>26</v>
      </c>
      <c r="L72">
        <v>0.60546875</v>
      </c>
      <c r="M72">
        <v>4</v>
      </c>
      <c r="N72">
        <v>1</v>
      </c>
      <c r="O72" t="s">
        <v>43</v>
      </c>
      <c r="P72">
        <v>73</v>
      </c>
      <c r="R72">
        <v>0.60546875</v>
      </c>
      <c r="S72">
        <v>73</v>
      </c>
      <c r="Y72">
        <v>20</v>
      </c>
      <c r="Z72">
        <v>19.941348973607038</v>
      </c>
      <c r="AC72">
        <v>25</v>
      </c>
      <c r="AD72">
        <v>8.1999999999999993</v>
      </c>
      <c r="AF72">
        <v>6</v>
      </c>
      <c r="AG72">
        <v>70</v>
      </c>
      <c r="AI72">
        <v>9.5</v>
      </c>
      <c r="AJ72">
        <v>17.123287671232877</v>
      </c>
      <c r="AL72">
        <v>0.7</v>
      </c>
      <c r="AM72">
        <v>70</v>
      </c>
      <c r="AO72">
        <v>1.5300000000000002</v>
      </c>
      <c r="AP72">
        <v>66.210045662100455</v>
      </c>
      <c r="AV72">
        <v>20</v>
      </c>
      <c r="AW72">
        <v>3.2</v>
      </c>
      <c r="AX72">
        <v>2.6</v>
      </c>
      <c r="AY72">
        <v>19.941348973607038</v>
      </c>
      <c r="BB72">
        <v>0.60546875</v>
      </c>
      <c r="BC72">
        <v>26</v>
      </c>
      <c r="BD72">
        <v>4</v>
      </c>
      <c r="BE72">
        <v>1</v>
      </c>
      <c r="BF72">
        <v>73</v>
      </c>
      <c r="BH72">
        <v>26</v>
      </c>
      <c r="BI72">
        <v>0.42</v>
      </c>
      <c r="BJ72">
        <v>4</v>
      </c>
      <c r="BK72">
        <v>1.9259999999999997</v>
      </c>
      <c r="BL72">
        <v>52.336448598130836</v>
      </c>
      <c r="BS72">
        <v>22.5</v>
      </c>
      <c r="BT72">
        <v>9.6999999999999993</v>
      </c>
      <c r="BU72">
        <v>0.99463917525773216</v>
      </c>
      <c r="BV72">
        <v>64</v>
      </c>
    </row>
    <row r="73" spans="2:86" x14ac:dyDescent="0.2">
      <c r="B73">
        <v>20</v>
      </c>
      <c r="C73">
        <v>0.7</v>
      </c>
      <c r="D73">
        <v>4</v>
      </c>
      <c r="E73">
        <v>2.544</v>
      </c>
      <c r="F73">
        <v>69.148936170212778</v>
      </c>
      <c r="G73">
        <v>60.141509433962256</v>
      </c>
      <c r="K73">
        <f>AVERAGE(16,35)</f>
        <v>25.5</v>
      </c>
      <c r="L73">
        <v>0.61115498147287806</v>
      </c>
      <c r="M73">
        <v>8</v>
      </c>
      <c r="N73">
        <v>2</v>
      </c>
      <c r="O73">
        <v>68.646864686468646</v>
      </c>
      <c r="P73">
        <v>65.938864628820966</v>
      </c>
      <c r="R73">
        <v>0.61115498147287806</v>
      </c>
      <c r="S73">
        <v>65.938864628820966</v>
      </c>
      <c r="Y73">
        <v>20</v>
      </c>
      <c r="Z73">
        <v>60.141509433962256</v>
      </c>
      <c r="AC73">
        <v>25</v>
      </c>
      <c r="AD73">
        <v>27</v>
      </c>
      <c r="AF73">
        <v>6</v>
      </c>
      <c r="AG73">
        <v>70.493685419058551</v>
      </c>
      <c r="AI73">
        <v>9.5</v>
      </c>
      <c r="AJ73">
        <v>74</v>
      </c>
      <c r="AL73">
        <v>0.71</v>
      </c>
      <c r="AM73">
        <v>40.25</v>
      </c>
      <c r="AO73">
        <v>1.5335064935064935</v>
      </c>
      <c r="AP73">
        <v>63.302752293577981</v>
      </c>
      <c r="AV73">
        <v>20</v>
      </c>
      <c r="AW73">
        <v>4</v>
      </c>
      <c r="AX73">
        <v>2.544</v>
      </c>
      <c r="AY73">
        <v>60.141509433962256</v>
      </c>
      <c r="BB73">
        <v>0.61115498147287806</v>
      </c>
      <c r="BC73">
        <v>25.5</v>
      </c>
      <c r="BD73">
        <v>8</v>
      </c>
      <c r="BE73">
        <v>2</v>
      </c>
      <c r="BF73">
        <v>65.938864628820966</v>
      </c>
      <c r="BH73">
        <v>26</v>
      </c>
      <c r="BI73">
        <v>0.45</v>
      </c>
      <c r="BJ73">
        <v>12</v>
      </c>
      <c r="BK73">
        <v>1.6</v>
      </c>
      <c r="BL73">
        <v>50</v>
      </c>
      <c r="BS73">
        <v>30</v>
      </c>
      <c r="BT73">
        <v>9.6999999999999993</v>
      </c>
      <c r="BU73">
        <v>1.3929896907216497</v>
      </c>
      <c r="BV73">
        <v>64.120781527531079</v>
      </c>
    </row>
    <row r="74" spans="2:86" x14ac:dyDescent="0.2">
      <c r="B74">
        <v>20</v>
      </c>
      <c r="C74" t="s">
        <v>43</v>
      </c>
      <c r="D74">
        <v>6</v>
      </c>
      <c r="E74">
        <v>1.83</v>
      </c>
      <c r="F74" t="s">
        <v>43</v>
      </c>
      <c r="G74">
        <v>70</v>
      </c>
      <c r="K74">
        <f>AVERAGE(18,23)</f>
        <v>20.5</v>
      </c>
      <c r="L74">
        <v>0.6166666666666667</v>
      </c>
      <c r="M74">
        <v>10.199999999999999</v>
      </c>
      <c r="N74">
        <v>1.331764705882353</v>
      </c>
      <c r="O74">
        <v>53.284671532846716</v>
      </c>
      <c r="P74">
        <v>51.060070671378085</v>
      </c>
      <c r="R74">
        <v>0.6166666666666667</v>
      </c>
      <c r="S74">
        <v>51.060070671378085</v>
      </c>
      <c r="Y74">
        <v>20</v>
      </c>
      <c r="Z74">
        <v>70</v>
      </c>
      <c r="AC74">
        <v>25</v>
      </c>
      <c r="AD74">
        <v>42</v>
      </c>
      <c r="AF74">
        <v>6</v>
      </c>
      <c r="AG74">
        <v>71</v>
      </c>
      <c r="AI74">
        <v>9.6</v>
      </c>
      <c r="AJ74">
        <v>71</v>
      </c>
      <c r="AL74">
        <v>0.73967213114754105</v>
      </c>
      <c r="AM74">
        <v>55.851063829787229</v>
      </c>
      <c r="AO74">
        <v>1.54</v>
      </c>
      <c r="AP74">
        <v>65.012406947890824</v>
      </c>
      <c r="AV74">
        <v>20</v>
      </c>
      <c r="AW74">
        <v>6</v>
      </c>
      <c r="AX74">
        <v>1.2</v>
      </c>
      <c r="AY74">
        <v>70</v>
      </c>
      <c r="BB74">
        <v>0.6166666666666667</v>
      </c>
      <c r="BC74">
        <v>27</v>
      </c>
      <c r="BD74">
        <v>10.199999999999999</v>
      </c>
      <c r="BE74">
        <v>1.2682352941176471</v>
      </c>
      <c r="BF74">
        <v>49.165120593692023</v>
      </c>
      <c r="BH74">
        <v>26</v>
      </c>
      <c r="BI74">
        <v>0.60546875</v>
      </c>
      <c r="BJ74">
        <v>4</v>
      </c>
      <c r="BK74">
        <v>1</v>
      </c>
      <c r="BL74">
        <v>53</v>
      </c>
      <c r="BS74">
        <v>27</v>
      </c>
      <c r="BT74">
        <v>9.8000000000000007</v>
      </c>
      <c r="BU74">
        <v>1.9493877551020407</v>
      </c>
      <c r="BV74">
        <v>16.206030150753769</v>
      </c>
    </row>
    <row r="75" spans="2:86" x14ac:dyDescent="0.2">
      <c r="B75">
        <v>20</v>
      </c>
      <c r="C75" t="s">
        <v>43</v>
      </c>
      <c r="D75">
        <v>6</v>
      </c>
      <c r="E75">
        <v>2</v>
      </c>
      <c r="F75" t="s">
        <v>43</v>
      </c>
      <c r="G75">
        <v>75</v>
      </c>
      <c r="K75">
        <v>27</v>
      </c>
      <c r="L75">
        <v>0.6166666666666667</v>
      </c>
      <c r="M75">
        <v>10.199999999999999</v>
      </c>
      <c r="N75">
        <v>1.2682352941176471</v>
      </c>
      <c r="O75">
        <v>66.834170854271363</v>
      </c>
      <c r="P75">
        <v>49.165120593692023</v>
      </c>
      <c r="R75">
        <v>0.6166666666666667</v>
      </c>
      <c r="S75">
        <v>49.165120593692023</v>
      </c>
      <c r="Y75">
        <v>20</v>
      </c>
      <c r="Z75">
        <v>75</v>
      </c>
      <c r="AC75">
        <v>25</v>
      </c>
      <c r="AD75">
        <v>44.029850746268657</v>
      </c>
      <c r="AF75">
        <v>6</v>
      </c>
      <c r="AG75">
        <v>71.633237822349571</v>
      </c>
      <c r="AI75">
        <v>9.6999999999999993</v>
      </c>
      <c r="AJ75">
        <v>53</v>
      </c>
      <c r="AL75">
        <v>0.75</v>
      </c>
      <c r="AM75">
        <v>70</v>
      </c>
      <c r="AO75">
        <v>1.5545454545454545</v>
      </c>
      <c r="AP75">
        <v>55.508474576271183</v>
      </c>
      <c r="AV75">
        <v>20</v>
      </c>
      <c r="AW75">
        <v>6</v>
      </c>
      <c r="AX75">
        <v>1.83</v>
      </c>
      <c r="AY75">
        <v>70</v>
      </c>
      <c r="BB75">
        <v>0.6166666666666667</v>
      </c>
      <c r="BC75">
        <v>20.5</v>
      </c>
      <c r="BD75">
        <v>10.199999999999999</v>
      </c>
      <c r="BE75">
        <v>1.331764705882353</v>
      </c>
      <c r="BF75">
        <v>51.060070671378085</v>
      </c>
      <c r="BH75">
        <v>26</v>
      </c>
      <c r="BI75">
        <v>0.60546875</v>
      </c>
      <c r="BJ75">
        <v>4</v>
      </c>
      <c r="BK75">
        <v>1</v>
      </c>
      <c r="BL75">
        <v>61</v>
      </c>
      <c r="BS75">
        <v>23</v>
      </c>
      <c r="BT75">
        <v>9.9</v>
      </c>
      <c r="BU75">
        <v>0.96484848484848473</v>
      </c>
      <c r="BV75">
        <v>65</v>
      </c>
    </row>
    <row r="76" spans="2:86" x14ac:dyDescent="0.2">
      <c r="B76">
        <v>20</v>
      </c>
      <c r="C76" t="s">
        <v>43</v>
      </c>
      <c r="D76">
        <v>6</v>
      </c>
      <c r="E76">
        <v>2</v>
      </c>
      <c r="F76" t="s">
        <v>43</v>
      </c>
      <c r="G76">
        <v>70</v>
      </c>
      <c r="K76">
        <v>27</v>
      </c>
      <c r="L76">
        <v>0.63661977236758127</v>
      </c>
      <c r="M76">
        <v>6</v>
      </c>
      <c r="N76">
        <v>3.2640000000000002</v>
      </c>
      <c r="O76" t="s">
        <v>43</v>
      </c>
      <c r="P76">
        <v>57.965686274509807</v>
      </c>
      <c r="R76">
        <v>0.63661977236758127</v>
      </c>
      <c r="S76">
        <v>57.965686274509807</v>
      </c>
      <c r="Y76">
        <v>20</v>
      </c>
      <c r="Z76">
        <v>70</v>
      </c>
      <c r="AC76">
        <v>25</v>
      </c>
      <c r="AD76">
        <v>44.573643410852718</v>
      </c>
      <c r="AF76">
        <v>6</v>
      </c>
      <c r="AG76">
        <v>73.53463587921847</v>
      </c>
      <c r="AI76">
        <v>9.6999999999999993</v>
      </c>
      <c r="AJ76">
        <v>60.784313725490193</v>
      </c>
      <c r="AL76">
        <v>0.76</v>
      </c>
      <c r="AM76">
        <v>73.238095238095241</v>
      </c>
      <c r="AO76">
        <v>1.5719999999999998</v>
      </c>
      <c r="AP76">
        <v>61</v>
      </c>
      <c r="AV76">
        <v>20</v>
      </c>
      <c r="AW76">
        <v>6</v>
      </c>
      <c r="AX76">
        <v>2</v>
      </c>
      <c r="AY76">
        <v>70</v>
      </c>
      <c r="BB76">
        <v>0.63661977236758127</v>
      </c>
      <c r="BC76">
        <v>27</v>
      </c>
      <c r="BD76">
        <v>6</v>
      </c>
      <c r="BE76">
        <v>0.36800000000000005</v>
      </c>
      <c r="BF76">
        <v>53.260869565217398</v>
      </c>
      <c r="BH76">
        <v>26</v>
      </c>
      <c r="BI76">
        <v>0.60546875</v>
      </c>
      <c r="BJ76">
        <v>4</v>
      </c>
      <c r="BK76">
        <v>1</v>
      </c>
      <c r="BL76">
        <v>73</v>
      </c>
      <c r="BS76">
        <v>16</v>
      </c>
      <c r="BT76">
        <v>10</v>
      </c>
      <c r="BU76">
        <v>0.7</v>
      </c>
      <c r="BV76">
        <v>70</v>
      </c>
    </row>
    <row r="77" spans="2:86" x14ac:dyDescent="0.2">
      <c r="B77">
        <v>20</v>
      </c>
      <c r="C77" t="s">
        <v>43</v>
      </c>
      <c r="D77">
        <v>6</v>
      </c>
      <c r="E77">
        <v>2</v>
      </c>
      <c r="F77" t="s">
        <v>43</v>
      </c>
      <c r="G77">
        <v>75</v>
      </c>
      <c r="K77">
        <v>27</v>
      </c>
      <c r="L77">
        <v>0.63661977236758127</v>
      </c>
      <c r="M77">
        <v>6</v>
      </c>
      <c r="N77">
        <v>2.2199999999999998</v>
      </c>
      <c r="O77" t="s">
        <v>43</v>
      </c>
      <c r="P77">
        <v>61.621621621621628</v>
      </c>
      <c r="R77">
        <v>0.63661977236758127</v>
      </c>
      <c r="S77">
        <v>61.621621621621628</v>
      </c>
      <c r="Y77">
        <v>20</v>
      </c>
      <c r="Z77">
        <v>75</v>
      </c>
      <c r="AC77">
        <v>25</v>
      </c>
      <c r="AD77">
        <v>44.961240310077521</v>
      </c>
      <c r="AF77">
        <v>6</v>
      </c>
      <c r="AG77">
        <v>75</v>
      </c>
      <c r="AI77">
        <v>9.6999999999999993</v>
      </c>
      <c r="AJ77">
        <v>68</v>
      </c>
      <c r="AL77">
        <v>0.77</v>
      </c>
      <c r="AM77">
        <v>77</v>
      </c>
      <c r="AO77">
        <v>1.5981176470588239</v>
      </c>
      <c r="AP77">
        <v>70.466321243523311</v>
      </c>
      <c r="AV77">
        <v>20</v>
      </c>
      <c r="AW77">
        <v>6</v>
      </c>
      <c r="AX77">
        <v>2</v>
      </c>
      <c r="AY77">
        <v>75</v>
      </c>
      <c r="BB77">
        <v>0.63661977236758127</v>
      </c>
      <c r="BC77">
        <v>27</v>
      </c>
      <c r="BD77">
        <v>6</v>
      </c>
      <c r="BE77">
        <v>0.77999999999999992</v>
      </c>
      <c r="BF77">
        <v>54.358974358974358</v>
      </c>
      <c r="BH77">
        <v>26.5</v>
      </c>
      <c r="BI77">
        <v>0.11904761904761905</v>
      </c>
      <c r="BJ77">
        <v>6</v>
      </c>
      <c r="BK77">
        <v>0.87</v>
      </c>
      <c r="BL77">
        <v>70</v>
      </c>
      <c r="BS77">
        <v>17</v>
      </c>
      <c r="BT77">
        <v>10</v>
      </c>
      <c r="BU77">
        <v>1.5288000000000002</v>
      </c>
      <c r="BV77">
        <v>60</v>
      </c>
    </row>
    <row r="78" spans="2:86" x14ac:dyDescent="0.2">
      <c r="B78">
        <v>20</v>
      </c>
      <c r="C78" t="s">
        <v>43</v>
      </c>
      <c r="D78">
        <v>6</v>
      </c>
      <c r="E78">
        <v>1.2</v>
      </c>
      <c r="F78" t="s">
        <v>43</v>
      </c>
      <c r="G78">
        <v>70</v>
      </c>
      <c r="K78">
        <v>27</v>
      </c>
      <c r="L78">
        <v>0.63661977236758127</v>
      </c>
      <c r="M78">
        <v>6</v>
      </c>
      <c r="N78">
        <v>1.1919999999999999</v>
      </c>
      <c r="O78" t="s">
        <v>43</v>
      </c>
      <c r="P78">
        <v>65.100671140939596</v>
      </c>
      <c r="R78">
        <v>0.63661977236758127</v>
      </c>
      <c r="S78">
        <v>65.100671140939596</v>
      </c>
      <c r="Y78">
        <v>20</v>
      </c>
      <c r="Z78">
        <v>70</v>
      </c>
      <c r="AC78">
        <v>25</v>
      </c>
      <c r="AD78">
        <v>47.014925373134332</v>
      </c>
      <c r="AF78">
        <v>6</v>
      </c>
      <c r="AG78">
        <v>75</v>
      </c>
      <c r="AI78">
        <v>9.8000000000000007</v>
      </c>
      <c r="AJ78">
        <v>51.201011378002526</v>
      </c>
      <c r="AL78">
        <v>0.77999999999999992</v>
      </c>
      <c r="AM78">
        <v>54.358974358974358</v>
      </c>
      <c r="AO78">
        <v>1.664587155963303</v>
      </c>
      <c r="AP78">
        <v>59.556786703601105</v>
      </c>
      <c r="AV78">
        <v>20</v>
      </c>
      <c r="AW78">
        <v>6</v>
      </c>
      <c r="AX78">
        <v>2</v>
      </c>
      <c r="AY78">
        <v>75</v>
      </c>
      <c r="BB78">
        <v>0.63661977236758127</v>
      </c>
      <c r="BC78">
        <v>27</v>
      </c>
      <c r="BD78">
        <v>6</v>
      </c>
      <c r="BE78">
        <v>1.1919999999999999</v>
      </c>
      <c r="BF78">
        <v>65.100671140939596</v>
      </c>
      <c r="BH78">
        <v>26.5</v>
      </c>
      <c r="BI78">
        <v>0.11904761904761905</v>
      </c>
      <c r="BJ78">
        <v>6</v>
      </c>
      <c r="BK78">
        <v>0.87</v>
      </c>
      <c r="BL78">
        <v>82</v>
      </c>
      <c r="BS78">
        <v>19</v>
      </c>
      <c r="BT78">
        <v>10</v>
      </c>
      <c r="BU78">
        <v>1.5288000000000002</v>
      </c>
      <c r="BV78">
        <v>64</v>
      </c>
    </row>
    <row r="79" spans="2:86" x14ac:dyDescent="0.2">
      <c r="B79">
        <v>20</v>
      </c>
      <c r="C79" t="s">
        <v>43</v>
      </c>
      <c r="D79">
        <v>6.6</v>
      </c>
      <c r="E79">
        <v>1.8</v>
      </c>
      <c r="F79" t="s">
        <v>43</v>
      </c>
      <c r="G79">
        <v>95</v>
      </c>
      <c r="K79">
        <v>27</v>
      </c>
      <c r="L79">
        <v>0.63661977236758127</v>
      </c>
      <c r="M79">
        <v>6</v>
      </c>
      <c r="N79">
        <v>0.77999999999999992</v>
      </c>
      <c r="O79" t="s">
        <v>43</v>
      </c>
      <c r="P79">
        <v>54.358974358974358</v>
      </c>
      <c r="R79">
        <v>0.63661977236758127</v>
      </c>
      <c r="S79">
        <v>54.358974358974358</v>
      </c>
      <c r="Y79">
        <v>20</v>
      </c>
      <c r="Z79">
        <v>95</v>
      </c>
      <c r="AC79">
        <v>25</v>
      </c>
      <c r="AD79">
        <v>55</v>
      </c>
      <c r="AF79">
        <v>6</v>
      </c>
      <c r="AG79">
        <v>79.839786381842458</v>
      </c>
      <c r="AI79">
        <v>9.9</v>
      </c>
      <c r="AJ79">
        <v>57.2</v>
      </c>
      <c r="AL79">
        <v>0.79</v>
      </c>
      <c r="AM79">
        <v>70.3</v>
      </c>
      <c r="AO79">
        <v>1.7</v>
      </c>
      <c r="AP79">
        <v>54</v>
      </c>
      <c r="AV79">
        <v>20</v>
      </c>
      <c r="AW79">
        <v>6.6</v>
      </c>
      <c r="AX79">
        <v>1.8</v>
      </c>
      <c r="AY79">
        <v>95</v>
      </c>
      <c r="BB79">
        <v>0.63661977236758127</v>
      </c>
      <c r="BC79">
        <v>27</v>
      </c>
      <c r="BD79">
        <v>6</v>
      </c>
      <c r="BE79">
        <v>2.2199999999999998</v>
      </c>
      <c r="BF79">
        <v>61.621621621621628</v>
      </c>
      <c r="BH79">
        <v>27</v>
      </c>
      <c r="BI79">
        <v>0.43333333333333335</v>
      </c>
      <c r="BJ79">
        <v>11.8</v>
      </c>
      <c r="BK79">
        <v>1.1125423728813557</v>
      </c>
      <c r="BL79">
        <v>55.210237659963433</v>
      </c>
      <c r="BS79">
        <v>20</v>
      </c>
      <c r="BT79">
        <v>10</v>
      </c>
      <c r="BU79">
        <v>1.05</v>
      </c>
      <c r="BV79">
        <v>84.352941176470594</v>
      </c>
    </row>
    <row r="80" spans="2:86" x14ac:dyDescent="0.2">
      <c r="B80">
        <v>20</v>
      </c>
      <c r="C80" t="s">
        <v>43</v>
      </c>
      <c r="D80">
        <v>7</v>
      </c>
      <c r="E80">
        <v>2.04</v>
      </c>
      <c r="F80" t="s">
        <v>43</v>
      </c>
      <c r="G80">
        <v>90</v>
      </c>
      <c r="K80">
        <v>27</v>
      </c>
      <c r="L80">
        <v>0.63661977236758127</v>
      </c>
      <c r="M80">
        <v>6</v>
      </c>
      <c r="N80">
        <v>0.36800000000000005</v>
      </c>
      <c r="O80" t="s">
        <v>43</v>
      </c>
      <c r="P80">
        <v>53.260869565217398</v>
      </c>
      <c r="R80">
        <v>0.63661977236758127</v>
      </c>
      <c r="S80">
        <v>53.260869565217398</v>
      </c>
      <c r="Y80">
        <v>20</v>
      </c>
      <c r="Z80">
        <v>90</v>
      </c>
      <c r="AC80">
        <v>25</v>
      </c>
      <c r="AD80">
        <v>60</v>
      </c>
      <c r="AF80">
        <v>6</v>
      </c>
      <c r="AG80">
        <v>82</v>
      </c>
      <c r="AI80">
        <v>10</v>
      </c>
      <c r="AJ80">
        <v>65.217391304347828</v>
      </c>
      <c r="AL80">
        <v>0.79090909090909089</v>
      </c>
      <c r="AM80">
        <v>56.896551724137936</v>
      </c>
      <c r="AO80">
        <v>1.7</v>
      </c>
      <c r="AP80">
        <v>59.063136456211815</v>
      </c>
      <c r="AV80">
        <v>20</v>
      </c>
      <c r="AW80">
        <v>7</v>
      </c>
      <c r="AX80">
        <v>2.04</v>
      </c>
      <c r="AY80">
        <v>90</v>
      </c>
      <c r="BB80">
        <v>0.63661977236758127</v>
      </c>
      <c r="BC80">
        <v>27</v>
      </c>
      <c r="BD80">
        <v>6</v>
      </c>
      <c r="BE80">
        <v>3.2640000000000002</v>
      </c>
      <c r="BF80">
        <v>57.965686274509807</v>
      </c>
      <c r="BH80">
        <v>27</v>
      </c>
      <c r="BI80">
        <v>0.52083333333333337</v>
      </c>
      <c r="BJ80">
        <v>9.8000000000000007</v>
      </c>
      <c r="BK80">
        <v>1.9493877551020407</v>
      </c>
      <c r="BL80">
        <v>16.206030150753769</v>
      </c>
      <c r="BS80">
        <v>27.3</v>
      </c>
      <c r="BT80">
        <v>10</v>
      </c>
      <c r="BU80">
        <v>0.47</v>
      </c>
      <c r="BV80">
        <v>68.341708542713562</v>
      </c>
    </row>
    <row r="81" spans="2:74" x14ac:dyDescent="0.2">
      <c r="B81">
        <v>20</v>
      </c>
      <c r="C81" t="s">
        <v>43</v>
      </c>
      <c r="D81">
        <v>8</v>
      </c>
      <c r="E81">
        <v>0.8</v>
      </c>
      <c r="F81" t="s">
        <v>43</v>
      </c>
      <c r="G81">
        <v>70</v>
      </c>
      <c r="K81">
        <v>20</v>
      </c>
      <c r="L81">
        <v>0.7</v>
      </c>
      <c r="M81">
        <v>4</v>
      </c>
      <c r="N81">
        <v>2.544</v>
      </c>
      <c r="O81">
        <v>69.148936170212778</v>
      </c>
      <c r="P81">
        <v>60.141509433962256</v>
      </c>
      <c r="R81">
        <v>0.7</v>
      </c>
      <c r="S81">
        <v>60.141509433962256</v>
      </c>
      <c r="Y81">
        <v>20</v>
      </c>
      <c r="Z81">
        <v>70</v>
      </c>
      <c r="AC81">
        <v>25</v>
      </c>
      <c r="AD81">
        <v>61</v>
      </c>
      <c r="AF81">
        <v>6.1</v>
      </c>
      <c r="AG81">
        <v>55.851063829787229</v>
      </c>
      <c r="AI81">
        <v>10.199999999999999</v>
      </c>
      <c r="AJ81">
        <v>53.284671532846716</v>
      </c>
      <c r="AL81">
        <v>0.8</v>
      </c>
      <c r="AM81">
        <v>70</v>
      </c>
      <c r="AO81">
        <v>1.7028571428571431</v>
      </c>
      <c r="AP81">
        <v>55</v>
      </c>
      <c r="AV81">
        <v>20</v>
      </c>
      <c r="AW81">
        <v>8</v>
      </c>
      <c r="AX81">
        <v>0.75</v>
      </c>
      <c r="AY81">
        <v>70</v>
      </c>
      <c r="BB81">
        <v>0.7</v>
      </c>
      <c r="BC81">
        <v>35</v>
      </c>
      <c r="BD81">
        <v>4</v>
      </c>
      <c r="BE81">
        <v>2.0460000000000003</v>
      </c>
      <c r="BF81">
        <v>65.102639296187675</v>
      </c>
      <c r="BH81">
        <v>27</v>
      </c>
      <c r="BI81">
        <v>0.53333333333333333</v>
      </c>
      <c r="BJ81">
        <v>9.5</v>
      </c>
      <c r="BK81">
        <v>0.9701052631578948</v>
      </c>
      <c r="BL81">
        <v>46.354166666666671</v>
      </c>
      <c r="BS81">
        <v>20.5</v>
      </c>
      <c r="BT81">
        <v>10.199999999999999</v>
      </c>
      <c r="BU81">
        <v>1.331764705882353</v>
      </c>
      <c r="BV81">
        <v>51.060070671378085</v>
      </c>
    </row>
    <row r="82" spans="2:74" x14ac:dyDescent="0.2">
      <c r="B82">
        <v>20</v>
      </c>
      <c r="C82" t="s">
        <v>43</v>
      </c>
      <c r="D82">
        <v>8</v>
      </c>
      <c r="E82">
        <v>0.8</v>
      </c>
      <c r="F82" t="s">
        <v>43</v>
      </c>
      <c r="G82">
        <v>70</v>
      </c>
      <c r="K82">
        <v>23</v>
      </c>
      <c r="L82">
        <v>0.7</v>
      </c>
      <c r="M82">
        <v>4</v>
      </c>
      <c r="N82">
        <v>2.4359999999999999</v>
      </c>
      <c r="O82">
        <v>68.586387434554979</v>
      </c>
      <c r="P82">
        <v>65.024630541871915</v>
      </c>
      <c r="R82">
        <v>0.7</v>
      </c>
      <c r="S82">
        <v>65.024630541871915</v>
      </c>
      <c r="Y82">
        <v>20</v>
      </c>
      <c r="Z82">
        <v>70</v>
      </c>
      <c r="AC82">
        <v>25</v>
      </c>
      <c r="AD82">
        <v>62.637362637362635</v>
      </c>
      <c r="AF82">
        <v>6.2</v>
      </c>
      <c r="AG82">
        <v>60.077519379844958</v>
      </c>
      <c r="AI82">
        <v>10.199999999999999</v>
      </c>
      <c r="AJ82">
        <v>66.834170854271363</v>
      </c>
      <c r="AL82">
        <v>0.8</v>
      </c>
      <c r="AM82">
        <v>70</v>
      </c>
      <c r="AO82">
        <v>1.780909090909091</v>
      </c>
      <c r="AP82">
        <v>27</v>
      </c>
      <c r="AV82">
        <v>20</v>
      </c>
      <c r="AW82">
        <v>8</v>
      </c>
      <c r="AX82">
        <v>0.8</v>
      </c>
      <c r="AY82">
        <v>70</v>
      </c>
      <c r="BB82">
        <v>0.7</v>
      </c>
      <c r="BC82">
        <v>23</v>
      </c>
      <c r="BD82">
        <v>4</v>
      </c>
      <c r="BE82">
        <v>2.4359999999999999</v>
      </c>
      <c r="BF82">
        <v>65.024630541871915</v>
      </c>
      <c r="BH82">
        <v>27</v>
      </c>
      <c r="BI82">
        <v>0.54166666666666663</v>
      </c>
      <c r="BJ82">
        <v>8.8000000000000007</v>
      </c>
      <c r="BK82">
        <v>0.80727272727272714</v>
      </c>
      <c r="BL82">
        <v>62.5</v>
      </c>
      <c r="BS82">
        <v>27</v>
      </c>
      <c r="BT82">
        <v>10.199999999999999</v>
      </c>
      <c r="BU82">
        <v>1.2682352941176471</v>
      </c>
      <c r="BV82">
        <v>49.165120593692023</v>
      </c>
    </row>
    <row r="83" spans="2:74" x14ac:dyDescent="0.2">
      <c r="B83">
        <v>20</v>
      </c>
      <c r="C83" t="s">
        <v>43</v>
      </c>
      <c r="D83">
        <v>8</v>
      </c>
      <c r="E83">
        <v>0.8</v>
      </c>
      <c r="F83" t="s">
        <v>43</v>
      </c>
      <c r="G83">
        <v>70</v>
      </c>
      <c r="K83">
        <v>35</v>
      </c>
      <c r="L83">
        <v>0.7</v>
      </c>
      <c r="M83">
        <v>4</v>
      </c>
      <c r="N83">
        <v>2.0460000000000003</v>
      </c>
      <c r="O83">
        <v>61.363636363636367</v>
      </c>
      <c r="P83">
        <v>65.102639296187675</v>
      </c>
      <c r="R83">
        <v>0.7</v>
      </c>
      <c r="S83">
        <v>65.102639296187675</v>
      </c>
      <c r="Y83">
        <v>20</v>
      </c>
      <c r="Z83">
        <v>70</v>
      </c>
      <c r="AC83">
        <v>25</v>
      </c>
      <c r="AD83">
        <v>67</v>
      </c>
      <c r="AF83">
        <v>6.6</v>
      </c>
      <c r="AG83">
        <v>95</v>
      </c>
      <c r="AI83">
        <v>10.327272727272726</v>
      </c>
      <c r="AJ83">
        <v>62</v>
      </c>
      <c r="AL83">
        <v>0.8</v>
      </c>
      <c r="AM83">
        <v>70</v>
      </c>
      <c r="AO83">
        <v>1.8863999999999999</v>
      </c>
      <c r="AP83">
        <v>62.318840579710141</v>
      </c>
      <c r="AV83">
        <v>20</v>
      </c>
      <c r="AW83">
        <v>8</v>
      </c>
      <c r="AX83">
        <v>0.8</v>
      </c>
      <c r="AY83">
        <v>70</v>
      </c>
      <c r="BB83">
        <v>0.7</v>
      </c>
      <c r="BC83">
        <v>20</v>
      </c>
      <c r="BD83">
        <v>4</v>
      </c>
      <c r="BE83">
        <v>2.544</v>
      </c>
      <c r="BF83">
        <v>60.141509433962256</v>
      </c>
      <c r="BH83">
        <v>27</v>
      </c>
      <c r="BI83">
        <v>0.5625</v>
      </c>
      <c r="BJ83">
        <v>9.3000000000000007</v>
      </c>
      <c r="BK83">
        <v>0.65032258064516124</v>
      </c>
      <c r="BL83">
        <v>43.253968253968253</v>
      </c>
      <c r="BS83">
        <v>15</v>
      </c>
      <c r="BT83">
        <v>10.32</v>
      </c>
      <c r="BU83">
        <v>0.79</v>
      </c>
      <c r="BV83">
        <v>70.3</v>
      </c>
    </row>
    <row r="84" spans="2:74" x14ac:dyDescent="0.2">
      <c r="B84">
        <v>20</v>
      </c>
      <c r="C84" t="s">
        <v>43</v>
      </c>
      <c r="D84">
        <v>8</v>
      </c>
      <c r="E84">
        <v>0.75</v>
      </c>
      <c r="F84" t="s">
        <v>43</v>
      </c>
      <c r="G84">
        <v>70</v>
      </c>
      <c r="K84">
        <v>15</v>
      </c>
      <c r="L84">
        <v>0.8</v>
      </c>
      <c r="M84">
        <v>7.68</v>
      </c>
      <c r="N84">
        <v>1.51</v>
      </c>
      <c r="O84" t="s">
        <v>43</v>
      </c>
      <c r="P84">
        <v>68.099999999999994</v>
      </c>
      <c r="R84">
        <v>0.8</v>
      </c>
      <c r="S84">
        <v>68.099999999999994</v>
      </c>
      <c r="Y84">
        <v>20</v>
      </c>
      <c r="Z84">
        <v>70</v>
      </c>
      <c r="AC84">
        <v>25</v>
      </c>
      <c r="AD84">
        <v>67.256637168141594</v>
      </c>
      <c r="AF84">
        <v>7</v>
      </c>
      <c r="AG84">
        <v>59.358288770053477</v>
      </c>
      <c r="AI84">
        <v>10.4</v>
      </c>
      <c r="AJ84">
        <v>9</v>
      </c>
      <c r="AL84">
        <v>0.80727272727272714</v>
      </c>
      <c r="AM84">
        <v>62.5</v>
      </c>
      <c r="AO84">
        <v>1.9259999999999997</v>
      </c>
      <c r="AP84">
        <v>62</v>
      </c>
      <c r="AV84">
        <v>20</v>
      </c>
      <c r="AW84">
        <v>8</v>
      </c>
      <c r="AX84">
        <v>0.8</v>
      </c>
      <c r="AY84">
        <v>70</v>
      </c>
      <c r="BB84">
        <v>0.8</v>
      </c>
      <c r="BC84">
        <v>19</v>
      </c>
      <c r="BD84">
        <v>6</v>
      </c>
      <c r="BE84">
        <v>2.548</v>
      </c>
      <c r="BF84">
        <v>61</v>
      </c>
      <c r="BH84">
        <v>27</v>
      </c>
      <c r="BI84">
        <v>0.56666666666666665</v>
      </c>
      <c r="BJ84">
        <v>8.5</v>
      </c>
      <c r="BK84">
        <v>1.5981176470588239</v>
      </c>
      <c r="BL84">
        <v>75.441696113074215</v>
      </c>
      <c r="BS84">
        <v>22</v>
      </c>
      <c r="BT84">
        <v>10.327272727272726</v>
      </c>
      <c r="BU84">
        <v>0.8668309859154929</v>
      </c>
      <c r="BV84">
        <v>57</v>
      </c>
    </row>
    <row r="85" spans="2:74" x14ac:dyDescent="0.2">
      <c r="B85">
        <v>20</v>
      </c>
      <c r="D85">
        <v>9.1</v>
      </c>
      <c r="E85">
        <v>0.92</v>
      </c>
      <c r="F85">
        <v>78</v>
      </c>
      <c r="G85">
        <v>54.700854700854705</v>
      </c>
      <c r="K85">
        <v>15</v>
      </c>
      <c r="L85">
        <v>0.8</v>
      </c>
      <c r="M85">
        <v>7.68</v>
      </c>
      <c r="N85">
        <v>1.6</v>
      </c>
      <c r="O85" t="s">
        <v>43</v>
      </c>
      <c r="P85">
        <v>68.5</v>
      </c>
      <c r="R85">
        <v>0.8</v>
      </c>
      <c r="S85">
        <v>68.5</v>
      </c>
      <c r="Y85">
        <v>20</v>
      </c>
      <c r="Z85">
        <v>54.700854700854705</v>
      </c>
      <c r="AC85">
        <v>25</v>
      </c>
      <c r="AD85">
        <v>67.942583732057415</v>
      </c>
      <c r="AF85">
        <v>7</v>
      </c>
      <c r="AG85">
        <v>70.428571428571431</v>
      </c>
      <c r="AI85">
        <v>10.4</v>
      </c>
      <c r="AJ85">
        <v>56.748466257668717</v>
      </c>
      <c r="AL85">
        <v>0.82</v>
      </c>
      <c r="AM85">
        <v>53.2</v>
      </c>
      <c r="AO85">
        <v>1.9493877551020407</v>
      </c>
      <c r="AP85">
        <v>51.201011378002526</v>
      </c>
      <c r="AV85">
        <v>20</v>
      </c>
      <c r="AW85">
        <v>9.1</v>
      </c>
      <c r="AX85">
        <v>0.92</v>
      </c>
      <c r="AY85">
        <v>54.700854700854705</v>
      </c>
      <c r="BB85">
        <v>0.8</v>
      </c>
      <c r="BC85">
        <v>15</v>
      </c>
      <c r="BD85">
        <v>7.68</v>
      </c>
      <c r="BE85">
        <v>1.2</v>
      </c>
      <c r="BF85">
        <v>79.3</v>
      </c>
      <c r="BH85">
        <v>27</v>
      </c>
      <c r="BI85">
        <v>0.58750000000000002</v>
      </c>
      <c r="BJ85">
        <v>10.4</v>
      </c>
      <c r="BK85">
        <v>0.87461538461538446</v>
      </c>
      <c r="BL85">
        <v>58.311345646437992</v>
      </c>
      <c r="BS85">
        <v>20</v>
      </c>
      <c r="BT85">
        <v>10.4</v>
      </c>
      <c r="BU85">
        <v>0.9</v>
      </c>
      <c r="BV85">
        <v>61.989795918367349</v>
      </c>
    </row>
    <row r="86" spans="2:74" x14ac:dyDescent="0.2">
      <c r="B86">
        <v>20</v>
      </c>
      <c r="D86">
        <v>9.5</v>
      </c>
      <c r="E86">
        <v>0.92</v>
      </c>
      <c r="F86">
        <v>74</v>
      </c>
      <c r="G86">
        <v>58.677685950413228</v>
      </c>
      <c r="K86">
        <v>15</v>
      </c>
      <c r="L86">
        <v>0.8</v>
      </c>
      <c r="M86">
        <v>7.68</v>
      </c>
      <c r="N86">
        <v>1.2</v>
      </c>
      <c r="O86" t="s">
        <v>43</v>
      </c>
      <c r="P86">
        <v>79.3</v>
      </c>
      <c r="R86">
        <v>0.8</v>
      </c>
      <c r="S86">
        <v>79.3</v>
      </c>
      <c r="Y86">
        <v>20</v>
      </c>
      <c r="Z86">
        <v>58.677685950413228</v>
      </c>
      <c r="AC86">
        <v>25</v>
      </c>
      <c r="AD86">
        <v>68.899521531100476</v>
      </c>
      <c r="AF86">
        <v>7</v>
      </c>
      <c r="AG86">
        <v>71.142857142857139</v>
      </c>
      <c r="AI86">
        <v>10.5</v>
      </c>
      <c r="AJ86">
        <v>55</v>
      </c>
      <c r="AL86">
        <v>0.84933333333333338</v>
      </c>
      <c r="AM86">
        <v>74</v>
      </c>
      <c r="AO86">
        <v>1.9903999999999997</v>
      </c>
      <c r="AP86">
        <v>91.545189504373184</v>
      </c>
      <c r="AV86">
        <v>20</v>
      </c>
      <c r="AW86">
        <v>9.5</v>
      </c>
      <c r="AX86">
        <v>0.92</v>
      </c>
      <c r="AY86">
        <v>58.677685950413228</v>
      </c>
      <c r="BB86">
        <v>0.8</v>
      </c>
      <c r="BC86">
        <v>15</v>
      </c>
      <c r="BD86">
        <v>7.68</v>
      </c>
      <c r="BE86">
        <v>1.51</v>
      </c>
      <c r="BF86">
        <v>68.099999999999994</v>
      </c>
      <c r="BH86">
        <v>27</v>
      </c>
      <c r="BI86">
        <v>0.6166666666666667</v>
      </c>
      <c r="BJ86">
        <v>10.199999999999999</v>
      </c>
      <c r="BK86">
        <v>1.2682352941176471</v>
      </c>
      <c r="BL86">
        <v>49.165120593692023</v>
      </c>
      <c r="BS86">
        <v>27</v>
      </c>
      <c r="BT86">
        <v>10.4</v>
      </c>
      <c r="BU86">
        <v>0.87461538461538446</v>
      </c>
      <c r="BV86">
        <v>58.311345646437992</v>
      </c>
    </row>
    <row r="87" spans="2:74" x14ac:dyDescent="0.2">
      <c r="B87">
        <v>20</v>
      </c>
      <c r="D87">
        <v>9.6</v>
      </c>
      <c r="E87">
        <v>1.1100000000000001</v>
      </c>
      <c r="F87">
        <v>71</v>
      </c>
      <c r="G87">
        <v>48.648648648648653</v>
      </c>
      <c r="K87">
        <v>15</v>
      </c>
      <c r="L87">
        <v>0.8</v>
      </c>
      <c r="M87">
        <v>10.32</v>
      </c>
      <c r="N87">
        <v>0.79</v>
      </c>
      <c r="O87" t="s">
        <v>43</v>
      </c>
      <c r="P87">
        <v>70.3</v>
      </c>
      <c r="R87">
        <v>0.8</v>
      </c>
      <c r="S87">
        <v>70.3</v>
      </c>
      <c r="Y87">
        <v>20</v>
      </c>
      <c r="Z87">
        <v>48.648648648648653</v>
      </c>
      <c r="AC87">
        <v>25</v>
      </c>
      <c r="AD87">
        <v>74.401913875598098</v>
      </c>
      <c r="AF87">
        <v>7</v>
      </c>
      <c r="AG87">
        <v>72</v>
      </c>
      <c r="AI87">
        <v>10.6</v>
      </c>
      <c r="AJ87">
        <v>55.8</v>
      </c>
      <c r="AL87">
        <v>0.84933333333333338</v>
      </c>
      <c r="AM87">
        <v>73</v>
      </c>
      <c r="AO87">
        <v>2</v>
      </c>
      <c r="AP87">
        <v>68.646864686468646</v>
      </c>
      <c r="AV87">
        <v>20</v>
      </c>
      <c r="AW87">
        <v>9.6</v>
      </c>
      <c r="AX87">
        <v>1.1100000000000001</v>
      </c>
      <c r="AY87">
        <v>48.648648648648653</v>
      </c>
      <c r="BB87">
        <v>0.8</v>
      </c>
      <c r="BC87">
        <v>15</v>
      </c>
      <c r="BD87">
        <v>7.68</v>
      </c>
      <c r="BE87">
        <v>1.6</v>
      </c>
      <c r="BF87">
        <v>68.5</v>
      </c>
      <c r="BH87">
        <v>27</v>
      </c>
      <c r="BI87">
        <v>0.63661977236758127</v>
      </c>
      <c r="BJ87">
        <v>6</v>
      </c>
      <c r="BK87">
        <v>0.36800000000000005</v>
      </c>
      <c r="BL87">
        <v>53.260869565217398</v>
      </c>
      <c r="BS87">
        <v>25</v>
      </c>
      <c r="BT87">
        <v>10.5</v>
      </c>
      <c r="BU87">
        <v>1.7028571428571431</v>
      </c>
      <c r="BV87">
        <v>31</v>
      </c>
    </row>
    <row r="88" spans="2:74" x14ac:dyDescent="0.2">
      <c r="B88">
        <v>20</v>
      </c>
      <c r="C88" t="s">
        <v>43</v>
      </c>
      <c r="D88">
        <v>10</v>
      </c>
      <c r="E88">
        <v>1.05</v>
      </c>
      <c r="F88" t="s">
        <v>43</v>
      </c>
      <c r="G88">
        <v>84.352941176470594</v>
      </c>
      <c r="K88">
        <v>15</v>
      </c>
      <c r="L88">
        <v>0.8</v>
      </c>
      <c r="M88">
        <v>12</v>
      </c>
      <c r="N88">
        <v>0.82</v>
      </c>
      <c r="O88" t="s">
        <v>43</v>
      </c>
      <c r="P88">
        <v>53.2</v>
      </c>
      <c r="R88">
        <v>0.8</v>
      </c>
      <c r="S88">
        <v>53.2</v>
      </c>
      <c r="Y88">
        <v>20</v>
      </c>
      <c r="Z88">
        <v>84.352941176470594</v>
      </c>
      <c r="AC88">
        <v>25</v>
      </c>
      <c r="AD88">
        <v>76</v>
      </c>
      <c r="AF88">
        <v>7</v>
      </c>
      <c r="AG88">
        <v>90</v>
      </c>
      <c r="AI88">
        <v>10.9</v>
      </c>
      <c r="AJ88">
        <v>59.556786703601105</v>
      </c>
      <c r="AL88">
        <v>0.85</v>
      </c>
      <c r="AM88">
        <v>26.642335766423358</v>
      </c>
      <c r="AO88">
        <v>2.0460000000000003</v>
      </c>
      <c r="AP88">
        <v>61.363636363636367</v>
      </c>
      <c r="AV88">
        <v>20</v>
      </c>
      <c r="AW88">
        <v>10</v>
      </c>
      <c r="AX88">
        <v>1.05</v>
      </c>
      <c r="AY88">
        <v>84.352941176470594</v>
      </c>
      <c r="BB88">
        <v>0.8</v>
      </c>
      <c r="BC88">
        <v>19</v>
      </c>
      <c r="BD88">
        <v>8</v>
      </c>
      <c r="BE88">
        <v>1.911</v>
      </c>
      <c r="BF88">
        <v>65</v>
      </c>
      <c r="BH88">
        <v>27</v>
      </c>
      <c r="BI88">
        <v>0.63661977236758127</v>
      </c>
      <c r="BJ88">
        <v>6</v>
      </c>
      <c r="BK88">
        <v>0.77999999999999992</v>
      </c>
      <c r="BL88">
        <v>54.358974358974358</v>
      </c>
      <c r="BS88">
        <v>23</v>
      </c>
      <c r="BT88">
        <v>10.6</v>
      </c>
      <c r="BU88">
        <v>0.90113207547169805</v>
      </c>
      <c r="BV88">
        <v>52</v>
      </c>
    </row>
    <row r="89" spans="2:74" x14ac:dyDescent="0.2">
      <c r="B89">
        <v>20</v>
      </c>
      <c r="D89">
        <v>10.4</v>
      </c>
      <c r="E89">
        <v>0.9</v>
      </c>
      <c r="F89">
        <v>9</v>
      </c>
      <c r="G89">
        <v>61.989795918367349</v>
      </c>
      <c r="K89">
        <v>15</v>
      </c>
      <c r="L89">
        <v>0.8</v>
      </c>
      <c r="M89">
        <v>13.919999999999998</v>
      </c>
      <c r="N89">
        <v>0.45</v>
      </c>
      <c r="O89" t="s">
        <v>43</v>
      </c>
      <c r="P89">
        <v>63.7</v>
      </c>
      <c r="R89">
        <v>0.8</v>
      </c>
      <c r="S89">
        <v>63.7</v>
      </c>
      <c r="Y89">
        <v>20</v>
      </c>
      <c r="Z89">
        <v>61.989795918367349</v>
      </c>
      <c r="AC89">
        <v>25</v>
      </c>
      <c r="AD89">
        <v>79</v>
      </c>
      <c r="AF89">
        <v>7.2</v>
      </c>
      <c r="AG89">
        <v>55.119825708061001</v>
      </c>
      <c r="AI89">
        <v>11</v>
      </c>
      <c r="AJ89">
        <v>75.27472527472527</v>
      </c>
      <c r="AL89">
        <v>0.8668309859154929</v>
      </c>
      <c r="AM89">
        <v>57</v>
      </c>
      <c r="AO89">
        <v>2.0608000000000004</v>
      </c>
      <c r="AP89">
        <v>88.020833333333343</v>
      </c>
      <c r="AV89">
        <v>20</v>
      </c>
      <c r="AW89">
        <v>10.4</v>
      </c>
      <c r="AX89">
        <v>0.9</v>
      </c>
      <c r="AY89">
        <v>61.989795918367349</v>
      </c>
      <c r="BB89">
        <v>0.8</v>
      </c>
      <c r="BC89">
        <v>17</v>
      </c>
      <c r="BD89">
        <v>10</v>
      </c>
      <c r="BE89">
        <v>1.5288000000000002</v>
      </c>
      <c r="BF89">
        <v>60</v>
      </c>
      <c r="BH89">
        <v>27</v>
      </c>
      <c r="BI89">
        <v>0.63661977236758127</v>
      </c>
      <c r="BJ89">
        <v>6</v>
      </c>
      <c r="BK89">
        <v>1.1919999999999999</v>
      </c>
      <c r="BL89">
        <v>65.100671140939596</v>
      </c>
      <c r="BS89">
        <v>20.5</v>
      </c>
      <c r="BT89">
        <v>10.9</v>
      </c>
      <c r="BU89">
        <v>1.664587155963303</v>
      </c>
      <c r="BV89">
        <v>40.476190476190474</v>
      </c>
    </row>
    <row r="90" spans="2:74" x14ac:dyDescent="0.2">
      <c r="B90">
        <v>20</v>
      </c>
      <c r="C90" t="s">
        <v>43</v>
      </c>
      <c r="D90">
        <v>12</v>
      </c>
      <c r="E90">
        <v>0.4</v>
      </c>
      <c r="F90" t="s">
        <v>43</v>
      </c>
      <c r="G90" t="s">
        <v>208</v>
      </c>
      <c r="K90">
        <v>15</v>
      </c>
      <c r="L90">
        <v>0.8</v>
      </c>
      <c r="M90">
        <v>19.919999999999998</v>
      </c>
      <c r="N90">
        <v>0.38</v>
      </c>
      <c r="O90" t="s">
        <v>43</v>
      </c>
      <c r="P90">
        <v>68.8</v>
      </c>
      <c r="R90">
        <v>0.8</v>
      </c>
      <c r="S90">
        <v>68.8</v>
      </c>
      <c r="Y90">
        <v>20</v>
      </c>
      <c r="Z90">
        <v>45.662100456621005</v>
      </c>
      <c r="AC90">
        <v>25.5</v>
      </c>
      <c r="AD90">
        <v>50.936329588014985</v>
      </c>
      <c r="AF90">
        <v>7.2</v>
      </c>
      <c r="AG90">
        <v>77</v>
      </c>
      <c r="AI90">
        <v>11.2</v>
      </c>
      <c r="AJ90">
        <v>42</v>
      </c>
      <c r="AL90">
        <v>0.87</v>
      </c>
      <c r="AM90">
        <v>70</v>
      </c>
      <c r="AO90">
        <v>2.0715789473684212</v>
      </c>
      <c r="AP90">
        <v>8.1999999999999993</v>
      </c>
      <c r="AV90">
        <v>20</v>
      </c>
      <c r="AW90">
        <v>12.3</v>
      </c>
      <c r="AX90">
        <v>0.43</v>
      </c>
      <c r="AY90">
        <v>45.662100456621005</v>
      </c>
      <c r="BB90">
        <v>0.8</v>
      </c>
      <c r="BC90">
        <v>19</v>
      </c>
      <c r="BD90">
        <v>10</v>
      </c>
      <c r="BE90">
        <v>1.5288000000000002</v>
      </c>
      <c r="BF90">
        <v>64</v>
      </c>
      <c r="BH90">
        <v>27</v>
      </c>
      <c r="BI90">
        <v>0.63661977236758127</v>
      </c>
      <c r="BJ90">
        <v>6</v>
      </c>
      <c r="BK90">
        <v>2.2199999999999998</v>
      </c>
      <c r="BL90">
        <v>61.621621621621628</v>
      </c>
      <c r="BS90">
        <v>18</v>
      </c>
      <c r="BT90">
        <v>11</v>
      </c>
      <c r="BU90">
        <v>0.87927272727272721</v>
      </c>
      <c r="BV90">
        <v>63.027295285359799</v>
      </c>
    </row>
    <row r="91" spans="2:74" x14ac:dyDescent="0.2">
      <c r="B91">
        <v>20</v>
      </c>
      <c r="D91">
        <v>12.3</v>
      </c>
      <c r="E91">
        <v>0.43</v>
      </c>
      <c r="F91">
        <v>61</v>
      </c>
      <c r="G91">
        <v>45.662100456621005</v>
      </c>
      <c r="K91">
        <v>15</v>
      </c>
      <c r="L91">
        <v>0.8</v>
      </c>
      <c r="M91">
        <v>24</v>
      </c>
      <c r="N91">
        <v>0.41</v>
      </c>
      <c r="O91" t="s">
        <v>43</v>
      </c>
      <c r="P91">
        <v>82.5</v>
      </c>
      <c r="R91">
        <v>0.8</v>
      </c>
      <c r="S91">
        <v>82.5</v>
      </c>
      <c r="Y91">
        <v>20</v>
      </c>
      <c r="Z91">
        <v>82.608695652173907</v>
      </c>
      <c r="AC91">
        <v>25.5</v>
      </c>
      <c r="AD91">
        <v>68.646864686468646</v>
      </c>
      <c r="AF91">
        <v>7.5</v>
      </c>
      <c r="AG91">
        <v>54.123711340206185</v>
      </c>
      <c r="AI91">
        <v>11.8</v>
      </c>
      <c r="AJ91">
        <v>49.440715883668908</v>
      </c>
      <c r="AL91">
        <v>0.87</v>
      </c>
      <c r="AM91">
        <v>82</v>
      </c>
      <c r="AO91">
        <v>2.1</v>
      </c>
      <c r="AP91">
        <v>46</v>
      </c>
      <c r="AV91">
        <v>20</v>
      </c>
      <c r="AW91">
        <v>16</v>
      </c>
      <c r="AX91">
        <v>0.6</v>
      </c>
      <c r="AY91">
        <v>82.608695652173907</v>
      </c>
      <c r="BB91">
        <v>0.8</v>
      </c>
      <c r="BC91">
        <v>15</v>
      </c>
      <c r="BD91">
        <v>10.32</v>
      </c>
      <c r="BE91">
        <v>0.79</v>
      </c>
      <c r="BF91">
        <v>70.3</v>
      </c>
      <c r="BH91">
        <v>27</v>
      </c>
      <c r="BI91">
        <v>0.63661977236758127</v>
      </c>
      <c r="BJ91">
        <v>6</v>
      </c>
      <c r="BK91">
        <v>3.2640000000000002</v>
      </c>
      <c r="BL91">
        <v>57.965686274509807</v>
      </c>
      <c r="BS91">
        <v>25</v>
      </c>
      <c r="BT91">
        <v>11.2</v>
      </c>
      <c r="BU91">
        <v>1.4121428571428571</v>
      </c>
      <c r="BV91">
        <v>41</v>
      </c>
    </row>
    <row r="92" spans="2:74" x14ac:dyDescent="0.2">
      <c r="B92">
        <v>20</v>
      </c>
      <c r="C92" t="s">
        <v>43</v>
      </c>
      <c r="D92">
        <v>16</v>
      </c>
      <c r="E92">
        <v>0.6</v>
      </c>
      <c r="F92" t="s">
        <v>43</v>
      </c>
      <c r="G92">
        <v>82.608695652173907</v>
      </c>
      <c r="K92">
        <v>15</v>
      </c>
      <c r="L92">
        <v>0.8</v>
      </c>
      <c r="M92">
        <v>42</v>
      </c>
      <c r="N92">
        <v>0.15</v>
      </c>
      <c r="O92" t="s">
        <v>43</v>
      </c>
      <c r="P92">
        <v>50.1</v>
      </c>
      <c r="R92">
        <v>0.8</v>
      </c>
      <c r="S92">
        <v>50.1</v>
      </c>
      <c r="Y92">
        <v>20</v>
      </c>
      <c r="Z92">
        <v>80.810810810810821</v>
      </c>
      <c r="AC92">
        <v>25.5</v>
      </c>
      <c r="AD92">
        <v>88.965517241379317</v>
      </c>
      <c r="AF92">
        <v>7.5</v>
      </c>
      <c r="AG92">
        <v>73</v>
      </c>
      <c r="AI92">
        <v>12</v>
      </c>
      <c r="AJ92">
        <v>59.063136456211815</v>
      </c>
      <c r="AL92">
        <v>0.87461538461538446</v>
      </c>
      <c r="AM92">
        <v>58.311345646437992</v>
      </c>
      <c r="AO92">
        <v>2.1431578947368419</v>
      </c>
      <c r="AP92">
        <v>61</v>
      </c>
      <c r="AV92">
        <v>20</v>
      </c>
      <c r="AW92">
        <v>20</v>
      </c>
      <c r="AX92">
        <v>0.46</v>
      </c>
      <c r="AY92">
        <v>80.810810810810821</v>
      </c>
      <c r="BB92">
        <v>0.8</v>
      </c>
      <c r="BC92">
        <v>15</v>
      </c>
      <c r="BD92">
        <v>12</v>
      </c>
      <c r="BE92">
        <v>0.82</v>
      </c>
      <c r="BF92">
        <v>53.2</v>
      </c>
      <c r="BH92">
        <v>27</v>
      </c>
      <c r="BI92">
        <v>0.95492965855137191</v>
      </c>
      <c r="BJ92">
        <v>4</v>
      </c>
      <c r="BK92">
        <v>4.62</v>
      </c>
      <c r="BL92">
        <v>45.97402597402597</v>
      </c>
      <c r="BS92">
        <v>27</v>
      </c>
      <c r="BT92">
        <v>11.8</v>
      </c>
      <c r="BU92">
        <v>1.1125423728813557</v>
      </c>
      <c r="BV92">
        <v>55.210237659963433</v>
      </c>
    </row>
    <row r="93" spans="2:74" x14ac:dyDescent="0.2">
      <c r="B93">
        <v>20</v>
      </c>
      <c r="C93" t="s">
        <v>43</v>
      </c>
      <c r="D93">
        <v>20</v>
      </c>
      <c r="E93">
        <v>0.46</v>
      </c>
      <c r="F93" t="s">
        <v>43</v>
      </c>
      <c r="G93">
        <v>80.810810810810821</v>
      </c>
      <c r="K93">
        <v>15</v>
      </c>
      <c r="L93">
        <v>0.8</v>
      </c>
      <c r="M93">
        <v>42</v>
      </c>
      <c r="N93">
        <v>0.36</v>
      </c>
      <c r="O93" t="s">
        <v>43</v>
      </c>
      <c r="P93">
        <v>82.5</v>
      </c>
      <c r="R93">
        <v>0.8</v>
      </c>
      <c r="S93">
        <v>82.5</v>
      </c>
      <c r="Y93">
        <v>20</v>
      </c>
      <c r="Z93">
        <v>75.161290322580655</v>
      </c>
      <c r="AC93">
        <v>26</v>
      </c>
      <c r="AD93">
        <v>46.428571428571431</v>
      </c>
      <c r="AF93">
        <v>7.5</v>
      </c>
      <c r="AG93">
        <v>79.968944099378874</v>
      </c>
      <c r="AI93">
        <v>12</v>
      </c>
      <c r="AJ93">
        <v>67</v>
      </c>
      <c r="AL93">
        <v>0.87927272727272721</v>
      </c>
      <c r="AM93">
        <v>63.027295285359799</v>
      </c>
      <c r="AO93">
        <v>2.1431578947368419</v>
      </c>
      <c r="AP93">
        <v>61</v>
      </c>
      <c r="AV93">
        <v>20</v>
      </c>
      <c r="AW93">
        <v>25</v>
      </c>
      <c r="AX93">
        <v>0.38</v>
      </c>
      <c r="AY93">
        <v>75.161290322580655</v>
      </c>
      <c r="BB93">
        <v>0.8</v>
      </c>
      <c r="BC93">
        <v>15</v>
      </c>
      <c r="BD93">
        <v>13.919999999999998</v>
      </c>
      <c r="BE93">
        <v>0.45</v>
      </c>
      <c r="BF93">
        <v>63.7</v>
      </c>
      <c r="BH93">
        <v>27</v>
      </c>
      <c r="BI93">
        <v>1.9098593171027438</v>
      </c>
      <c r="BJ93">
        <v>2</v>
      </c>
      <c r="BK93">
        <v>9.4440000000000008</v>
      </c>
      <c r="BL93">
        <v>44.599745870393903</v>
      </c>
      <c r="BS93">
        <v>9</v>
      </c>
      <c r="BT93">
        <v>12</v>
      </c>
      <c r="BU93">
        <v>1.7</v>
      </c>
      <c r="BV93">
        <v>43.916570104287374</v>
      </c>
    </row>
    <row r="94" spans="2:74" x14ac:dyDescent="0.2">
      <c r="B94">
        <v>20</v>
      </c>
      <c r="C94" t="s">
        <v>43</v>
      </c>
      <c r="D94">
        <v>20.3</v>
      </c>
      <c r="E94">
        <v>0.7</v>
      </c>
      <c r="F94" t="s">
        <v>43</v>
      </c>
      <c r="G94" t="s">
        <v>206</v>
      </c>
      <c r="K94">
        <v>15</v>
      </c>
      <c r="L94">
        <v>0.8</v>
      </c>
      <c r="M94">
        <v>84</v>
      </c>
      <c r="N94">
        <v>7.0000000000000007E-2</v>
      </c>
      <c r="O94" t="s">
        <v>43</v>
      </c>
      <c r="P94">
        <v>45.9</v>
      </c>
      <c r="R94">
        <v>0.8</v>
      </c>
      <c r="S94">
        <v>45.9</v>
      </c>
      <c r="Y94">
        <v>20</v>
      </c>
      <c r="Z94">
        <v>70</v>
      </c>
      <c r="AC94">
        <v>26</v>
      </c>
      <c r="AD94">
        <v>47.5</v>
      </c>
      <c r="AF94">
        <v>7.5</v>
      </c>
      <c r="AG94">
        <v>83.60128617363344</v>
      </c>
      <c r="AI94">
        <v>12.3</v>
      </c>
      <c r="AJ94">
        <v>61</v>
      </c>
      <c r="AL94">
        <v>0.89</v>
      </c>
      <c r="AM94">
        <v>70</v>
      </c>
      <c r="AO94">
        <v>2.2000000000000002</v>
      </c>
      <c r="AP94">
        <v>55.300859598853869</v>
      </c>
      <c r="AV94">
        <v>20</v>
      </c>
      <c r="AW94">
        <v>30</v>
      </c>
      <c r="AX94">
        <v>0.43</v>
      </c>
      <c r="AY94">
        <v>70</v>
      </c>
      <c r="BB94">
        <v>0.8</v>
      </c>
      <c r="BC94">
        <v>17</v>
      </c>
      <c r="BD94">
        <v>14</v>
      </c>
      <c r="BE94">
        <v>1.0919999999999999</v>
      </c>
      <c r="BF94">
        <v>72</v>
      </c>
      <c r="BH94">
        <v>27</v>
      </c>
      <c r="BI94">
        <v>3.8197186342054876</v>
      </c>
      <c r="BJ94">
        <v>1</v>
      </c>
      <c r="BK94">
        <v>17.184000000000001</v>
      </c>
      <c r="BL94">
        <v>34.497206703910614</v>
      </c>
      <c r="BS94">
        <v>15</v>
      </c>
      <c r="BT94">
        <v>12</v>
      </c>
      <c r="BU94">
        <v>0.82</v>
      </c>
      <c r="BV94">
        <v>53.2</v>
      </c>
    </row>
    <row r="95" spans="2:74" x14ac:dyDescent="0.2">
      <c r="B95">
        <v>20</v>
      </c>
      <c r="C95" t="s">
        <v>43</v>
      </c>
      <c r="D95">
        <v>20.3</v>
      </c>
      <c r="E95">
        <v>0.7</v>
      </c>
      <c r="F95" t="s">
        <v>43</v>
      </c>
      <c r="G95" t="s">
        <v>206</v>
      </c>
      <c r="K95">
        <v>17</v>
      </c>
      <c r="L95">
        <v>0.8</v>
      </c>
      <c r="M95">
        <v>10</v>
      </c>
      <c r="N95">
        <v>1.5288000000000002</v>
      </c>
      <c r="O95" t="s">
        <v>43</v>
      </c>
      <c r="P95">
        <v>60</v>
      </c>
      <c r="R95">
        <v>0.8</v>
      </c>
      <c r="S95">
        <v>60</v>
      </c>
      <c r="Y95">
        <v>20</v>
      </c>
      <c r="Z95">
        <v>75.238095238095241</v>
      </c>
      <c r="AC95">
        <v>26</v>
      </c>
      <c r="AD95">
        <v>62</v>
      </c>
      <c r="AF95">
        <v>7.5</v>
      </c>
      <c r="AG95">
        <v>88.627935723114959</v>
      </c>
      <c r="AI95">
        <v>12.8</v>
      </c>
      <c r="AJ95">
        <v>55</v>
      </c>
      <c r="AL95">
        <v>0.9</v>
      </c>
      <c r="AM95">
        <v>70</v>
      </c>
      <c r="AO95">
        <v>2.238</v>
      </c>
      <c r="AP95">
        <v>44.029850746268657</v>
      </c>
      <c r="AV95">
        <v>20</v>
      </c>
      <c r="AW95">
        <v>40</v>
      </c>
      <c r="AX95">
        <v>0.3</v>
      </c>
      <c r="AY95">
        <v>75.238095238095241</v>
      </c>
      <c r="BB95">
        <v>0.8</v>
      </c>
      <c r="BC95">
        <v>19</v>
      </c>
      <c r="BD95">
        <v>14</v>
      </c>
      <c r="BE95">
        <v>1.0919999999999999</v>
      </c>
      <c r="BF95">
        <v>73</v>
      </c>
      <c r="BH95">
        <v>27.3</v>
      </c>
      <c r="BI95">
        <v>0.16</v>
      </c>
      <c r="BJ95">
        <v>10</v>
      </c>
      <c r="BK95">
        <v>0.47</v>
      </c>
      <c r="BL95">
        <v>68.341708542713562</v>
      </c>
      <c r="BS95">
        <v>19</v>
      </c>
      <c r="BT95">
        <v>12</v>
      </c>
      <c r="BU95">
        <v>0.48599999999999999</v>
      </c>
      <c r="BV95">
        <v>67</v>
      </c>
    </row>
    <row r="96" spans="2:74" x14ac:dyDescent="0.2">
      <c r="B96">
        <v>20</v>
      </c>
      <c r="C96" t="s">
        <v>43</v>
      </c>
      <c r="D96">
        <v>25</v>
      </c>
      <c r="E96">
        <v>0.38</v>
      </c>
      <c r="F96" t="s">
        <v>43</v>
      </c>
      <c r="G96">
        <v>75.161290322580655</v>
      </c>
      <c r="K96">
        <v>17</v>
      </c>
      <c r="L96">
        <v>0.8</v>
      </c>
      <c r="M96">
        <v>14</v>
      </c>
      <c r="N96">
        <v>1.0919999999999999</v>
      </c>
      <c r="O96" t="s">
        <v>43</v>
      </c>
      <c r="P96">
        <v>72</v>
      </c>
      <c r="R96">
        <v>0.8</v>
      </c>
      <c r="S96">
        <v>72</v>
      </c>
      <c r="Y96">
        <v>20</v>
      </c>
      <c r="Z96">
        <v>88.956397426733375</v>
      </c>
      <c r="AC96">
        <v>26</v>
      </c>
      <c r="AD96">
        <v>86</v>
      </c>
      <c r="AF96">
        <v>7.68</v>
      </c>
      <c r="AG96">
        <v>68.099999999999994</v>
      </c>
      <c r="AI96">
        <v>13</v>
      </c>
      <c r="AJ96">
        <v>67</v>
      </c>
      <c r="AL96">
        <v>0.9</v>
      </c>
      <c r="AM96">
        <v>61.989795918367349</v>
      </c>
      <c r="AO96">
        <v>2.2520000000000002</v>
      </c>
      <c r="AP96">
        <v>67.942583732057415</v>
      </c>
      <c r="AV96">
        <v>20.5</v>
      </c>
      <c r="AW96">
        <v>6</v>
      </c>
      <c r="AX96">
        <v>2.4</v>
      </c>
      <c r="AY96">
        <v>62.2</v>
      </c>
      <c r="BB96">
        <v>0.8</v>
      </c>
      <c r="BC96">
        <v>17</v>
      </c>
      <c r="BD96">
        <v>18</v>
      </c>
      <c r="BE96">
        <v>0.84933333333333338</v>
      </c>
      <c r="BF96">
        <v>74</v>
      </c>
      <c r="BH96">
        <v>27.9</v>
      </c>
      <c r="BI96">
        <v>9.5808383233532954E-2</v>
      </c>
      <c r="BJ96">
        <v>16.7</v>
      </c>
      <c r="BK96">
        <v>0.23</v>
      </c>
      <c r="BL96">
        <v>54.320987654320987</v>
      </c>
      <c r="BS96">
        <v>26</v>
      </c>
      <c r="BT96">
        <v>12</v>
      </c>
      <c r="BU96">
        <v>1.6</v>
      </c>
      <c r="BV96">
        <v>50</v>
      </c>
    </row>
    <row r="97" spans="2:74" x14ac:dyDescent="0.2">
      <c r="B97">
        <v>20</v>
      </c>
      <c r="C97" t="s">
        <v>43</v>
      </c>
      <c r="D97">
        <v>30</v>
      </c>
      <c r="E97">
        <v>0.43</v>
      </c>
      <c r="F97" t="s">
        <v>43</v>
      </c>
      <c r="G97">
        <v>70</v>
      </c>
      <c r="K97">
        <v>17</v>
      </c>
      <c r="L97">
        <v>0.8</v>
      </c>
      <c r="M97">
        <v>18</v>
      </c>
      <c r="N97">
        <v>0.84933333333333338</v>
      </c>
      <c r="O97" t="s">
        <v>43</v>
      </c>
      <c r="P97">
        <v>74</v>
      </c>
      <c r="R97">
        <v>0.8</v>
      </c>
      <c r="S97">
        <v>74</v>
      </c>
      <c r="Y97">
        <v>20.5</v>
      </c>
      <c r="Z97">
        <v>62.2</v>
      </c>
      <c r="AC97">
        <v>27</v>
      </c>
      <c r="AD97">
        <v>17.123287671232877</v>
      </c>
      <c r="AF97">
        <v>7.68</v>
      </c>
      <c r="AG97">
        <v>68.5</v>
      </c>
      <c r="AI97">
        <v>13.6</v>
      </c>
      <c r="AJ97">
        <v>65.012406947890824</v>
      </c>
      <c r="AL97">
        <v>0.90113207547169805</v>
      </c>
      <c r="AM97">
        <v>52</v>
      </c>
      <c r="AO97">
        <v>2.2520000000000002</v>
      </c>
      <c r="AP97">
        <v>68.899521531100476</v>
      </c>
      <c r="AV97">
        <v>20.5</v>
      </c>
      <c r="AW97">
        <v>10.199999999999999</v>
      </c>
      <c r="AX97">
        <v>1.331764705882353</v>
      </c>
      <c r="AY97">
        <v>51.060070671378085</v>
      </c>
      <c r="BB97">
        <v>0.8</v>
      </c>
      <c r="BC97">
        <v>19</v>
      </c>
      <c r="BD97">
        <v>18</v>
      </c>
      <c r="BE97">
        <v>0.84933333333333338</v>
      </c>
      <c r="BF97">
        <v>73</v>
      </c>
      <c r="BH97">
        <v>28</v>
      </c>
      <c r="BI97">
        <v>8.9285714285714288E-2</v>
      </c>
      <c r="BJ97">
        <v>8</v>
      </c>
      <c r="BK97">
        <v>0.65</v>
      </c>
      <c r="BL97">
        <v>72</v>
      </c>
      <c r="BS97">
        <v>20</v>
      </c>
      <c r="BT97">
        <v>12.3</v>
      </c>
      <c r="BU97">
        <v>0.43</v>
      </c>
      <c r="BV97">
        <v>45.662100456621005</v>
      </c>
    </row>
    <row r="98" spans="2:74" x14ac:dyDescent="0.2">
      <c r="B98">
        <v>20</v>
      </c>
      <c r="C98" t="s">
        <v>43</v>
      </c>
      <c r="D98">
        <v>40</v>
      </c>
      <c r="E98">
        <v>0.3</v>
      </c>
      <c r="F98" t="s">
        <v>43</v>
      </c>
      <c r="G98">
        <v>75.238095238095241</v>
      </c>
      <c r="K98">
        <v>19</v>
      </c>
      <c r="L98">
        <v>0.8</v>
      </c>
      <c r="M98">
        <v>6</v>
      </c>
      <c r="N98">
        <v>2.548</v>
      </c>
      <c r="O98" t="s">
        <v>43</v>
      </c>
      <c r="P98">
        <v>61</v>
      </c>
      <c r="R98">
        <v>0.8</v>
      </c>
      <c r="S98">
        <v>61</v>
      </c>
      <c r="Y98">
        <v>20.5</v>
      </c>
      <c r="Z98">
        <v>51.060070671378085</v>
      </c>
      <c r="AC98">
        <v>27</v>
      </c>
      <c r="AD98">
        <v>40.495867768595041</v>
      </c>
      <c r="AF98">
        <v>7.68</v>
      </c>
      <c r="AG98">
        <v>79.3</v>
      </c>
      <c r="AI98">
        <v>13.6</v>
      </c>
      <c r="AJ98">
        <v>71</v>
      </c>
      <c r="AL98">
        <v>0.92</v>
      </c>
      <c r="AM98">
        <v>54.700854700854705</v>
      </c>
      <c r="AO98">
        <v>2.2520000000000002</v>
      </c>
      <c r="AP98">
        <v>74.401913875598098</v>
      </c>
      <c r="AV98">
        <v>20.5</v>
      </c>
      <c r="AW98">
        <v>10.9</v>
      </c>
      <c r="AX98">
        <v>1.664587155963303</v>
      </c>
      <c r="AY98">
        <v>40.476190476190474</v>
      </c>
      <c r="BB98">
        <v>0.8</v>
      </c>
      <c r="BC98">
        <v>15</v>
      </c>
      <c r="BD98">
        <v>19.919999999999998</v>
      </c>
      <c r="BE98">
        <v>0.38</v>
      </c>
      <c r="BF98">
        <v>68.8</v>
      </c>
      <c r="BH98">
        <v>28</v>
      </c>
      <c r="BI98">
        <v>8.9285714285714288E-2</v>
      </c>
      <c r="BJ98">
        <v>8</v>
      </c>
      <c r="BK98">
        <v>0.65</v>
      </c>
      <c r="BL98">
        <v>84</v>
      </c>
      <c r="BS98">
        <v>13</v>
      </c>
      <c r="BT98">
        <v>12.5</v>
      </c>
      <c r="BU98">
        <v>0.43</v>
      </c>
      <c r="BV98">
        <v>57</v>
      </c>
    </row>
    <row r="99" spans="2:74" x14ac:dyDescent="0.2">
      <c r="B99">
        <v>20</v>
      </c>
      <c r="C99">
        <v>0.18</v>
      </c>
      <c r="F99">
        <v>58</v>
      </c>
      <c r="G99">
        <v>88.956397426733375</v>
      </c>
      <c r="K99">
        <v>19</v>
      </c>
      <c r="L99">
        <v>0.8</v>
      </c>
      <c r="M99">
        <v>8</v>
      </c>
      <c r="N99">
        <v>1.911</v>
      </c>
      <c r="O99" t="s">
        <v>43</v>
      </c>
      <c r="P99">
        <v>65</v>
      </c>
      <c r="R99">
        <v>0.8</v>
      </c>
      <c r="S99">
        <v>65</v>
      </c>
      <c r="Y99">
        <v>20.5</v>
      </c>
      <c r="Z99">
        <v>40.476190476190474</v>
      </c>
      <c r="AC99">
        <v>27</v>
      </c>
      <c r="AD99">
        <v>45</v>
      </c>
      <c r="AF99">
        <v>7.7</v>
      </c>
      <c r="AG99">
        <v>26.642335766423358</v>
      </c>
      <c r="AI99">
        <v>13.7</v>
      </c>
      <c r="AJ99">
        <v>88.965517241379317</v>
      </c>
      <c r="AL99">
        <v>0.92</v>
      </c>
      <c r="AM99">
        <v>58.677685950413228</v>
      </c>
      <c r="AO99">
        <v>2.2759999999999998</v>
      </c>
      <c r="AP99">
        <v>62</v>
      </c>
      <c r="AV99">
        <v>20.5</v>
      </c>
      <c r="AW99">
        <v>14.3</v>
      </c>
      <c r="AX99">
        <v>1.1563636363636363</v>
      </c>
      <c r="AY99">
        <v>41.509433962264154</v>
      </c>
      <c r="BB99">
        <v>0.8</v>
      </c>
      <c r="BC99">
        <v>15</v>
      </c>
      <c r="BD99">
        <v>24</v>
      </c>
      <c r="BE99">
        <v>0.41</v>
      </c>
      <c r="BF99">
        <v>82.5</v>
      </c>
      <c r="BH99">
        <v>28.1</v>
      </c>
      <c r="BI99">
        <v>6.4000000000000001E-2</v>
      </c>
      <c r="BJ99">
        <v>25</v>
      </c>
      <c r="BK99">
        <v>0.18</v>
      </c>
      <c r="BL99">
        <v>59.574468085106382</v>
      </c>
      <c r="BS99">
        <v>14.7</v>
      </c>
      <c r="BT99">
        <v>12.8</v>
      </c>
      <c r="BU99">
        <v>0.27</v>
      </c>
      <c r="BV99">
        <v>39.726027397260275</v>
      </c>
    </row>
    <row r="100" spans="2:74" x14ac:dyDescent="0.2">
      <c r="B100">
        <f>AVERAGE(9,32)</f>
        <v>20.5</v>
      </c>
      <c r="C100" t="s">
        <v>43</v>
      </c>
      <c r="D100">
        <v>6</v>
      </c>
      <c r="E100">
        <v>2.4</v>
      </c>
      <c r="F100" t="s">
        <v>43</v>
      </c>
      <c r="G100">
        <v>62.2</v>
      </c>
      <c r="K100">
        <v>19</v>
      </c>
      <c r="L100">
        <v>0.8</v>
      </c>
      <c r="M100">
        <v>10</v>
      </c>
      <c r="N100">
        <v>1.5288000000000002</v>
      </c>
      <c r="O100" t="s">
        <v>43</v>
      </c>
      <c r="P100">
        <v>64</v>
      </c>
      <c r="R100">
        <v>0.8</v>
      </c>
      <c r="S100">
        <v>64</v>
      </c>
      <c r="Y100">
        <v>20.5</v>
      </c>
      <c r="Z100">
        <v>41.509433962264154</v>
      </c>
      <c r="AC100">
        <v>27</v>
      </c>
      <c r="AD100">
        <v>49.440715883668908</v>
      </c>
      <c r="AF100">
        <v>7.7</v>
      </c>
      <c r="AG100">
        <v>58.943089430894311</v>
      </c>
      <c r="AI100">
        <v>14.3</v>
      </c>
      <c r="AJ100">
        <v>39.83050847457627</v>
      </c>
      <c r="AL100">
        <v>0.96179999999999999</v>
      </c>
      <c r="AM100">
        <v>79.7</v>
      </c>
      <c r="AO100">
        <v>2.4000000000000004</v>
      </c>
      <c r="AP100">
        <v>47.266881028938904</v>
      </c>
      <c r="AV100">
        <v>21</v>
      </c>
      <c r="AW100">
        <v>5.0999999999999996</v>
      </c>
      <c r="AX100">
        <v>1.4447058823529413</v>
      </c>
      <c r="AY100">
        <v>61.88925081433225</v>
      </c>
      <c r="BB100">
        <v>0.8</v>
      </c>
      <c r="BC100">
        <v>19</v>
      </c>
      <c r="BD100">
        <v>24</v>
      </c>
      <c r="BE100">
        <v>0.63700000000000001</v>
      </c>
      <c r="BF100">
        <v>64</v>
      </c>
      <c r="BH100">
        <v>30</v>
      </c>
      <c r="BI100">
        <v>0.17857142857142858</v>
      </c>
      <c r="BJ100">
        <v>4</v>
      </c>
      <c r="BK100">
        <v>1.1000000000000001</v>
      </c>
      <c r="BL100">
        <v>67</v>
      </c>
      <c r="BS100">
        <v>25</v>
      </c>
      <c r="BT100">
        <v>13</v>
      </c>
      <c r="BU100">
        <v>1.3956923076923078</v>
      </c>
      <c r="BV100">
        <v>66</v>
      </c>
    </row>
    <row r="101" spans="2:74" x14ac:dyDescent="0.2">
      <c r="B101">
        <f>AVERAGE(18,23)</f>
        <v>20.5</v>
      </c>
      <c r="C101">
        <v>0.6166666666666667</v>
      </c>
      <c r="D101">
        <v>10.199999999999999</v>
      </c>
      <c r="E101">
        <v>1.331764705882353</v>
      </c>
      <c r="F101">
        <v>53.284671532846716</v>
      </c>
      <c r="G101">
        <v>51.060070671378085</v>
      </c>
      <c r="K101">
        <v>19</v>
      </c>
      <c r="L101">
        <v>0.8</v>
      </c>
      <c r="M101">
        <v>14</v>
      </c>
      <c r="N101">
        <v>1.0919999999999999</v>
      </c>
      <c r="O101" t="s">
        <v>43</v>
      </c>
      <c r="P101">
        <v>73</v>
      </c>
      <c r="R101">
        <v>0.8</v>
      </c>
      <c r="S101">
        <v>73</v>
      </c>
      <c r="Y101">
        <v>21</v>
      </c>
      <c r="Z101">
        <v>61.88925081433225</v>
      </c>
      <c r="AC101">
        <v>27</v>
      </c>
      <c r="AD101">
        <v>51.201011378002526</v>
      </c>
      <c r="AF101">
        <v>7.8</v>
      </c>
      <c r="AG101">
        <v>58</v>
      </c>
      <c r="AI101">
        <v>14.5</v>
      </c>
      <c r="AJ101">
        <v>67</v>
      </c>
      <c r="AL101">
        <v>0.96484848484848473</v>
      </c>
      <c r="AM101">
        <v>65</v>
      </c>
      <c r="AO101">
        <v>2.4000000000000004</v>
      </c>
      <c r="AP101">
        <v>49.517684887459808</v>
      </c>
      <c r="AV101">
        <v>21</v>
      </c>
      <c r="AW101">
        <v>6</v>
      </c>
      <c r="AX101">
        <v>0.97199999999999998</v>
      </c>
      <c r="AY101">
        <v>31</v>
      </c>
      <c r="BB101">
        <v>0.8</v>
      </c>
      <c r="BC101">
        <v>19</v>
      </c>
      <c r="BD101">
        <v>36</v>
      </c>
      <c r="BE101">
        <v>0.42466666666666669</v>
      </c>
      <c r="BF101">
        <v>68</v>
      </c>
      <c r="BH101">
        <v>30</v>
      </c>
      <c r="BI101">
        <v>0.17857142857142858</v>
      </c>
      <c r="BJ101">
        <v>4</v>
      </c>
      <c r="BK101">
        <v>1.1000000000000001</v>
      </c>
      <c r="BL101">
        <v>83.5</v>
      </c>
      <c r="BS101">
        <v>12.7</v>
      </c>
      <c r="BT101">
        <v>13.6</v>
      </c>
      <c r="BU101">
        <v>0.71</v>
      </c>
      <c r="BV101">
        <v>40.25</v>
      </c>
    </row>
    <row r="102" spans="2:74" x14ac:dyDescent="0.2">
      <c r="B102">
        <f>AVERAGE(18,23)</f>
        <v>20.5</v>
      </c>
      <c r="C102">
        <v>0.55833333333333335</v>
      </c>
      <c r="D102">
        <v>10.9</v>
      </c>
      <c r="E102">
        <v>1.664587155963303</v>
      </c>
      <c r="F102">
        <v>59.556786703601105</v>
      </c>
      <c r="G102">
        <v>40.476190476190474</v>
      </c>
      <c r="K102">
        <v>19</v>
      </c>
      <c r="L102">
        <v>0.8</v>
      </c>
      <c r="M102">
        <v>18</v>
      </c>
      <c r="N102">
        <v>0.84933333333333338</v>
      </c>
      <c r="O102" t="s">
        <v>43</v>
      </c>
      <c r="P102">
        <v>73</v>
      </c>
      <c r="R102">
        <v>0.8</v>
      </c>
      <c r="S102">
        <v>73</v>
      </c>
      <c r="Y102">
        <v>21</v>
      </c>
      <c r="Z102">
        <v>31</v>
      </c>
      <c r="AC102">
        <v>27</v>
      </c>
      <c r="AD102">
        <v>56.748466257668717</v>
      </c>
      <c r="AF102">
        <v>7.9</v>
      </c>
      <c r="AG102">
        <v>53</v>
      </c>
      <c r="AI102">
        <v>16</v>
      </c>
      <c r="AJ102">
        <v>76</v>
      </c>
      <c r="AL102">
        <v>0.9701052631578948</v>
      </c>
      <c r="AM102">
        <v>46.354166666666671</v>
      </c>
      <c r="AO102">
        <v>2.4359999999999999</v>
      </c>
      <c r="AP102">
        <v>68.586387434554979</v>
      </c>
      <c r="AV102">
        <v>21</v>
      </c>
      <c r="AW102">
        <v>6</v>
      </c>
      <c r="AX102">
        <v>2.2759999999999998</v>
      </c>
      <c r="AY102">
        <v>71</v>
      </c>
      <c r="BB102">
        <v>0.8</v>
      </c>
      <c r="BC102">
        <v>15</v>
      </c>
      <c r="BD102">
        <v>42</v>
      </c>
      <c r="BE102">
        <v>0.15</v>
      </c>
      <c r="BF102">
        <v>50.1</v>
      </c>
      <c r="BH102">
        <v>30</v>
      </c>
      <c r="BI102">
        <v>0.52</v>
      </c>
      <c r="BJ102">
        <v>9.6999999999999993</v>
      </c>
      <c r="BK102">
        <v>1.3929896907216497</v>
      </c>
      <c r="BL102">
        <v>64.120781527531079</v>
      </c>
      <c r="BS102">
        <v>24.3</v>
      </c>
      <c r="BT102">
        <v>13.6</v>
      </c>
      <c r="BU102">
        <v>1.54</v>
      </c>
      <c r="BV102">
        <v>71.085714285714289</v>
      </c>
    </row>
    <row r="103" spans="2:74" x14ac:dyDescent="0.2">
      <c r="B103">
        <f>AVERAGE(18,23)</f>
        <v>20.5</v>
      </c>
      <c r="C103">
        <v>0.52083333333333337</v>
      </c>
      <c r="D103">
        <v>14.3</v>
      </c>
      <c r="E103">
        <v>1.1563636363636363</v>
      </c>
      <c r="F103">
        <v>39.83050847457627</v>
      </c>
      <c r="G103">
        <v>41.509433962264154</v>
      </c>
      <c r="K103">
        <v>19</v>
      </c>
      <c r="L103">
        <v>0.8</v>
      </c>
      <c r="M103">
        <v>24</v>
      </c>
      <c r="N103">
        <v>0.63700000000000001</v>
      </c>
      <c r="O103" t="s">
        <v>43</v>
      </c>
      <c r="P103">
        <v>64</v>
      </c>
      <c r="R103">
        <v>0.8</v>
      </c>
      <c r="S103">
        <v>64</v>
      </c>
      <c r="Y103">
        <v>21</v>
      </c>
      <c r="Z103">
        <v>71</v>
      </c>
      <c r="AC103">
        <v>27</v>
      </c>
      <c r="AD103">
        <v>61.589403973509938</v>
      </c>
      <c r="AF103">
        <v>8</v>
      </c>
      <c r="AG103">
        <v>33.14037626628074</v>
      </c>
      <c r="AI103">
        <v>16</v>
      </c>
      <c r="AJ103">
        <v>79</v>
      </c>
      <c r="AL103">
        <v>0.97199999999999998</v>
      </c>
      <c r="AM103">
        <v>31</v>
      </c>
      <c r="AO103">
        <v>2.474181818181818</v>
      </c>
      <c r="AP103">
        <v>42.214532871972317</v>
      </c>
      <c r="AV103">
        <v>21</v>
      </c>
      <c r="AW103">
        <v>8.8000000000000007</v>
      </c>
      <c r="AX103">
        <v>1.1099999999999997</v>
      </c>
      <c r="AY103">
        <v>65.110565110565105</v>
      </c>
      <c r="BB103">
        <v>0.8</v>
      </c>
      <c r="BC103">
        <v>15</v>
      </c>
      <c r="BD103">
        <v>42</v>
      </c>
      <c r="BE103">
        <v>0.36</v>
      </c>
      <c r="BF103">
        <v>82.5</v>
      </c>
      <c r="BH103">
        <v>30</v>
      </c>
      <c r="BI103">
        <v>0.52</v>
      </c>
      <c r="BJ103">
        <v>32</v>
      </c>
      <c r="BK103">
        <v>1.52</v>
      </c>
      <c r="BL103">
        <v>61.629881154499152</v>
      </c>
      <c r="BS103">
        <v>25.5</v>
      </c>
      <c r="BT103">
        <v>13.7</v>
      </c>
      <c r="BU103">
        <v>0.26</v>
      </c>
      <c r="BV103">
        <v>54.635761589403977</v>
      </c>
    </row>
    <row r="104" spans="2:74" x14ac:dyDescent="0.2">
      <c r="B104">
        <v>21</v>
      </c>
      <c r="D104">
        <v>5.0999999999999996</v>
      </c>
      <c r="E104">
        <v>1.4447058823529413</v>
      </c>
      <c r="F104">
        <v>67.114093959731548</v>
      </c>
      <c r="G104">
        <v>61.88925081433225</v>
      </c>
      <c r="K104">
        <v>19</v>
      </c>
      <c r="L104">
        <v>0.8</v>
      </c>
      <c r="M104">
        <v>36</v>
      </c>
      <c r="N104">
        <v>0.42466666666666669</v>
      </c>
      <c r="O104" t="s">
        <v>43</v>
      </c>
      <c r="P104">
        <v>68</v>
      </c>
      <c r="R104">
        <v>0.8</v>
      </c>
      <c r="S104">
        <v>68</v>
      </c>
      <c r="Y104">
        <v>21</v>
      </c>
      <c r="Z104">
        <v>65.110565110565105</v>
      </c>
      <c r="AC104">
        <v>27</v>
      </c>
      <c r="AD104">
        <v>66.834170854271363</v>
      </c>
      <c r="AF104">
        <v>8</v>
      </c>
      <c r="AG104">
        <v>35.311143270622274</v>
      </c>
      <c r="AI104">
        <v>16.7</v>
      </c>
      <c r="AJ104">
        <v>85.492957746478879</v>
      </c>
      <c r="AL104">
        <v>0.99463917525773216</v>
      </c>
      <c r="AM104">
        <v>64</v>
      </c>
      <c r="AO104">
        <v>2.474181818181818</v>
      </c>
      <c r="AP104">
        <v>43.944636678200695</v>
      </c>
      <c r="AV104">
        <v>22</v>
      </c>
      <c r="AW104">
        <v>4</v>
      </c>
      <c r="AX104">
        <v>4</v>
      </c>
      <c r="AY104">
        <v>15</v>
      </c>
      <c r="BB104">
        <v>0.8</v>
      </c>
      <c r="BC104">
        <v>15</v>
      </c>
      <c r="BD104">
        <v>84</v>
      </c>
      <c r="BE104">
        <v>7.0000000000000007E-2</v>
      </c>
      <c r="BF104">
        <v>45.9</v>
      </c>
      <c r="BH104">
        <v>31</v>
      </c>
      <c r="BI104">
        <v>0.53</v>
      </c>
      <c r="BJ104">
        <v>9.4</v>
      </c>
      <c r="BK104">
        <v>1.4017021276595745</v>
      </c>
      <c r="BL104">
        <v>75.045537340619305</v>
      </c>
      <c r="BS104">
        <v>15</v>
      </c>
      <c r="BT104">
        <v>13.919999999999998</v>
      </c>
      <c r="BU104">
        <v>0.45</v>
      </c>
      <c r="BV104">
        <v>63.7</v>
      </c>
    </row>
    <row r="105" spans="2:74" x14ac:dyDescent="0.2">
      <c r="B105">
        <v>21</v>
      </c>
      <c r="C105">
        <v>0.16666666666666666</v>
      </c>
      <c r="D105">
        <v>6</v>
      </c>
      <c r="E105">
        <v>0.97199999999999998</v>
      </c>
      <c r="F105">
        <v>33</v>
      </c>
      <c r="G105">
        <v>31</v>
      </c>
      <c r="K105">
        <v>27</v>
      </c>
      <c r="L105">
        <v>0.95492965855137191</v>
      </c>
      <c r="M105">
        <v>4</v>
      </c>
      <c r="N105">
        <v>4.62</v>
      </c>
      <c r="O105" t="s">
        <v>43</v>
      </c>
      <c r="P105">
        <v>45.97402597402597</v>
      </c>
      <c r="R105">
        <v>0.95492965855137191</v>
      </c>
      <c r="S105">
        <v>45.97402597402597</v>
      </c>
      <c r="Y105">
        <v>22</v>
      </c>
      <c r="Z105">
        <v>15</v>
      </c>
      <c r="AC105">
        <v>27</v>
      </c>
      <c r="AD105">
        <v>70.466321243523311</v>
      </c>
      <c r="AF105">
        <v>8</v>
      </c>
      <c r="AG105">
        <v>48.113207547169814</v>
      </c>
      <c r="AI105">
        <v>18</v>
      </c>
      <c r="AJ105">
        <v>66.268656716417908</v>
      </c>
      <c r="AL105">
        <v>0.9987096774193549</v>
      </c>
      <c r="AM105">
        <v>60.077519379844958</v>
      </c>
      <c r="AO105">
        <v>2.544</v>
      </c>
      <c r="AP105">
        <v>69.148936170212778</v>
      </c>
      <c r="AV105">
        <v>22</v>
      </c>
      <c r="AW105">
        <v>4.7</v>
      </c>
      <c r="AX105">
        <v>1.5931914893617023</v>
      </c>
      <c r="AY105">
        <v>70</v>
      </c>
      <c r="BB105">
        <v>0.95492965855137191</v>
      </c>
      <c r="BC105">
        <v>27</v>
      </c>
      <c r="BD105">
        <v>4</v>
      </c>
      <c r="BE105">
        <v>4.62</v>
      </c>
      <c r="BF105">
        <v>45.97402597402597</v>
      </c>
      <c r="BH105">
        <v>31</v>
      </c>
      <c r="BI105">
        <v>0.56999999999999995</v>
      </c>
      <c r="BJ105">
        <v>8.8000000000000007</v>
      </c>
      <c r="BK105">
        <v>0.79090909090909089</v>
      </c>
      <c r="BL105">
        <v>56.896551724137936</v>
      </c>
      <c r="BS105">
        <v>17</v>
      </c>
      <c r="BT105">
        <v>14</v>
      </c>
      <c r="BU105">
        <v>1.0919999999999999</v>
      </c>
      <c r="BV105">
        <v>72</v>
      </c>
    </row>
    <row r="106" spans="2:74" x14ac:dyDescent="0.2">
      <c r="B106">
        <v>21</v>
      </c>
      <c r="C106" t="s">
        <v>43</v>
      </c>
      <c r="D106">
        <v>6</v>
      </c>
      <c r="E106">
        <v>2.2759999999999998</v>
      </c>
      <c r="F106">
        <v>62</v>
      </c>
      <c r="G106">
        <v>71</v>
      </c>
      <c r="K106">
        <f>AVERAGE(16,23)</f>
        <v>19.5</v>
      </c>
      <c r="L106">
        <v>1.25</v>
      </c>
      <c r="M106">
        <v>7</v>
      </c>
      <c r="N106">
        <v>1.3782857142857143</v>
      </c>
      <c r="O106">
        <v>87</v>
      </c>
      <c r="P106">
        <v>72</v>
      </c>
      <c r="R106">
        <v>1.25</v>
      </c>
      <c r="S106">
        <v>72</v>
      </c>
      <c r="Y106">
        <v>22</v>
      </c>
      <c r="Z106">
        <v>70</v>
      </c>
      <c r="AC106">
        <v>27.3</v>
      </c>
      <c r="AD106">
        <v>65.217391304347828</v>
      </c>
      <c r="AF106">
        <v>8</v>
      </c>
      <c r="AG106">
        <v>59</v>
      </c>
      <c r="AI106">
        <v>21.6</v>
      </c>
      <c r="AJ106">
        <v>83</v>
      </c>
      <c r="AL106">
        <v>1</v>
      </c>
      <c r="AM106">
        <v>56.8</v>
      </c>
      <c r="AO106">
        <v>2.5888</v>
      </c>
      <c r="AP106">
        <v>97.398843930635834</v>
      </c>
      <c r="AV106">
        <v>22</v>
      </c>
      <c r="AW106">
        <v>5</v>
      </c>
      <c r="AX106">
        <v>1.8863999999999999</v>
      </c>
      <c r="AY106">
        <v>28.753180661577609</v>
      </c>
      <c r="BB106">
        <v>1.25</v>
      </c>
      <c r="BC106">
        <v>19.5</v>
      </c>
      <c r="BD106">
        <v>7</v>
      </c>
      <c r="BE106">
        <v>1.3782857142857143</v>
      </c>
      <c r="BF106">
        <v>72</v>
      </c>
      <c r="BH106">
        <v>31.5</v>
      </c>
      <c r="BI106">
        <v>4.7761194029850747E-2</v>
      </c>
      <c r="BJ106">
        <v>33.5</v>
      </c>
      <c r="BK106">
        <v>0.13</v>
      </c>
      <c r="BL106">
        <v>54.748603351955303</v>
      </c>
      <c r="BS106">
        <v>19</v>
      </c>
      <c r="BT106">
        <v>14</v>
      </c>
      <c r="BU106">
        <v>1.0919999999999999</v>
      </c>
      <c r="BV106">
        <v>73</v>
      </c>
    </row>
    <row r="107" spans="2:74" x14ac:dyDescent="0.2">
      <c r="B107">
        <v>21</v>
      </c>
      <c r="D107">
        <v>8.8000000000000007</v>
      </c>
      <c r="E107">
        <v>1.1099999999999997</v>
      </c>
      <c r="F107">
        <v>74.871794871794876</v>
      </c>
      <c r="G107">
        <v>65.110565110565105</v>
      </c>
      <c r="K107">
        <v>27</v>
      </c>
      <c r="L107">
        <v>1.9098593171027438</v>
      </c>
      <c r="M107">
        <v>2</v>
      </c>
      <c r="N107">
        <v>9.4440000000000008</v>
      </c>
      <c r="O107" t="s">
        <v>43</v>
      </c>
      <c r="P107">
        <v>44.599745870393903</v>
      </c>
      <c r="R107">
        <v>1.9098593171027438</v>
      </c>
      <c r="S107">
        <v>44.599745870393903</v>
      </c>
      <c r="Y107">
        <v>22</v>
      </c>
      <c r="Z107">
        <v>39</v>
      </c>
      <c r="AC107">
        <v>27.4</v>
      </c>
      <c r="AD107">
        <v>88.020833333333343</v>
      </c>
      <c r="AF107">
        <v>8</v>
      </c>
      <c r="AG107">
        <v>61</v>
      </c>
      <c r="AI107">
        <v>24</v>
      </c>
      <c r="AJ107">
        <v>73</v>
      </c>
      <c r="AL107">
        <v>1</v>
      </c>
      <c r="AM107">
        <v>53</v>
      </c>
      <c r="AO107">
        <v>2.6</v>
      </c>
      <c r="AP107">
        <v>34</v>
      </c>
      <c r="AV107">
        <v>22</v>
      </c>
      <c r="AW107">
        <v>5</v>
      </c>
      <c r="AX107">
        <v>3</v>
      </c>
      <c r="AY107">
        <v>39</v>
      </c>
      <c r="BB107">
        <v>1.9098593171027438</v>
      </c>
      <c r="BC107">
        <v>27</v>
      </c>
      <c r="BD107">
        <v>2</v>
      </c>
      <c r="BE107">
        <v>9.4440000000000008</v>
      </c>
      <c r="BF107">
        <v>44.599745870393903</v>
      </c>
      <c r="BH107">
        <v>34</v>
      </c>
      <c r="BI107">
        <v>4.2440318302387273E-2</v>
      </c>
      <c r="BJ107">
        <v>37.700000000000003</v>
      </c>
      <c r="BK107">
        <v>0.11</v>
      </c>
      <c r="BL107">
        <v>54.395604395604394</v>
      </c>
      <c r="BS107">
        <v>20.5</v>
      </c>
      <c r="BT107">
        <v>14.3</v>
      </c>
      <c r="BU107">
        <v>1.1563636363636363</v>
      </c>
      <c r="BV107">
        <v>41.509433962264154</v>
      </c>
    </row>
    <row r="108" spans="2:74" x14ac:dyDescent="0.2">
      <c r="B108">
        <v>22</v>
      </c>
      <c r="D108">
        <v>4</v>
      </c>
      <c r="E108">
        <v>4</v>
      </c>
      <c r="F108">
        <v>20</v>
      </c>
      <c r="G108">
        <v>15</v>
      </c>
      <c r="K108">
        <v>27</v>
      </c>
      <c r="L108">
        <v>3.8197186342054876</v>
      </c>
      <c r="M108">
        <v>1</v>
      </c>
      <c r="N108">
        <v>17.184000000000001</v>
      </c>
      <c r="O108" t="s">
        <v>43</v>
      </c>
      <c r="P108">
        <v>34.497206703910614</v>
      </c>
      <c r="R108">
        <v>3.8197186342054876</v>
      </c>
      <c r="S108">
        <v>34.497206703910614</v>
      </c>
      <c r="Y108">
        <v>22</v>
      </c>
      <c r="Z108">
        <v>28.753180661577609</v>
      </c>
      <c r="AC108">
        <v>27.4</v>
      </c>
      <c r="AD108">
        <v>91.545189504373184</v>
      </c>
      <c r="AF108">
        <v>8</v>
      </c>
      <c r="AG108">
        <v>61</v>
      </c>
      <c r="AI108">
        <v>24</v>
      </c>
      <c r="AJ108">
        <v>86</v>
      </c>
      <c r="AL108">
        <v>1</v>
      </c>
      <c r="AM108">
        <v>61</v>
      </c>
      <c r="AO108">
        <v>2.6305882352941179</v>
      </c>
      <c r="AP108">
        <v>39</v>
      </c>
      <c r="AV108">
        <v>22</v>
      </c>
      <c r="AW108">
        <v>7</v>
      </c>
      <c r="AX108">
        <v>1.2822857142857143</v>
      </c>
      <c r="AY108">
        <v>59.358288770053477</v>
      </c>
      <c r="BB108">
        <v>3.8197186342054876</v>
      </c>
      <c r="BC108">
        <v>27</v>
      </c>
      <c r="BD108">
        <v>1</v>
      </c>
      <c r="BE108">
        <v>17.184000000000001</v>
      </c>
      <c r="BF108">
        <v>34.497206703910614</v>
      </c>
      <c r="BH108">
        <v>35</v>
      </c>
      <c r="BI108">
        <v>0.7</v>
      </c>
      <c r="BJ108">
        <v>4</v>
      </c>
      <c r="BK108">
        <v>2.0460000000000003</v>
      </c>
      <c r="BL108">
        <v>65.102639296187675</v>
      </c>
      <c r="BS108">
        <v>13.7</v>
      </c>
      <c r="BT108">
        <v>14.5</v>
      </c>
      <c r="BU108">
        <v>0.56999999999999995</v>
      </c>
      <c r="BV108">
        <v>44.508670520231213</v>
      </c>
    </row>
    <row r="109" spans="2:74" x14ac:dyDescent="0.2">
      <c r="B109">
        <v>22</v>
      </c>
      <c r="C109" t="s">
        <v>43</v>
      </c>
      <c r="D109">
        <v>4.7</v>
      </c>
      <c r="E109">
        <v>1.5931914893617023</v>
      </c>
      <c r="F109" t="s">
        <v>43</v>
      </c>
      <c r="G109">
        <v>70</v>
      </c>
      <c r="Y109">
        <v>22</v>
      </c>
      <c r="Z109">
        <v>59.358288770053477</v>
      </c>
      <c r="AC109">
        <v>27.4</v>
      </c>
      <c r="AD109">
        <v>97.398843930635834</v>
      </c>
      <c r="AF109">
        <v>8</v>
      </c>
      <c r="AG109">
        <v>65</v>
      </c>
      <c r="AI109">
        <v>25</v>
      </c>
      <c r="AJ109">
        <v>55</v>
      </c>
      <c r="AL109">
        <v>1</v>
      </c>
      <c r="AM109">
        <v>73</v>
      </c>
      <c r="AO109">
        <v>2.7379591836734689</v>
      </c>
      <c r="AP109">
        <v>35</v>
      </c>
      <c r="AV109">
        <v>22</v>
      </c>
      <c r="AW109">
        <v>7.2</v>
      </c>
      <c r="AX109">
        <v>1.5300000000000002</v>
      </c>
      <c r="AY109">
        <v>55.119825708061001</v>
      </c>
      <c r="BS109">
        <v>19</v>
      </c>
      <c r="BT109">
        <v>14.5</v>
      </c>
      <c r="BU109">
        <v>0.66206896551724137</v>
      </c>
      <c r="BV109">
        <v>64.5</v>
      </c>
    </row>
    <row r="110" spans="2:74" x14ac:dyDescent="0.2">
      <c r="B110">
        <v>22</v>
      </c>
      <c r="D110">
        <v>5</v>
      </c>
      <c r="E110">
        <v>3</v>
      </c>
      <c r="F110">
        <v>35</v>
      </c>
      <c r="G110">
        <v>39</v>
      </c>
      <c r="L110">
        <f>PEARSON(K3:K108,L3:L108)</f>
        <v>-0.12475031136323553</v>
      </c>
      <c r="S110">
        <f>PEARSON(R3:R108,S3:S108)</f>
        <v>-0.11461366189560196</v>
      </c>
      <c r="Y110">
        <v>22</v>
      </c>
      <c r="Z110">
        <v>55.119825708061001</v>
      </c>
      <c r="AC110">
        <v>27.9</v>
      </c>
      <c r="AD110">
        <v>85.492957746478879</v>
      </c>
      <c r="AF110">
        <v>8</v>
      </c>
      <c r="AG110">
        <v>65</v>
      </c>
      <c r="AI110">
        <v>25</v>
      </c>
      <c r="AJ110">
        <v>60</v>
      </c>
      <c r="AL110">
        <v>1.026</v>
      </c>
      <c r="AM110">
        <v>66</v>
      </c>
      <c r="AO110">
        <v>2.9960000000000004</v>
      </c>
      <c r="AP110">
        <v>84.73684210526315</v>
      </c>
      <c r="AV110">
        <v>22</v>
      </c>
      <c r="AW110">
        <v>10.327272727272726</v>
      </c>
      <c r="AX110">
        <v>0.8668309859154929</v>
      </c>
      <c r="AY110">
        <v>57</v>
      </c>
      <c r="BC110">
        <f>PEARSON($BB$3:$BB$108,BC3:BC108)</f>
        <v>-0.13100407207692283</v>
      </c>
      <c r="BD110">
        <f>PEARSON($BB$3:$BB$108,BD3:BD108)</f>
        <v>-0.24687567978309363</v>
      </c>
      <c r="BE110">
        <f>PEARSON($BB$3:$BB$108,BE3:BE108)</f>
        <v>0.71584445460582335</v>
      </c>
      <c r="BF110">
        <f>PEARSON($BB$3:$BB$108,BF3:BF108)</f>
        <v>-0.10399126765910009</v>
      </c>
      <c r="BH110">
        <f>PEARSON($BB$3:$BB$108,BH3:BH108)</f>
        <v>0.78032828311341573</v>
      </c>
      <c r="BJ110">
        <f>PEARSON($BB$3:$BB$108,BJ3:BJ108)</f>
        <v>-0.16099460988655823</v>
      </c>
      <c r="BK110">
        <f>PEARSON($BB$3:$BB$108,BK3:BK108)</f>
        <v>0.10471730278715724</v>
      </c>
      <c r="BL110">
        <f>PEARSON($BB$3:$BB$108,BL3:BL108)</f>
        <v>-1.6637017008646816E-2</v>
      </c>
      <c r="BS110">
        <v>13</v>
      </c>
      <c r="BT110">
        <v>15.6</v>
      </c>
      <c r="BU110">
        <v>0.33</v>
      </c>
      <c r="BV110">
        <v>59</v>
      </c>
    </row>
    <row r="111" spans="2:74" x14ac:dyDescent="0.2">
      <c r="B111">
        <v>22</v>
      </c>
      <c r="D111">
        <v>5</v>
      </c>
      <c r="E111">
        <v>1.8863999999999999</v>
      </c>
      <c r="F111">
        <v>62.318840579710141</v>
      </c>
      <c r="G111">
        <v>28.753180661577609</v>
      </c>
      <c r="Y111">
        <v>22</v>
      </c>
      <c r="Z111">
        <v>57</v>
      </c>
      <c r="AC111">
        <v>28</v>
      </c>
      <c r="AD111">
        <v>64.179104477611943</v>
      </c>
      <c r="AF111">
        <v>8</v>
      </c>
      <c r="AG111">
        <v>65.938864628820966</v>
      </c>
      <c r="AI111">
        <v>25</v>
      </c>
      <c r="AJ111">
        <v>62</v>
      </c>
      <c r="AL111">
        <v>1.032</v>
      </c>
      <c r="AM111">
        <v>59</v>
      </c>
      <c r="AO111">
        <v>3</v>
      </c>
      <c r="AP111">
        <v>35</v>
      </c>
      <c r="AV111">
        <v>22</v>
      </c>
      <c r="AW111">
        <v>21.6</v>
      </c>
      <c r="AX111">
        <v>0.45999999999999996</v>
      </c>
      <c r="AY111">
        <v>57</v>
      </c>
      <c r="BS111">
        <v>20</v>
      </c>
      <c r="BT111">
        <v>16</v>
      </c>
      <c r="BU111">
        <v>0.6</v>
      </c>
      <c r="BV111">
        <v>82.608695652173907</v>
      </c>
    </row>
    <row r="112" spans="2:74" x14ac:dyDescent="0.2">
      <c r="B112">
        <v>22</v>
      </c>
      <c r="D112">
        <v>7</v>
      </c>
      <c r="E112">
        <v>1.2822857142857143</v>
      </c>
      <c r="F112">
        <v>76.5625</v>
      </c>
      <c r="G112">
        <v>59.358288770053477</v>
      </c>
      <c r="Y112">
        <v>22</v>
      </c>
      <c r="Z112">
        <v>57</v>
      </c>
      <c r="AC112">
        <v>28</v>
      </c>
      <c r="AD112">
        <v>84.73684210526315</v>
      </c>
      <c r="AF112">
        <v>8</v>
      </c>
      <c r="AG112">
        <v>66</v>
      </c>
      <c r="AI112">
        <v>25</v>
      </c>
      <c r="AJ112">
        <v>78.870967741935488</v>
      </c>
      <c r="AL112">
        <v>1.05</v>
      </c>
      <c r="AM112">
        <v>84.352941176470594</v>
      </c>
      <c r="AO112">
        <v>3.1666666666666665</v>
      </c>
      <c r="AP112">
        <v>76.31578947368422</v>
      </c>
      <c r="AV112">
        <v>22</v>
      </c>
      <c r="AW112">
        <v>25</v>
      </c>
      <c r="AX112">
        <v>1.5</v>
      </c>
      <c r="AY112">
        <v>58</v>
      </c>
      <c r="BS112">
        <v>25</v>
      </c>
      <c r="BT112">
        <v>16</v>
      </c>
      <c r="BU112">
        <v>1.3884000000000001</v>
      </c>
      <c r="BV112">
        <v>67.8</v>
      </c>
    </row>
    <row r="113" spans="2:74" x14ac:dyDescent="0.2">
      <c r="B113">
        <v>22</v>
      </c>
      <c r="D113">
        <v>7.2</v>
      </c>
      <c r="E113">
        <v>1.5300000000000002</v>
      </c>
      <c r="F113">
        <v>66.210045662100455</v>
      </c>
      <c r="G113">
        <v>55.119825708061001</v>
      </c>
      <c r="Y113">
        <v>22</v>
      </c>
      <c r="Z113">
        <v>58</v>
      </c>
      <c r="AC113">
        <v>28.1</v>
      </c>
      <c r="AD113">
        <v>78.870967741935488</v>
      </c>
      <c r="AF113">
        <v>8</v>
      </c>
      <c r="AG113">
        <v>69</v>
      </c>
      <c r="AI113">
        <v>32</v>
      </c>
      <c r="AJ113">
        <v>75.883575883575887</v>
      </c>
      <c r="AL113">
        <v>1.0919999999999999</v>
      </c>
      <c r="AM113">
        <v>72</v>
      </c>
      <c r="AO113">
        <v>3.3</v>
      </c>
      <c r="AP113">
        <v>41.982507288629741</v>
      </c>
      <c r="AV113">
        <v>22.5</v>
      </c>
      <c r="AW113">
        <v>2.8</v>
      </c>
      <c r="AX113">
        <v>4.74</v>
      </c>
      <c r="AY113">
        <v>50</v>
      </c>
      <c r="BS113">
        <v>25</v>
      </c>
      <c r="BT113">
        <v>16</v>
      </c>
      <c r="BU113">
        <v>1.3884000000000001</v>
      </c>
      <c r="BV113">
        <v>68.5</v>
      </c>
    </row>
    <row r="114" spans="2:74" x14ac:dyDescent="0.2">
      <c r="B114">
        <v>22</v>
      </c>
      <c r="C114" t="s">
        <v>43</v>
      </c>
      <c r="D114">
        <v>10.327272727272726</v>
      </c>
      <c r="E114">
        <v>0.8668309859154929</v>
      </c>
      <c r="F114">
        <v>62</v>
      </c>
      <c r="G114">
        <v>57</v>
      </c>
      <c r="Y114">
        <v>22.5</v>
      </c>
      <c r="Z114">
        <v>50</v>
      </c>
      <c r="AC114">
        <v>30</v>
      </c>
      <c r="AD114">
        <v>47</v>
      </c>
      <c r="AF114">
        <v>8</v>
      </c>
      <c r="AG114">
        <v>70</v>
      </c>
      <c r="AI114">
        <v>33.5</v>
      </c>
      <c r="AJ114">
        <v>79.558823529411768</v>
      </c>
      <c r="AL114">
        <v>1.0919999999999999</v>
      </c>
      <c r="AM114">
        <v>73</v>
      </c>
      <c r="AO114">
        <v>3.4285714285714293</v>
      </c>
      <c r="AP114">
        <v>31.692677070828328</v>
      </c>
      <c r="AV114">
        <v>22.5</v>
      </c>
      <c r="AW114">
        <v>4.4000000000000004</v>
      </c>
      <c r="AX114">
        <v>3.0163636363636361</v>
      </c>
      <c r="AY114">
        <v>47</v>
      </c>
      <c r="BS114">
        <v>27.9</v>
      </c>
      <c r="BT114">
        <v>16.7</v>
      </c>
      <c r="BU114">
        <v>0.23</v>
      </c>
      <c r="BV114">
        <v>54.320987654320987</v>
      </c>
    </row>
    <row r="115" spans="2:74" x14ac:dyDescent="0.2">
      <c r="B115">
        <v>22</v>
      </c>
      <c r="C115" t="s">
        <v>43</v>
      </c>
      <c r="D115">
        <v>21.6</v>
      </c>
      <c r="E115">
        <v>0.45999999999999996</v>
      </c>
      <c r="F115">
        <v>83</v>
      </c>
      <c r="G115">
        <v>57</v>
      </c>
      <c r="Y115">
        <v>22.5</v>
      </c>
      <c r="Z115">
        <v>47</v>
      </c>
      <c r="AC115">
        <v>30</v>
      </c>
      <c r="AD115">
        <v>60.784313725490193</v>
      </c>
      <c r="AF115">
        <v>8</v>
      </c>
      <c r="AG115">
        <v>70</v>
      </c>
      <c r="AI115">
        <v>36</v>
      </c>
      <c r="AJ115">
        <v>78</v>
      </c>
      <c r="AL115">
        <v>1.1000000000000001</v>
      </c>
      <c r="AM115">
        <v>67</v>
      </c>
      <c r="AO115">
        <v>3.4840000000000004</v>
      </c>
      <c r="AP115">
        <v>74.848484848484858</v>
      </c>
      <c r="AV115">
        <v>22.5</v>
      </c>
      <c r="AW115">
        <v>5.7</v>
      </c>
      <c r="AX115">
        <v>2.3284210526315783</v>
      </c>
      <c r="AY115">
        <v>56</v>
      </c>
      <c r="BS115">
        <v>17</v>
      </c>
      <c r="BT115">
        <v>18</v>
      </c>
      <c r="BU115">
        <v>1</v>
      </c>
      <c r="BV115">
        <v>56.8</v>
      </c>
    </row>
    <row r="116" spans="2:74" x14ac:dyDescent="0.2">
      <c r="B116">
        <v>22</v>
      </c>
      <c r="C116">
        <v>0.2</v>
      </c>
      <c r="D116" t="s">
        <v>354</v>
      </c>
      <c r="E116" t="s">
        <v>356</v>
      </c>
      <c r="F116">
        <v>62</v>
      </c>
      <c r="G116">
        <v>58</v>
      </c>
      <c r="Y116">
        <v>22.5</v>
      </c>
      <c r="Z116">
        <v>56</v>
      </c>
      <c r="AC116">
        <v>30</v>
      </c>
      <c r="AD116">
        <v>75.883575883575887</v>
      </c>
      <c r="AF116">
        <v>8</v>
      </c>
      <c r="AG116">
        <v>70</v>
      </c>
      <c r="AI116">
        <v>37.700000000000003</v>
      </c>
      <c r="AJ116">
        <v>79.436619718309856</v>
      </c>
      <c r="AL116">
        <v>1.1000000000000001</v>
      </c>
      <c r="AM116">
        <v>83.5</v>
      </c>
      <c r="AO116">
        <v>3.516</v>
      </c>
      <c r="AP116">
        <v>44.573643410852718</v>
      </c>
      <c r="AV116">
        <v>22.5</v>
      </c>
      <c r="AW116">
        <v>9.6999999999999993</v>
      </c>
      <c r="AX116">
        <v>0.99463917525773216</v>
      </c>
      <c r="AY116">
        <v>64</v>
      </c>
      <c r="BS116">
        <v>17</v>
      </c>
      <c r="BT116">
        <v>18</v>
      </c>
      <c r="BU116">
        <v>0.84933333333333338</v>
      </c>
      <c r="BV116">
        <v>74</v>
      </c>
    </row>
    <row r="117" spans="2:74" x14ac:dyDescent="0.2">
      <c r="B117">
        <f>AVERAGE(15,30)</f>
        <v>22.5</v>
      </c>
      <c r="C117" t="s">
        <v>43</v>
      </c>
      <c r="D117">
        <v>2.8</v>
      </c>
      <c r="E117">
        <v>4.74</v>
      </c>
      <c r="F117" t="s">
        <v>43</v>
      </c>
      <c r="G117">
        <v>50</v>
      </c>
      <c r="Y117">
        <v>22.5</v>
      </c>
      <c r="Z117">
        <v>64</v>
      </c>
      <c r="AC117">
        <v>30</v>
      </c>
      <c r="AD117">
        <v>76</v>
      </c>
      <c r="AF117">
        <v>8</v>
      </c>
      <c r="AG117">
        <v>70</v>
      </c>
      <c r="AI117">
        <v>48</v>
      </c>
      <c r="AJ117">
        <v>45</v>
      </c>
      <c r="AL117">
        <v>1.1099999999999997</v>
      </c>
      <c r="AM117">
        <v>65.110565110565105</v>
      </c>
      <c r="AO117">
        <v>3.516</v>
      </c>
      <c r="AP117">
        <v>44.961240310077521</v>
      </c>
      <c r="AV117">
        <v>22.7</v>
      </c>
      <c r="AW117">
        <v>5.7</v>
      </c>
      <c r="AX117">
        <v>2.1</v>
      </c>
      <c r="AY117">
        <v>48</v>
      </c>
      <c r="BS117">
        <v>19</v>
      </c>
      <c r="BT117">
        <v>18</v>
      </c>
      <c r="BU117">
        <v>0.84933333333333338</v>
      </c>
      <c r="BV117">
        <v>73</v>
      </c>
    </row>
    <row r="118" spans="2:74" x14ac:dyDescent="0.2">
      <c r="B118">
        <f>AVERAGE(15,30)</f>
        <v>22.5</v>
      </c>
      <c r="C118" t="s">
        <v>43</v>
      </c>
      <c r="D118">
        <v>4.4000000000000004</v>
      </c>
      <c r="E118">
        <v>3.0163636363636361</v>
      </c>
      <c r="F118" t="s">
        <v>43</v>
      </c>
      <c r="G118">
        <v>47</v>
      </c>
      <c r="Y118">
        <v>22.7</v>
      </c>
      <c r="Z118">
        <v>48</v>
      </c>
      <c r="AC118">
        <v>31</v>
      </c>
      <c r="AD118">
        <v>48.986486486486484</v>
      </c>
      <c r="AF118">
        <v>8</v>
      </c>
      <c r="AG118">
        <v>70</v>
      </c>
      <c r="AI118">
        <v>48</v>
      </c>
      <c r="AJ118">
        <v>74</v>
      </c>
      <c r="AL118">
        <v>1.1100000000000001</v>
      </c>
      <c r="AM118">
        <v>48.648648648648653</v>
      </c>
      <c r="AO118">
        <v>3.7619999999999996</v>
      </c>
      <c r="AP118">
        <v>71</v>
      </c>
      <c r="AV118">
        <v>22.7</v>
      </c>
      <c r="AW118">
        <v>9.1</v>
      </c>
      <c r="AX118">
        <v>3.4285714285714293</v>
      </c>
      <c r="AY118">
        <v>42.153846153846153</v>
      </c>
      <c r="BS118">
        <v>15</v>
      </c>
      <c r="BT118">
        <v>19.919999999999998</v>
      </c>
      <c r="BU118">
        <v>0.38</v>
      </c>
      <c r="BV118">
        <v>68.8</v>
      </c>
    </row>
    <row r="119" spans="2:74" x14ac:dyDescent="0.2">
      <c r="B119">
        <f>AVERAGE(15,30)</f>
        <v>22.5</v>
      </c>
      <c r="C119" t="s">
        <v>43</v>
      </c>
      <c r="D119">
        <v>5.7</v>
      </c>
      <c r="E119">
        <v>2.3284210526315783</v>
      </c>
      <c r="F119" t="s">
        <v>43</v>
      </c>
      <c r="G119">
        <v>56</v>
      </c>
      <c r="Y119">
        <v>22.7</v>
      </c>
      <c r="Z119">
        <v>42.153846153846153</v>
      </c>
      <c r="AC119">
        <v>31</v>
      </c>
      <c r="AD119">
        <v>50.675675675675677</v>
      </c>
      <c r="AF119">
        <v>8</v>
      </c>
      <c r="AG119">
        <v>72</v>
      </c>
      <c r="AI119">
        <v>48</v>
      </c>
      <c r="AJ119">
        <v>80</v>
      </c>
      <c r="AL119">
        <v>1.1125423728813557</v>
      </c>
      <c r="AM119">
        <v>55.210237659963433</v>
      </c>
      <c r="AO119">
        <v>4</v>
      </c>
      <c r="AP119">
        <v>20</v>
      </c>
      <c r="AV119">
        <v>23</v>
      </c>
      <c r="AW119">
        <v>4</v>
      </c>
      <c r="AX119">
        <v>2.4359999999999999</v>
      </c>
      <c r="AY119">
        <v>65.024630541871915</v>
      </c>
      <c r="BS119">
        <v>20</v>
      </c>
      <c r="BT119">
        <v>20</v>
      </c>
      <c r="BU119">
        <v>0.46</v>
      </c>
      <c r="BV119">
        <v>80.810810810810821</v>
      </c>
    </row>
    <row r="120" spans="2:74" x14ac:dyDescent="0.2">
      <c r="B120">
        <f>AVERAGE(16,29)</f>
        <v>22.5</v>
      </c>
      <c r="C120" t="s">
        <v>43</v>
      </c>
      <c r="D120">
        <v>9.6999999999999993</v>
      </c>
      <c r="E120">
        <v>0.99463917525773216</v>
      </c>
      <c r="F120">
        <v>68</v>
      </c>
      <c r="G120">
        <v>64</v>
      </c>
      <c r="Y120">
        <v>23</v>
      </c>
      <c r="Z120">
        <v>65.024630541871915</v>
      </c>
      <c r="AC120">
        <v>31</v>
      </c>
      <c r="AD120">
        <v>51.020408163265309</v>
      </c>
      <c r="AF120">
        <v>8</v>
      </c>
      <c r="AG120">
        <v>72</v>
      </c>
      <c r="AI120">
        <v>48</v>
      </c>
      <c r="AJ120">
        <v>81</v>
      </c>
      <c r="AL120">
        <v>1.1563636363636363</v>
      </c>
      <c r="AM120">
        <v>41.509433962264154</v>
      </c>
      <c r="AO120">
        <v>5.0844444444444434</v>
      </c>
      <c r="AP120">
        <v>46.428571428571431</v>
      </c>
      <c r="AV120">
        <v>23</v>
      </c>
      <c r="AW120">
        <v>4</v>
      </c>
      <c r="AX120">
        <v>3.7619999999999996</v>
      </c>
      <c r="AY120">
        <v>74</v>
      </c>
      <c r="BS120">
        <v>13</v>
      </c>
      <c r="BT120">
        <v>21.4</v>
      </c>
      <c r="BU120">
        <v>0.25</v>
      </c>
      <c r="BV120">
        <v>60</v>
      </c>
    </row>
    <row r="121" spans="2:74" x14ac:dyDescent="0.2">
      <c r="B121">
        <v>22.7</v>
      </c>
      <c r="C121" t="s">
        <v>43</v>
      </c>
      <c r="D121">
        <v>5.7</v>
      </c>
      <c r="E121">
        <v>2.1</v>
      </c>
      <c r="F121">
        <v>46</v>
      </c>
      <c r="G121">
        <v>48</v>
      </c>
      <c r="Y121">
        <v>23</v>
      </c>
      <c r="Z121">
        <v>74</v>
      </c>
      <c r="AC121">
        <v>31</v>
      </c>
      <c r="AD121">
        <v>53.956834532374096</v>
      </c>
      <c r="AF121">
        <v>8</v>
      </c>
      <c r="AG121">
        <v>81</v>
      </c>
      <c r="AI121">
        <v>72</v>
      </c>
      <c r="AJ121">
        <v>50.936329588014985</v>
      </c>
      <c r="AL121">
        <v>1.1919999999999999</v>
      </c>
      <c r="AM121">
        <v>65.100671140939596</v>
      </c>
      <c r="AO121">
        <v>5.0844444444444434</v>
      </c>
      <c r="AP121">
        <v>47.5</v>
      </c>
      <c r="AV121">
        <v>23</v>
      </c>
      <c r="AW121">
        <v>4.9000000000000004</v>
      </c>
      <c r="AX121">
        <v>2.7379591836734689</v>
      </c>
      <c r="AY121">
        <v>51</v>
      </c>
      <c r="BS121">
        <v>22</v>
      </c>
      <c r="BT121">
        <v>21.6</v>
      </c>
      <c r="BU121">
        <v>0.45999999999999996</v>
      </c>
      <c r="BV121">
        <v>57</v>
      </c>
    </row>
    <row r="122" spans="2:74" x14ac:dyDescent="0.2">
      <c r="B122">
        <v>22.7</v>
      </c>
      <c r="C122">
        <v>0.16</v>
      </c>
      <c r="D122">
        <v>9.1</v>
      </c>
      <c r="E122">
        <v>3.4285714285714293</v>
      </c>
      <c r="F122">
        <v>31.692677070828328</v>
      </c>
      <c r="G122">
        <v>42.153846153846153</v>
      </c>
      <c r="Y122">
        <v>23</v>
      </c>
      <c r="Z122">
        <v>51</v>
      </c>
      <c r="AC122">
        <v>31.5</v>
      </c>
      <c r="AD122">
        <v>79.558823529411768</v>
      </c>
      <c r="AF122">
        <v>8</v>
      </c>
      <c r="AG122">
        <v>84</v>
      </c>
      <c r="AI122">
        <v>96</v>
      </c>
      <c r="AJ122">
        <v>78</v>
      </c>
      <c r="AL122">
        <v>1.2</v>
      </c>
      <c r="AM122">
        <v>79.3</v>
      </c>
      <c r="AO122">
        <v>10.491428571428571</v>
      </c>
      <c r="AP122">
        <v>48.986486486486484</v>
      </c>
      <c r="AV122">
        <v>23</v>
      </c>
      <c r="AW122">
        <v>5.0999999999999996</v>
      </c>
      <c r="AX122">
        <v>2.6305882352941179</v>
      </c>
      <c r="AY122">
        <v>49</v>
      </c>
      <c r="BS122">
        <v>16.399999999999999</v>
      </c>
      <c r="BT122">
        <v>23</v>
      </c>
      <c r="BU122">
        <v>1.51</v>
      </c>
      <c r="BV122">
        <v>38</v>
      </c>
    </row>
    <row r="123" spans="2:74" x14ac:dyDescent="0.2">
      <c r="B123">
        <v>23</v>
      </c>
      <c r="C123">
        <v>0.7</v>
      </c>
      <c r="D123">
        <v>4</v>
      </c>
      <c r="E123">
        <v>2.4359999999999999</v>
      </c>
      <c r="F123">
        <v>68.586387434554979</v>
      </c>
      <c r="G123">
        <v>65.024630541871915</v>
      </c>
      <c r="Y123">
        <v>23</v>
      </c>
      <c r="Z123">
        <v>49</v>
      </c>
      <c r="AC123">
        <v>34</v>
      </c>
      <c r="AD123">
        <v>79.436619718309856</v>
      </c>
      <c r="AF123">
        <v>8.5</v>
      </c>
      <c r="AG123">
        <v>75.441696113074215</v>
      </c>
      <c r="AI123">
        <v>96</v>
      </c>
      <c r="AJ123">
        <v>82</v>
      </c>
      <c r="AL123">
        <v>1.2</v>
      </c>
      <c r="AM123">
        <v>70</v>
      </c>
      <c r="AO123">
        <v>10.491428571428571</v>
      </c>
      <c r="AP123">
        <v>50.675675675675677</v>
      </c>
      <c r="AV123">
        <v>23</v>
      </c>
      <c r="AW123">
        <v>5.7</v>
      </c>
      <c r="AX123">
        <v>2.1431578947368419</v>
      </c>
      <c r="AY123">
        <v>49</v>
      </c>
      <c r="BS123">
        <v>23</v>
      </c>
      <c r="BT123">
        <v>23</v>
      </c>
      <c r="BU123">
        <v>1.4</v>
      </c>
      <c r="BV123">
        <v>50</v>
      </c>
    </row>
    <row r="124" spans="2:74" x14ac:dyDescent="0.2">
      <c r="B124">
        <f>AVERAGE(18,28)</f>
        <v>23</v>
      </c>
      <c r="C124" t="s">
        <v>43</v>
      </c>
      <c r="D124">
        <v>4</v>
      </c>
      <c r="E124">
        <v>3.7619999999999996</v>
      </c>
      <c r="F124">
        <v>71</v>
      </c>
      <c r="G124">
        <v>74</v>
      </c>
      <c r="Y124">
        <v>23</v>
      </c>
      <c r="Z124">
        <v>49</v>
      </c>
      <c r="AC124">
        <v>35</v>
      </c>
      <c r="AD124">
        <v>61.363636363636367</v>
      </c>
      <c r="AF124">
        <v>8.6</v>
      </c>
      <c r="AG124">
        <v>70</v>
      </c>
      <c r="AL124">
        <v>1.2030379746835442</v>
      </c>
      <c r="AM124">
        <v>53</v>
      </c>
      <c r="AV124">
        <v>23</v>
      </c>
      <c r="AW124">
        <v>5.7</v>
      </c>
      <c r="AX124">
        <v>2.1431578947368419</v>
      </c>
      <c r="AY124">
        <v>53</v>
      </c>
      <c r="BS124">
        <v>15</v>
      </c>
      <c r="BT124">
        <v>24</v>
      </c>
      <c r="BU124">
        <v>1.38</v>
      </c>
      <c r="BV124">
        <v>26</v>
      </c>
    </row>
    <row r="125" spans="2:74" x14ac:dyDescent="0.2">
      <c r="B125">
        <v>23</v>
      </c>
      <c r="C125" t="s">
        <v>43</v>
      </c>
      <c r="D125">
        <v>4.9000000000000004</v>
      </c>
      <c r="E125">
        <v>2.7379591836734689</v>
      </c>
      <c r="F125">
        <v>35</v>
      </c>
      <c r="G125">
        <v>51</v>
      </c>
      <c r="Y125">
        <v>23</v>
      </c>
      <c r="Z125">
        <v>53</v>
      </c>
      <c r="AF125">
        <v>8.8000000000000007</v>
      </c>
      <c r="AG125">
        <v>22</v>
      </c>
      <c r="AL125">
        <v>1.2184615384615383</v>
      </c>
      <c r="AM125">
        <v>58</v>
      </c>
      <c r="AV125">
        <v>23</v>
      </c>
      <c r="AW125">
        <v>6</v>
      </c>
      <c r="AX125">
        <v>2.1280000000000001</v>
      </c>
      <c r="AY125">
        <v>63</v>
      </c>
      <c r="BS125">
        <v>15</v>
      </c>
      <c r="BT125">
        <v>24</v>
      </c>
      <c r="BU125">
        <v>0.41</v>
      </c>
      <c r="BV125">
        <v>82.5</v>
      </c>
    </row>
    <row r="126" spans="2:74" x14ac:dyDescent="0.2">
      <c r="B126">
        <v>23</v>
      </c>
      <c r="C126" t="s">
        <v>43</v>
      </c>
      <c r="D126">
        <v>5.0999999999999996</v>
      </c>
      <c r="E126">
        <v>2.6305882352941179</v>
      </c>
      <c r="F126">
        <v>39</v>
      </c>
      <c r="G126">
        <v>49</v>
      </c>
      <c r="Y126">
        <v>23</v>
      </c>
      <c r="Z126">
        <v>63</v>
      </c>
      <c r="AD126">
        <f>PEARSON(AC3:AC124,AD3:AD124)</f>
        <v>8.7475892173160347E-2</v>
      </c>
      <c r="AF126">
        <v>8.8000000000000007</v>
      </c>
      <c r="AG126">
        <v>56.896551724137936</v>
      </c>
      <c r="AL126">
        <v>1.2682352941176471</v>
      </c>
      <c r="AM126">
        <v>49.165120593692023</v>
      </c>
      <c r="AV126">
        <v>23</v>
      </c>
      <c r="AW126">
        <v>7.7</v>
      </c>
      <c r="AX126">
        <v>1.5335064935064935</v>
      </c>
      <c r="AY126">
        <v>58.943089430894311</v>
      </c>
      <c r="BS126">
        <v>16.399999999999999</v>
      </c>
      <c r="BT126">
        <v>24</v>
      </c>
      <c r="BU126">
        <v>1.45</v>
      </c>
      <c r="BV126">
        <v>41</v>
      </c>
    </row>
    <row r="127" spans="2:74" x14ac:dyDescent="0.2">
      <c r="B127">
        <v>23</v>
      </c>
      <c r="C127" t="s">
        <v>43</v>
      </c>
      <c r="D127">
        <v>5.7</v>
      </c>
      <c r="E127">
        <v>2.1431578947368419</v>
      </c>
      <c r="F127">
        <v>61</v>
      </c>
      <c r="G127">
        <v>49</v>
      </c>
      <c r="Y127">
        <v>23</v>
      </c>
      <c r="Z127">
        <v>58.943089430894311</v>
      </c>
      <c r="AF127">
        <v>8.8000000000000007</v>
      </c>
      <c r="AG127">
        <v>62.5</v>
      </c>
      <c r="AL127">
        <v>1.2822857142857143</v>
      </c>
      <c r="AM127">
        <v>59.358288770053477</v>
      </c>
      <c r="AV127">
        <v>23</v>
      </c>
      <c r="AW127">
        <v>7.8</v>
      </c>
      <c r="AX127">
        <v>1.2184615384615383</v>
      </c>
      <c r="AY127">
        <v>58</v>
      </c>
      <c r="BS127">
        <v>19</v>
      </c>
      <c r="BT127">
        <v>24</v>
      </c>
      <c r="BU127">
        <v>0.63700000000000001</v>
      </c>
      <c r="BV127">
        <v>64</v>
      </c>
    </row>
    <row r="128" spans="2:74" x14ac:dyDescent="0.2">
      <c r="B128">
        <v>23</v>
      </c>
      <c r="C128" t="s">
        <v>43</v>
      </c>
      <c r="D128">
        <v>5.7</v>
      </c>
      <c r="E128">
        <v>2.1431578947368419</v>
      </c>
      <c r="F128">
        <v>61</v>
      </c>
      <c r="G128">
        <v>53</v>
      </c>
      <c r="Y128">
        <v>23</v>
      </c>
      <c r="Z128">
        <v>58</v>
      </c>
      <c r="AF128">
        <v>8.8000000000000007</v>
      </c>
      <c r="AG128">
        <v>65.110565110565105</v>
      </c>
      <c r="AL128">
        <v>1.331764705882353</v>
      </c>
      <c r="AM128">
        <v>51.060070671378085</v>
      </c>
      <c r="AV128">
        <v>23</v>
      </c>
      <c r="AW128">
        <v>7.9</v>
      </c>
      <c r="AX128">
        <v>1.2030379746835442</v>
      </c>
      <c r="AY128">
        <v>53</v>
      </c>
      <c r="BS128">
        <v>23</v>
      </c>
      <c r="BT128">
        <v>24</v>
      </c>
      <c r="BU128">
        <v>0.53900000000000003</v>
      </c>
      <c r="BV128">
        <v>70</v>
      </c>
    </row>
    <row r="129" spans="2:74" x14ac:dyDescent="0.2">
      <c r="B129">
        <v>23</v>
      </c>
      <c r="C129" t="s">
        <v>43</v>
      </c>
      <c r="D129">
        <v>6</v>
      </c>
      <c r="E129">
        <v>2.1280000000000001</v>
      </c>
      <c r="F129" t="s">
        <v>43</v>
      </c>
      <c r="G129">
        <v>63</v>
      </c>
      <c r="Y129">
        <v>23</v>
      </c>
      <c r="Z129">
        <v>53</v>
      </c>
      <c r="AF129">
        <v>9.1</v>
      </c>
      <c r="AG129">
        <v>42.153846153846153</v>
      </c>
      <c r="AL129">
        <v>1.3782857142857143</v>
      </c>
      <c r="AM129">
        <v>72</v>
      </c>
      <c r="AV129">
        <v>23</v>
      </c>
      <c r="AW129">
        <v>9.9</v>
      </c>
      <c r="AX129">
        <v>0.96484848484848473</v>
      </c>
      <c r="AY129">
        <v>65</v>
      </c>
      <c r="BS129">
        <v>25</v>
      </c>
      <c r="BT129">
        <v>24</v>
      </c>
      <c r="BU129">
        <v>0.14000000000000001</v>
      </c>
      <c r="BV129">
        <v>30</v>
      </c>
    </row>
    <row r="130" spans="2:74" x14ac:dyDescent="0.2">
      <c r="B130">
        <v>23</v>
      </c>
      <c r="C130">
        <v>0.59</v>
      </c>
      <c r="D130">
        <v>7.7</v>
      </c>
      <c r="E130">
        <v>1.5335064935064935</v>
      </c>
      <c r="F130">
        <v>63.302752293577981</v>
      </c>
      <c r="G130">
        <v>58.943089430894311</v>
      </c>
      <c r="Y130">
        <v>23</v>
      </c>
      <c r="Z130">
        <v>65</v>
      </c>
      <c r="AF130">
        <v>9.1</v>
      </c>
      <c r="AG130">
        <v>54.700854700854705</v>
      </c>
      <c r="AL130">
        <v>1.38</v>
      </c>
      <c r="AM130">
        <v>26</v>
      </c>
      <c r="AV130">
        <v>23</v>
      </c>
      <c r="AW130">
        <v>10.6</v>
      </c>
      <c r="AX130">
        <v>0.90113207547169805</v>
      </c>
      <c r="AY130">
        <v>52</v>
      </c>
      <c r="BS130">
        <v>26</v>
      </c>
      <c r="BT130">
        <v>24</v>
      </c>
      <c r="BU130">
        <v>0.24299999999999999</v>
      </c>
      <c r="BV130">
        <v>77</v>
      </c>
    </row>
    <row r="131" spans="2:74" x14ac:dyDescent="0.2">
      <c r="B131">
        <v>23</v>
      </c>
      <c r="C131" t="s">
        <v>43</v>
      </c>
      <c r="D131">
        <v>7.8</v>
      </c>
      <c r="E131">
        <v>1.2184615384615383</v>
      </c>
      <c r="F131">
        <v>65</v>
      </c>
      <c r="G131">
        <v>58</v>
      </c>
      <c r="Y131">
        <v>23</v>
      </c>
      <c r="Z131">
        <v>52</v>
      </c>
      <c r="AF131">
        <v>9.1</v>
      </c>
      <c r="AG131">
        <v>63</v>
      </c>
      <c r="AL131">
        <v>1.3884000000000001</v>
      </c>
      <c r="AM131">
        <v>67.8</v>
      </c>
      <c r="AV131">
        <v>23</v>
      </c>
      <c r="AW131">
        <v>23</v>
      </c>
      <c r="AX131">
        <v>1.4</v>
      </c>
      <c r="AY131">
        <v>50</v>
      </c>
      <c r="BS131">
        <v>32</v>
      </c>
      <c r="BT131">
        <v>24</v>
      </c>
      <c r="BU131">
        <v>0.31799999999999995</v>
      </c>
      <c r="BV131">
        <v>57</v>
      </c>
    </row>
    <row r="132" spans="2:74" x14ac:dyDescent="0.2">
      <c r="B132">
        <v>23</v>
      </c>
      <c r="C132" t="s">
        <v>43</v>
      </c>
      <c r="D132">
        <v>7.9</v>
      </c>
      <c r="E132">
        <v>1.2030379746835442</v>
      </c>
      <c r="F132">
        <v>36</v>
      </c>
      <c r="G132">
        <v>53</v>
      </c>
      <c r="Y132">
        <v>23</v>
      </c>
      <c r="Z132">
        <v>50</v>
      </c>
      <c r="AF132">
        <v>9.3000000000000007</v>
      </c>
      <c r="AG132">
        <v>43.253968253968253</v>
      </c>
      <c r="AL132">
        <v>1.3884000000000001</v>
      </c>
      <c r="AM132">
        <v>68.5</v>
      </c>
      <c r="AV132">
        <v>23</v>
      </c>
      <c r="AW132">
        <v>24</v>
      </c>
      <c r="AX132">
        <v>0.53900000000000003</v>
      </c>
      <c r="AY132">
        <v>70</v>
      </c>
      <c r="BS132">
        <v>32</v>
      </c>
      <c r="BT132">
        <v>24</v>
      </c>
      <c r="BU132">
        <v>0.31799999999999995</v>
      </c>
      <c r="BV132">
        <v>57.9</v>
      </c>
    </row>
    <row r="133" spans="2:74" x14ac:dyDescent="0.2">
      <c r="B133">
        <v>23</v>
      </c>
      <c r="C133" t="s">
        <v>43</v>
      </c>
      <c r="D133">
        <v>9.9</v>
      </c>
      <c r="E133">
        <v>0.96484848484848473</v>
      </c>
      <c r="F133">
        <v>57.2</v>
      </c>
      <c r="G133">
        <v>65</v>
      </c>
      <c r="Y133">
        <v>23</v>
      </c>
      <c r="Z133">
        <v>70</v>
      </c>
      <c r="AF133">
        <v>9.4</v>
      </c>
      <c r="AG133">
        <v>75.045537340619305</v>
      </c>
      <c r="AL133">
        <v>1.3929896907216497</v>
      </c>
      <c r="AM133">
        <v>64.120781527531079</v>
      </c>
      <c r="AV133">
        <v>23</v>
      </c>
      <c r="AW133">
        <v>36</v>
      </c>
      <c r="AX133">
        <v>0.35933333333333328</v>
      </c>
      <c r="AY133">
        <v>63</v>
      </c>
      <c r="BS133">
        <v>18</v>
      </c>
      <c r="BT133">
        <v>25</v>
      </c>
      <c r="BU133">
        <v>1.5</v>
      </c>
      <c r="BV133">
        <v>51</v>
      </c>
    </row>
    <row r="134" spans="2:74" x14ac:dyDescent="0.2">
      <c r="B134">
        <v>23</v>
      </c>
      <c r="C134" t="s">
        <v>43</v>
      </c>
      <c r="D134">
        <v>10.6</v>
      </c>
      <c r="E134">
        <v>0.90113207547169805</v>
      </c>
      <c r="F134">
        <v>55.8</v>
      </c>
      <c r="G134">
        <v>52</v>
      </c>
      <c r="Y134">
        <v>23</v>
      </c>
      <c r="Z134">
        <v>63</v>
      </c>
      <c r="AF134">
        <v>9.5</v>
      </c>
      <c r="AG134">
        <v>23</v>
      </c>
      <c r="AL134">
        <v>1.3956923076923078</v>
      </c>
      <c r="AM134">
        <v>66</v>
      </c>
      <c r="AV134">
        <v>23</v>
      </c>
      <c r="AW134">
        <v>48</v>
      </c>
      <c r="AX134">
        <v>0.26950000000000002</v>
      </c>
      <c r="AY134">
        <v>63</v>
      </c>
      <c r="BS134">
        <v>20</v>
      </c>
      <c r="BT134">
        <v>25</v>
      </c>
      <c r="BU134">
        <v>0.38</v>
      </c>
      <c r="BV134">
        <v>75.161290322580655</v>
      </c>
    </row>
    <row r="135" spans="2:74" x14ac:dyDescent="0.2">
      <c r="B135">
        <v>23</v>
      </c>
      <c r="C135">
        <v>0.21</v>
      </c>
      <c r="D135">
        <v>23</v>
      </c>
      <c r="E135">
        <v>1.4</v>
      </c>
      <c r="F135" t="s">
        <v>43</v>
      </c>
      <c r="G135">
        <v>50</v>
      </c>
      <c r="Y135">
        <v>23</v>
      </c>
      <c r="Z135">
        <v>63</v>
      </c>
      <c r="AF135">
        <v>9.5</v>
      </c>
      <c r="AG135">
        <v>46.354166666666671</v>
      </c>
      <c r="AL135">
        <v>1.4</v>
      </c>
      <c r="AM135">
        <v>50</v>
      </c>
      <c r="AV135">
        <v>24</v>
      </c>
      <c r="AW135">
        <v>48</v>
      </c>
      <c r="AX135">
        <v>0.63349999999999995</v>
      </c>
      <c r="AY135">
        <v>56</v>
      </c>
      <c r="BS135">
        <v>22</v>
      </c>
      <c r="BT135">
        <v>25</v>
      </c>
      <c r="BU135">
        <v>1.5</v>
      </c>
      <c r="BV135">
        <v>58</v>
      </c>
    </row>
    <row r="136" spans="2:74" x14ac:dyDescent="0.2">
      <c r="B136">
        <f>AVERAGE(17,29)</f>
        <v>23</v>
      </c>
      <c r="C136">
        <v>5.8946275219220495E-2</v>
      </c>
      <c r="D136">
        <v>24</v>
      </c>
      <c r="E136">
        <v>0.53900000000000003</v>
      </c>
      <c r="F136">
        <v>73</v>
      </c>
      <c r="G136">
        <v>70</v>
      </c>
      <c r="Y136">
        <v>24</v>
      </c>
      <c r="Z136">
        <v>56</v>
      </c>
      <c r="AF136">
        <v>9.5</v>
      </c>
      <c r="AG136">
        <v>58.677685950413228</v>
      </c>
      <c r="AL136">
        <v>1.4017021276595745</v>
      </c>
      <c r="AM136">
        <v>75.045537340619305</v>
      </c>
      <c r="AV136">
        <v>24</v>
      </c>
      <c r="AW136">
        <v>96</v>
      </c>
      <c r="AX136">
        <v>0.31674999999999998</v>
      </c>
      <c r="AY136">
        <v>58</v>
      </c>
      <c r="BS136">
        <v>25</v>
      </c>
      <c r="BT136">
        <v>25</v>
      </c>
      <c r="BU136">
        <v>1.5</v>
      </c>
      <c r="BV136">
        <v>62</v>
      </c>
    </row>
    <row r="137" spans="2:74" x14ac:dyDescent="0.2">
      <c r="B137">
        <f>AVERAGE(17,29)</f>
        <v>23</v>
      </c>
      <c r="C137">
        <v>4.4209706414415371E-2</v>
      </c>
      <c r="D137">
        <v>36</v>
      </c>
      <c r="E137">
        <v>0.35933333333333328</v>
      </c>
      <c r="F137">
        <v>78</v>
      </c>
      <c r="G137">
        <v>63</v>
      </c>
      <c r="Y137">
        <v>24</v>
      </c>
      <c r="Z137">
        <v>58</v>
      </c>
      <c r="AF137">
        <v>9.6</v>
      </c>
      <c r="AG137">
        <v>48.648648648648653</v>
      </c>
      <c r="AL137">
        <v>1.4121428571428571</v>
      </c>
      <c r="AM137">
        <v>41</v>
      </c>
      <c r="AV137">
        <v>24.3</v>
      </c>
      <c r="AW137">
        <v>5.9</v>
      </c>
      <c r="AX137">
        <v>1.7</v>
      </c>
      <c r="AY137">
        <v>49</v>
      </c>
      <c r="BS137">
        <v>28.1</v>
      </c>
      <c r="BT137">
        <v>25</v>
      </c>
      <c r="BU137">
        <v>0.18</v>
      </c>
      <c r="BV137">
        <v>59.574468085106382</v>
      </c>
    </row>
    <row r="138" spans="2:74" x14ac:dyDescent="0.2">
      <c r="B138">
        <f>AVERAGE(17,29)</f>
        <v>23</v>
      </c>
      <c r="C138">
        <v>2.9473137609610248E-2</v>
      </c>
      <c r="D138">
        <v>48</v>
      </c>
      <c r="E138">
        <v>0.26950000000000002</v>
      </c>
      <c r="F138">
        <v>80</v>
      </c>
      <c r="G138">
        <v>63</v>
      </c>
      <c r="Y138">
        <v>24.3</v>
      </c>
      <c r="Z138">
        <v>49</v>
      </c>
      <c r="AF138">
        <v>9.6999999999999993</v>
      </c>
      <c r="AG138">
        <v>39.814814814814817</v>
      </c>
      <c r="AL138">
        <v>1.4447058823529413</v>
      </c>
      <c r="AM138">
        <v>61.88925081433225</v>
      </c>
      <c r="AV138">
        <v>24.3</v>
      </c>
      <c r="AW138">
        <v>13.6</v>
      </c>
      <c r="AX138">
        <v>1.54</v>
      </c>
      <c r="AY138">
        <v>71.085714285714289</v>
      </c>
      <c r="BS138">
        <v>20</v>
      </c>
      <c r="BT138">
        <v>30</v>
      </c>
      <c r="BU138">
        <v>0.43</v>
      </c>
      <c r="BV138">
        <v>70</v>
      </c>
    </row>
    <row r="139" spans="2:74" x14ac:dyDescent="0.2">
      <c r="B139">
        <v>24</v>
      </c>
      <c r="C139">
        <v>5.2133575433907335E-2</v>
      </c>
      <c r="D139">
        <v>48</v>
      </c>
      <c r="E139">
        <v>0.63349999999999995</v>
      </c>
      <c r="F139">
        <v>81</v>
      </c>
      <c r="G139">
        <v>56</v>
      </c>
      <c r="Y139">
        <v>24.3</v>
      </c>
      <c r="Z139">
        <v>71.085714285714289</v>
      </c>
      <c r="AF139">
        <v>9.6999999999999993</v>
      </c>
      <c r="AG139">
        <v>64</v>
      </c>
      <c r="AL139">
        <v>1.45</v>
      </c>
      <c r="AM139">
        <v>41</v>
      </c>
      <c r="AV139">
        <v>25</v>
      </c>
      <c r="AW139">
        <v>2.4</v>
      </c>
      <c r="AX139">
        <v>7.76</v>
      </c>
      <c r="AY139">
        <v>48.711340206185568</v>
      </c>
      <c r="BS139">
        <v>30</v>
      </c>
      <c r="BT139">
        <v>32</v>
      </c>
      <c r="BU139">
        <v>1.52</v>
      </c>
      <c r="BV139">
        <v>61.629881154499152</v>
      </c>
    </row>
    <row r="140" spans="2:74" x14ac:dyDescent="0.2">
      <c r="B140">
        <v>24</v>
      </c>
      <c r="C140">
        <v>2.6066787716953668E-2</v>
      </c>
      <c r="D140">
        <v>96</v>
      </c>
      <c r="E140">
        <v>0.31674999999999998</v>
      </c>
      <c r="F140">
        <v>82</v>
      </c>
      <c r="G140">
        <v>58</v>
      </c>
      <c r="Y140">
        <v>25</v>
      </c>
      <c r="Z140">
        <v>48.711340206185568</v>
      </c>
      <c r="AF140">
        <v>9.6999999999999993</v>
      </c>
      <c r="AG140">
        <v>64.120781527531079</v>
      </c>
      <c r="AL140">
        <v>1.4760000000000002</v>
      </c>
      <c r="AM140">
        <v>61</v>
      </c>
      <c r="AV140">
        <v>25</v>
      </c>
      <c r="AW140">
        <v>3</v>
      </c>
      <c r="AX140">
        <v>5.9999999999999991</v>
      </c>
      <c r="AY140">
        <v>42.4</v>
      </c>
      <c r="BS140">
        <v>31.5</v>
      </c>
      <c r="BT140">
        <v>33.5</v>
      </c>
      <c r="BU140">
        <v>0.13</v>
      </c>
      <c r="BV140">
        <v>54.748603351955303</v>
      </c>
    </row>
    <row r="141" spans="2:74" x14ac:dyDescent="0.2">
      <c r="B141">
        <v>24.3</v>
      </c>
      <c r="C141" t="s">
        <v>43</v>
      </c>
      <c r="D141">
        <v>5.9</v>
      </c>
      <c r="E141">
        <v>1.7</v>
      </c>
      <c r="F141">
        <v>54</v>
      </c>
      <c r="G141">
        <v>49</v>
      </c>
      <c r="Y141">
        <v>25</v>
      </c>
      <c r="Z141">
        <v>42.4</v>
      </c>
      <c r="AF141">
        <v>9.8000000000000007</v>
      </c>
      <c r="AG141">
        <v>16.206030150753769</v>
      </c>
      <c r="AL141">
        <v>1.4920000000000002</v>
      </c>
      <c r="AM141">
        <v>55.227882037533519</v>
      </c>
      <c r="AV141">
        <v>25</v>
      </c>
      <c r="AW141">
        <v>4</v>
      </c>
      <c r="AX141">
        <v>2.238</v>
      </c>
      <c r="AY141">
        <v>53.619302949061662</v>
      </c>
      <c r="BS141">
        <v>35</v>
      </c>
      <c r="BT141">
        <v>33.599999999999994</v>
      </c>
      <c r="BU141">
        <v>0.76</v>
      </c>
      <c r="BV141">
        <v>73.238095238095241</v>
      </c>
    </row>
    <row r="142" spans="2:74" x14ac:dyDescent="0.2">
      <c r="B142">
        <v>24.3</v>
      </c>
      <c r="C142">
        <v>0.37</v>
      </c>
      <c r="D142">
        <v>13.6</v>
      </c>
      <c r="E142">
        <v>1.54</v>
      </c>
      <c r="F142">
        <v>65.012406947890824</v>
      </c>
      <c r="G142">
        <v>71.085714285714289</v>
      </c>
      <c r="Y142">
        <v>25</v>
      </c>
      <c r="Z142">
        <v>64.583333333333343</v>
      </c>
      <c r="AF142">
        <v>9.9</v>
      </c>
      <c r="AG142">
        <v>65</v>
      </c>
      <c r="AL142">
        <v>1.5</v>
      </c>
      <c r="AM142">
        <v>69</v>
      </c>
      <c r="AV142">
        <v>25</v>
      </c>
      <c r="AW142">
        <v>4</v>
      </c>
      <c r="AX142">
        <v>4.032</v>
      </c>
      <c r="AY142">
        <v>64.583333333333343</v>
      </c>
      <c r="BS142">
        <v>19</v>
      </c>
      <c r="BT142">
        <v>36</v>
      </c>
      <c r="BU142">
        <v>0.42466666666666669</v>
      </c>
      <c r="BV142">
        <v>68</v>
      </c>
    </row>
    <row r="143" spans="2:74" x14ac:dyDescent="0.2">
      <c r="B143">
        <v>25</v>
      </c>
      <c r="C143">
        <v>0.58946275219220501</v>
      </c>
      <c r="D143">
        <v>2.4</v>
      </c>
      <c r="E143">
        <v>7.76</v>
      </c>
      <c r="F143" t="s">
        <v>43</v>
      </c>
      <c r="G143">
        <v>48.711340206185568</v>
      </c>
      <c r="Y143">
        <v>25</v>
      </c>
      <c r="Z143">
        <v>66.723549488054616</v>
      </c>
      <c r="AF143">
        <v>10</v>
      </c>
      <c r="AG143">
        <v>60</v>
      </c>
      <c r="AL143">
        <v>1.5</v>
      </c>
      <c r="AM143">
        <v>51</v>
      </c>
      <c r="AV143">
        <v>25</v>
      </c>
      <c r="AW143">
        <v>4</v>
      </c>
      <c r="AX143">
        <v>3.516</v>
      </c>
      <c r="AY143">
        <v>66.723549488054616</v>
      </c>
      <c r="BS143">
        <v>23</v>
      </c>
      <c r="BT143">
        <v>36</v>
      </c>
      <c r="BU143">
        <v>0.35933333333333328</v>
      </c>
      <c r="BV143">
        <v>63</v>
      </c>
    </row>
    <row r="144" spans="2:74" x14ac:dyDescent="0.2">
      <c r="B144">
        <v>25</v>
      </c>
      <c r="C144">
        <v>0.47157020175376396</v>
      </c>
      <c r="D144">
        <v>3</v>
      </c>
      <c r="E144">
        <v>5.9999999999999991</v>
      </c>
      <c r="F144" t="s">
        <v>43</v>
      </c>
      <c r="G144">
        <v>42.4</v>
      </c>
      <c r="Y144">
        <v>25</v>
      </c>
      <c r="Z144">
        <v>68.600682593856661</v>
      </c>
      <c r="AF144">
        <v>10</v>
      </c>
      <c r="AG144">
        <v>64</v>
      </c>
      <c r="AL144">
        <v>1.5</v>
      </c>
      <c r="AM144">
        <v>58</v>
      </c>
      <c r="AV144">
        <v>25</v>
      </c>
      <c r="AW144">
        <v>4</v>
      </c>
      <c r="AX144">
        <v>3.516</v>
      </c>
      <c r="AY144">
        <v>68.600682593856661</v>
      </c>
      <c r="BS144">
        <v>34</v>
      </c>
      <c r="BT144">
        <v>37.700000000000003</v>
      </c>
      <c r="BU144">
        <v>0.11</v>
      </c>
      <c r="BV144">
        <v>54.395604395604394</v>
      </c>
    </row>
    <row r="145" spans="2:74" x14ac:dyDescent="0.2">
      <c r="B145">
        <v>25</v>
      </c>
      <c r="C145">
        <v>0.35367765131532297</v>
      </c>
      <c r="D145">
        <v>4</v>
      </c>
      <c r="E145">
        <v>4.032</v>
      </c>
      <c r="F145" t="s">
        <v>43</v>
      </c>
      <c r="G145">
        <v>64.583333333333343</v>
      </c>
      <c r="Y145">
        <v>25</v>
      </c>
      <c r="Z145">
        <v>53.619302949061662</v>
      </c>
      <c r="AF145">
        <v>10</v>
      </c>
      <c r="AG145">
        <v>68.341708542713562</v>
      </c>
      <c r="AL145">
        <v>1.5</v>
      </c>
      <c r="AM145">
        <v>62</v>
      </c>
      <c r="AV145">
        <v>25</v>
      </c>
      <c r="AW145">
        <v>4.7</v>
      </c>
      <c r="AX145">
        <v>1.5931914893617023</v>
      </c>
      <c r="AY145">
        <v>70</v>
      </c>
      <c r="BS145">
        <v>20</v>
      </c>
      <c r="BT145">
        <v>40</v>
      </c>
      <c r="BU145">
        <v>0.3</v>
      </c>
      <c r="BV145">
        <v>75.238095238095241</v>
      </c>
    </row>
    <row r="146" spans="2:74" x14ac:dyDescent="0.2">
      <c r="B146">
        <v>25</v>
      </c>
      <c r="C146" t="s">
        <v>43</v>
      </c>
      <c r="D146">
        <v>4</v>
      </c>
      <c r="E146">
        <v>3.516</v>
      </c>
      <c r="F146">
        <v>44.573643410852718</v>
      </c>
      <c r="G146">
        <v>66.723549488054616</v>
      </c>
      <c r="Y146">
        <v>25</v>
      </c>
      <c r="Z146">
        <v>70</v>
      </c>
      <c r="AF146">
        <v>10</v>
      </c>
      <c r="AG146">
        <v>70</v>
      </c>
      <c r="AL146">
        <v>1.51</v>
      </c>
      <c r="AM146">
        <v>68.099999999999994</v>
      </c>
      <c r="AV146">
        <v>25</v>
      </c>
      <c r="AW146">
        <v>6</v>
      </c>
      <c r="AX146">
        <v>1.4920000000000002</v>
      </c>
      <c r="AY146">
        <v>55.227882037533519</v>
      </c>
      <c r="BS146">
        <v>15</v>
      </c>
      <c r="BT146">
        <v>42</v>
      </c>
      <c r="BU146">
        <v>0.15</v>
      </c>
      <c r="BV146">
        <v>50.1</v>
      </c>
    </row>
    <row r="147" spans="2:74" x14ac:dyDescent="0.2">
      <c r="B147">
        <v>25</v>
      </c>
      <c r="C147" t="s">
        <v>43</v>
      </c>
      <c r="D147">
        <v>4</v>
      </c>
      <c r="E147">
        <v>3.516</v>
      </c>
      <c r="F147">
        <v>44.961240310077521</v>
      </c>
      <c r="G147">
        <v>68.600682593856661</v>
      </c>
      <c r="Y147">
        <v>25</v>
      </c>
      <c r="Z147">
        <v>71.633237822349571</v>
      </c>
      <c r="AF147">
        <v>10</v>
      </c>
      <c r="AG147">
        <v>84.352941176470594</v>
      </c>
      <c r="AL147">
        <v>1.51</v>
      </c>
      <c r="AM147">
        <v>38</v>
      </c>
      <c r="AV147">
        <v>25</v>
      </c>
      <c r="AW147">
        <v>6</v>
      </c>
      <c r="AX147">
        <v>1.5719999999999998</v>
      </c>
      <c r="AY147">
        <v>58</v>
      </c>
      <c r="BS147">
        <v>15</v>
      </c>
      <c r="BT147">
        <v>42</v>
      </c>
      <c r="BU147">
        <v>0.36</v>
      </c>
      <c r="BV147">
        <v>82.5</v>
      </c>
    </row>
    <row r="148" spans="2:74" x14ac:dyDescent="0.2">
      <c r="B148">
        <v>25</v>
      </c>
      <c r="C148" t="s">
        <v>43</v>
      </c>
      <c r="D148">
        <v>4</v>
      </c>
      <c r="E148">
        <v>2.238</v>
      </c>
      <c r="F148">
        <v>44.029850746268657</v>
      </c>
      <c r="G148">
        <v>53.619302949061662</v>
      </c>
      <c r="Y148">
        <v>25</v>
      </c>
      <c r="Z148">
        <v>58</v>
      </c>
      <c r="AF148">
        <v>10.199999999999999</v>
      </c>
      <c r="AG148">
        <v>49.165120593692023</v>
      </c>
      <c r="AL148">
        <v>1.52</v>
      </c>
      <c r="AM148">
        <v>61.629881154499152</v>
      </c>
      <c r="AV148">
        <v>25</v>
      </c>
      <c r="AW148">
        <v>6</v>
      </c>
      <c r="AX148">
        <v>2.2520000000000002</v>
      </c>
      <c r="AY148">
        <v>68.383658969804614</v>
      </c>
      <c r="BS148">
        <v>13.8</v>
      </c>
      <c r="BT148">
        <v>44.3</v>
      </c>
      <c r="BU148">
        <v>0.52875846501128676</v>
      </c>
      <c r="BV148">
        <v>31.290983606557376</v>
      </c>
    </row>
    <row r="149" spans="2:74" x14ac:dyDescent="0.2">
      <c r="B149">
        <v>25</v>
      </c>
      <c r="C149" t="s">
        <v>43</v>
      </c>
      <c r="D149">
        <v>4.7</v>
      </c>
      <c r="E149">
        <v>1.5931914893617023</v>
      </c>
      <c r="F149" t="s">
        <v>43</v>
      </c>
      <c r="G149">
        <v>70</v>
      </c>
      <c r="Y149">
        <v>25</v>
      </c>
      <c r="Z149">
        <v>55.227882037533519</v>
      </c>
      <c r="AF149">
        <v>10.199999999999999</v>
      </c>
      <c r="AG149">
        <v>51.060070671378085</v>
      </c>
      <c r="AL149">
        <v>1.5288000000000002</v>
      </c>
      <c r="AM149">
        <v>60</v>
      </c>
      <c r="AV149">
        <v>25</v>
      </c>
      <c r="AW149">
        <v>6</v>
      </c>
      <c r="AX149">
        <v>2.2520000000000002</v>
      </c>
      <c r="AY149">
        <v>69.982238010657198</v>
      </c>
      <c r="BS149">
        <v>16</v>
      </c>
      <c r="BT149">
        <v>48</v>
      </c>
      <c r="BU149">
        <v>0.52</v>
      </c>
      <c r="BV149">
        <v>50</v>
      </c>
    </row>
    <row r="150" spans="2:74" x14ac:dyDescent="0.2">
      <c r="B150">
        <v>25</v>
      </c>
      <c r="C150">
        <v>0.23578510087688198</v>
      </c>
      <c r="D150">
        <v>6</v>
      </c>
      <c r="E150">
        <v>2.7919999999999998</v>
      </c>
      <c r="F150" t="s">
        <v>43</v>
      </c>
      <c r="G150">
        <v>71.633237822349571</v>
      </c>
      <c r="Y150">
        <v>25</v>
      </c>
      <c r="Z150">
        <v>68.383658969804614</v>
      </c>
      <c r="AF150">
        <v>10.32</v>
      </c>
      <c r="AG150">
        <v>70.3</v>
      </c>
      <c r="AL150">
        <v>1.5288000000000002</v>
      </c>
      <c r="AM150">
        <v>64</v>
      </c>
      <c r="AV150">
        <v>25</v>
      </c>
      <c r="AW150">
        <v>6</v>
      </c>
      <c r="AX150">
        <v>2.7919999999999998</v>
      </c>
      <c r="AY150">
        <v>71.633237822349571</v>
      </c>
      <c r="BS150">
        <v>17</v>
      </c>
      <c r="BT150">
        <v>48</v>
      </c>
      <c r="BU150">
        <v>0.45</v>
      </c>
      <c r="BV150">
        <v>51</v>
      </c>
    </row>
    <row r="151" spans="2:74" x14ac:dyDescent="0.2">
      <c r="B151">
        <v>25</v>
      </c>
      <c r="C151" t="s">
        <v>43</v>
      </c>
      <c r="D151">
        <v>6</v>
      </c>
      <c r="E151">
        <v>1.5719999999999998</v>
      </c>
      <c r="F151">
        <v>61</v>
      </c>
      <c r="G151">
        <v>58</v>
      </c>
      <c r="Y151">
        <v>25</v>
      </c>
      <c r="Z151">
        <v>73.53463587921847</v>
      </c>
      <c r="AF151">
        <v>10.327272727272726</v>
      </c>
      <c r="AG151">
        <v>57</v>
      </c>
      <c r="AL151">
        <v>1.5300000000000002</v>
      </c>
      <c r="AM151">
        <v>55.119825708061001</v>
      </c>
      <c r="AV151">
        <v>25</v>
      </c>
      <c r="AW151">
        <v>6</v>
      </c>
      <c r="AX151">
        <v>2.2520000000000002</v>
      </c>
      <c r="AY151">
        <v>73.53463587921847</v>
      </c>
      <c r="BS151">
        <v>23</v>
      </c>
      <c r="BT151">
        <v>48</v>
      </c>
      <c r="BU151">
        <v>0.26950000000000002</v>
      </c>
      <c r="BV151">
        <v>63</v>
      </c>
    </row>
    <row r="152" spans="2:74" x14ac:dyDescent="0.2">
      <c r="B152">
        <v>25</v>
      </c>
      <c r="C152" t="s">
        <v>43</v>
      </c>
      <c r="D152">
        <v>6</v>
      </c>
      <c r="E152">
        <v>1.4920000000000002</v>
      </c>
      <c r="F152">
        <v>47.014925373134332</v>
      </c>
      <c r="G152">
        <v>55.227882037533519</v>
      </c>
      <c r="Y152">
        <v>25</v>
      </c>
      <c r="Z152">
        <v>69.982238010657198</v>
      </c>
      <c r="AF152">
        <v>10.4</v>
      </c>
      <c r="AG152">
        <v>58.311345646437992</v>
      </c>
      <c r="AL152">
        <v>1.5335064935064935</v>
      </c>
      <c r="AM152">
        <v>58.943089430894311</v>
      </c>
      <c r="AV152">
        <v>25</v>
      </c>
      <c r="AW152">
        <v>6.2</v>
      </c>
      <c r="AX152">
        <v>0.9987096774193549</v>
      </c>
      <c r="AY152">
        <v>60.077519379844958</v>
      </c>
      <c r="BS152">
        <v>24</v>
      </c>
      <c r="BT152">
        <v>48</v>
      </c>
      <c r="BU152">
        <v>0.63349999999999995</v>
      </c>
      <c r="BV152">
        <v>56</v>
      </c>
    </row>
    <row r="153" spans="2:74" x14ac:dyDescent="0.2">
      <c r="B153">
        <v>25</v>
      </c>
      <c r="C153" t="s">
        <v>43</v>
      </c>
      <c r="D153">
        <v>6</v>
      </c>
      <c r="E153">
        <v>2.2520000000000002</v>
      </c>
      <c r="F153">
        <v>68.899521531100476</v>
      </c>
      <c r="G153">
        <v>68.383658969804614</v>
      </c>
      <c r="Y153">
        <v>25</v>
      </c>
      <c r="Z153">
        <v>60.077519379844958</v>
      </c>
      <c r="AF153">
        <v>10.4</v>
      </c>
      <c r="AG153">
        <v>61.989795918367349</v>
      </c>
      <c r="AL153">
        <v>1.54</v>
      </c>
      <c r="AM153">
        <v>71.085714285714289</v>
      </c>
      <c r="AV153">
        <v>25</v>
      </c>
      <c r="AW153">
        <v>7.5</v>
      </c>
      <c r="AX153">
        <v>0.62079999999999991</v>
      </c>
      <c r="AY153">
        <v>54.123711340206185</v>
      </c>
      <c r="BS153">
        <v>27</v>
      </c>
      <c r="BT153">
        <v>48</v>
      </c>
      <c r="BU153">
        <v>0.5704999999999999</v>
      </c>
      <c r="BV153">
        <v>66</v>
      </c>
    </row>
    <row r="154" spans="2:74" x14ac:dyDescent="0.2">
      <c r="B154">
        <v>25</v>
      </c>
      <c r="C154" t="s">
        <v>43</v>
      </c>
      <c r="D154">
        <v>6</v>
      </c>
      <c r="E154">
        <v>2.2520000000000002</v>
      </c>
      <c r="F154">
        <v>74.401913875598098</v>
      </c>
      <c r="G154">
        <v>73.53463587921847</v>
      </c>
      <c r="Y154">
        <v>25</v>
      </c>
      <c r="Z154">
        <v>54.123711340206185</v>
      </c>
      <c r="AF154">
        <v>10.5</v>
      </c>
      <c r="AG154">
        <v>31</v>
      </c>
      <c r="AL154">
        <v>1.5545454545454545</v>
      </c>
      <c r="AM154">
        <v>33.684210526315788</v>
      </c>
      <c r="AV154">
        <v>25</v>
      </c>
      <c r="AW154">
        <v>8</v>
      </c>
      <c r="AX154">
        <v>0.6</v>
      </c>
      <c r="AY154">
        <v>72</v>
      </c>
      <c r="BS154">
        <v>35</v>
      </c>
      <c r="BT154">
        <v>52.800000000000004</v>
      </c>
      <c r="BU154">
        <v>0.45</v>
      </c>
      <c r="BV154">
        <v>82.4</v>
      </c>
    </row>
    <row r="155" spans="2:74" x14ac:dyDescent="0.2">
      <c r="B155">
        <v>25</v>
      </c>
      <c r="C155" t="s">
        <v>43</v>
      </c>
      <c r="D155">
        <v>6</v>
      </c>
      <c r="E155">
        <v>2.2520000000000002</v>
      </c>
      <c r="F155">
        <v>67.942583732057415</v>
      </c>
      <c r="G155">
        <v>69.982238010657198</v>
      </c>
      <c r="Y155">
        <v>25</v>
      </c>
      <c r="Z155">
        <v>72</v>
      </c>
      <c r="AF155">
        <v>10.6</v>
      </c>
      <c r="AG155">
        <v>52</v>
      </c>
      <c r="AL155">
        <v>1.5719999999999998</v>
      </c>
      <c r="AM155">
        <v>58</v>
      </c>
      <c r="AV155">
        <v>25</v>
      </c>
      <c r="AW155">
        <v>8.6</v>
      </c>
      <c r="AX155">
        <v>0.52</v>
      </c>
      <c r="AY155">
        <v>70</v>
      </c>
      <c r="BS155">
        <v>35</v>
      </c>
      <c r="BT155">
        <v>52.800000000000004</v>
      </c>
      <c r="BU155">
        <v>0.45</v>
      </c>
      <c r="BV155">
        <v>84.6</v>
      </c>
    </row>
    <row r="156" spans="2:74" x14ac:dyDescent="0.2">
      <c r="B156">
        <v>25</v>
      </c>
      <c r="D156">
        <v>6.2</v>
      </c>
      <c r="E156">
        <v>0.9987096774193549</v>
      </c>
      <c r="F156">
        <v>67.256637168141594</v>
      </c>
      <c r="G156">
        <v>60.077519379844958</v>
      </c>
      <c r="Y156">
        <v>25</v>
      </c>
      <c r="Z156">
        <v>70</v>
      </c>
      <c r="AF156">
        <v>10.9</v>
      </c>
      <c r="AG156">
        <v>40.476190476190474</v>
      </c>
      <c r="AL156">
        <v>1.5931914893617023</v>
      </c>
      <c r="AM156">
        <v>64</v>
      </c>
      <c r="AV156">
        <v>25</v>
      </c>
      <c r="AW156">
        <v>8.8000000000000007</v>
      </c>
      <c r="AX156">
        <v>1.780909090909091</v>
      </c>
      <c r="AY156">
        <v>22</v>
      </c>
      <c r="BS156">
        <v>35</v>
      </c>
      <c r="BT156">
        <v>52.800000000000004</v>
      </c>
      <c r="BU156">
        <v>0.45</v>
      </c>
      <c r="BV156">
        <v>85</v>
      </c>
    </row>
    <row r="157" spans="2:74" x14ac:dyDescent="0.2">
      <c r="B157">
        <v>25</v>
      </c>
      <c r="D157">
        <v>7.5</v>
      </c>
      <c r="E157">
        <v>0.62079999999999991</v>
      </c>
      <c r="F157">
        <v>62.637362637362635</v>
      </c>
      <c r="G157">
        <v>54.123711340206185</v>
      </c>
      <c r="Y157">
        <v>25</v>
      </c>
      <c r="Z157">
        <v>22</v>
      </c>
      <c r="AF157">
        <v>11</v>
      </c>
      <c r="AG157">
        <v>63.027295285359799</v>
      </c>
      <c r="AL157">
        <v>1.5931914893617023</v>
      </c>
      <c r="AM157">
        <v>71</v>
      </c>
      <c r="AV157">
        <v>25</v>
      </c>
      <c r="AW157">
        <v>9.1</v>
      </c>
      <c r="AX157">
        <v>0.48</v>
      </c>
      <c r="AY157">
        <v>63</v>
      </c>
      <c r="BS157">
        <v>12.9</v>
      </c>
      <c r="BT157">
        <v>57.2</v>
      </c>
      <c r="BU157">
        <v>0.34447552447552449</v>
      </c>
      <c r="BV157">
        <v>3.8367844092570031</v>
      </c>
    </row>
    <row r="158" spans="2:74" x14ac:dyDescent="0.2">
      <c r="B158">
        <v>25</v>
      </c>
      <c r="D158">
        <v>8</v>
      </c>
      <c r="E158">
        <v>0.6</v>
      </c>
      <c r="F158" t="s">
        <v>43</v>
      </c>
      <c r="G158">
        <v>72</v>
      </c>
      <c r="Y158">
        <v>25</v>
      </c>
      <c r="Z158">
        <v>63</v>
      </c>
      <c r="AF158">
        <v>11.2</v>
      </c>
      <c r="AG158">
        <v>41</v>
      </c>
      <c r="AL158">
        <v>1.5931914893617023</v>
      </c>
      <c r="AM158">
        <v>72</v>
      </c>
      <c r="AV158">
        <v>25</v>
      </c>
      <c r="AW158">
        <v>9.5</v>
      </c>
      <c r="AX158">
        <v>2.0715789473684212</v>
      </c>
      <c r="AY158">
        <v>23</v>
      </c>
      <c r="BS158">
        <v>13</v>
      </c>
      <c r="BT158">
        <v>60</v>
      </c>
      <c r="BU158">
        <v>0.96179999999999999</v>
      </c>
      <c r="BV158">
        <v>79.7</v>
      </c>
    </row>
    <row r="159" spans="2:74" x14ac:dyDescent="0.2">
      <c r="B159">
        <v>25</v>
      </c>
      <c r="D159">
        <v>8.6</v>
      </c>
      <c r="E159">
        <v>0.52</v>
      </c>
      <c r="F159" t="s">
        <v>43</v>
      </c>
      <c r="G159">
        <v>70</v>
      </c>
      <c r="Y159">
        <v>25</v>
      </c>
      <c r="Z159">
        <v>23</v>
      </c>
      <c r="AF159">
        <v>11.8</v>
      </c>
      <c r="AG159">
        <v>55.210237659963433</v>
      </c>
      <c r="AL159">
        <v>1.5931914893617023</v>
      </c>
      <c r="AM159">
        <v>70</v>
      </c>
      <c r="AV159">
        <v>25</v>
      </c>
      <c r="AW159">
        <v>10.5</v>
      </c>
      <c r="AX159">
        <v>1.7028571428571431</v>
      </c>
      <c r="AY159">
        <v>31</v>
      </c>
      <c r="BS159">
        <v>18</v>
      </c>
      <c r="BT159">
        <v>60</v>
      </c>
      <c r="BU159">
        <v>1.6015999999999999</v>
      </c>
      <c r="BV159">
        <v>93.9</v>
      </c>
    </row>
    <row r="160" spans="2:74" x14ac:dyDescent="0.2">
      <c r="B160">
        <v>25</v>
      </c>
      <c r="C160">
        <v>0.35</v>
      </c>
      <c r="D160">
        <v>8.8000000000000007</v>
      </c>
      <c r="E160">
        <v>1.780909090909091</v>
      </c>
      <c r="F160">
        <v>27</v>
      </c>
      <c r="G160">
        <v>22</v>
      </c>
      <c r="Y160">
        <v>25</v>
      </c>
      <c r="Z160">
        <v>31</v>
      </c>
      <c r="AF160">
        <v>12</v>
      </c>
      <c r="AG160">
        <v>43.916570104287374</v>
      </c>
      <c r="AL160">
        <v>1.5931914893617023</v>
      </c>
      <c r="AM160">
        <v>70</v>
      </c>
      <c r="AV160">
        <v>25</v>
      </c>
      <c r="AW160">
        <v>11.2</v>
      </c>
      <c r="AX160">
        <v>1.4121428571428571</v>
      </c>
      <c r="AY160">
        <v>41</v>
      </c>
      <c r="BS160">
        <v>25.5</v>
      </c>
      <c r="BT160">
        <v>72</v>
      </c>
      <c r="BU160">
        <v>0.14466666666666669</v>
      </c>
      <c r="BV160">
        <v>60.36866359447005</v>
      </c>
    </row>
    <row r="161" spans="2:74" x14ac:dyDescent="0.2">
      <c r="B161">
        <v>25</v>
      </c>
      <c r="D161">
        <v>9.1</v>
      </c>
      <c r="E161">
        <v>0.48</v>
      </c>
      <c r="F161" t="s">
        <v>43</v>
      </c>
      <c r="G161">
        <v>63</v>
      </c>
      <c r="Y161">
        <v>25</v>
      </c>
      <c r="Z161">
        <v>41</v>
      </c>
      <c r="AF161">
        <v>12</v>
      </c>
      <c r="AG161">
        <v>50</v>
      </c>
      <c r="AL161">
        <v>1.5981176470588239</v>
      </c>
      <c r="AM161">
        <v>75.441696113074215</v>
      </c>
      <c r="AV161">
        <v>25</v>
      </c>
      <c r="AW161">
        <v>13</v>
      </c>
      <c r="AX161">
        <v>1.3956923076923078</v>
      </c>
      <c r="AY161">
        <v>66</v>
      </c>
      <c r="BS161">
        <v>35</v>
      </c>
      <c r="BT161">
        <v>72</v>
      </c>
      <c r="BU161">
        <v>0.36</v>
      </c>
      <c r="BV161">
        <v>80.576208178438662</v>
      </c>
    </row>
    <row r="162" spans="2:74" x14ac:dyDescent="0.2">
      <c r="B162">
        <v>25</v>
      </c>
      <c r="C162">
        <v>0.32</v>
      </c>
      <c r="D162">
        <v>9.5</v>
      </c>
      <c r="E162">
        <v>2.0715789473684212</v>
      </c>
      <c r="F162">
        <v>8.1999999999999993</v>
      </c>
      <c r="G162">
        <v>23</v>
      </c>
      <c r="Y162">
        <v>25</v>
      </c>
      <c r="Z162">
        <v>66</v>
      </c>
      <c r="AF162">
        <v>12</v>
      </c>
      <c r="AG162">
        <v>53.2</v>
      </c>
      <c r="AL162">
        <v>1.6</v>
      </c>
      <c r="AM162">
        <v>68.5</v>
      </c>
      <c r="AV162">
        <v>25</v>
      </c>
      <c r="AW162">
        <v>16</v>
      </c>
      <c r="AX162">
        <v>1.3884000000000001</v>
      </c>
      <c r="AY162">
        <v>67.8</v>
      </c>
      <c r="BS162">
        <v>15</v>
      </c>
      <c r="BT162">
        <v>84</v>
      </c>
      <c r="BU162">
        <v>7.0000000000000007E-2</v>
      </c>
      <c r="BV162">
        <v>45.9</v>
      </c>
    </row>
    <row r="163" spans="2:74" x14ac:dyDescent="0.2">
      <c r="B163">
        <v>25</v>
      </c>
      <c r="C163">
        <v>0.28999999999999998</v>
      </c>
      <c r="D163">
        <v>10.5</v>
      </c>
      <c r="E163">
        <v>1.7028571428571431</v>
      </c>
      <c r="F163">
        <v>55</v>
      </c>
      <c r="G163">
        <v>31</v>
      </c>
      <c r="Y163">
        <v>25</v>
      </c>
      <c r="Z163">
        <v>67.8</v>
      </c>
      <c r="AF163">
        <v>12</v>
      </c>
      <c r="AG163">
        <v>67</v>
      </c>
      <c r="AL163">
        <v>1.6</v>
      </c>
      <c r="AM163">
        <v>50</v>
      </c>
      <c r="AV163">
        <v>25</v>
      </c>
      <c r="AW163">
        <v>16</v>
      </c>
      <c r="AX163">
        <v>1.3884000000000001</v>
      </c>
      <c r="AY163">
        <v>68.5</v>
      </c>
      <c r="BS163">
        <v>17</v>
      </c>
      <c r="BT163">
        <v>96</v>
      </c>
      <c r="BU163">
        <v>0.23</v>
      </c>
      <c r="BV163">
        <v>54</v>
      </c>
    </row>
    <row r="164" spans="2:74" x14ac:dyDescent="0.2">
      <c r="B164">
        <v>25</v>
      </c>
      <c r="C164">
        <v>0.27</v>
      </c>
      <c r="D164">
        <v>11.2</v>
      </c>
      <c r="E164">
        <v>1.4121428571428571</v>
      </c>
      <c r="F164">
        <v>42</v>
      </c>
      <c r="G164">
        <v>41</v>
      </c>
      <c r="Y164">
        <v>25</v>
      </c>
      <c r="Z164">
        <v>68.5</v>
      </c>
      <c r="AF164">
        <v>12.3</v>
      </c>
      <c r="AG164">
        <v>45.662100456621005</v>
      </c>
      <c r="AL164">
        <v>1.6015999999999999</v>
      </c>
      <c r="AM164">
        <v>93.9</v>
      </c>
      <c r="AV164">
        <v>25</v>
      </c>
      <c r="AW164">
        <v>24</v>
      </c>
      <c r="AX164">
        <v>0.14000000000000001</v>
      </c>
      <c r="AY164">
        <v>30</v>
      </c>
      <c r="BS164">
        <v>24</v>
      </c>
      <c r="BT164">
        <v>96</v>
      </c>
      <c r="BU164">
        <v>0.31674999999999998</v>
      </c>
      <c r="BV164">
        <v>58</v>
      </c>
    </row>
    <row r="165" spans="2:74" x14ac:dyDescent="0.2">
      <c r="B165">
        <v>25</v>
      </c>
      <c r="C165">
        <v>0.33</v>
      </c>
      <c r="D165">
        <v>13</v>
      </c>
      <c r="E165">
        <v>1.3956923076923078</v>
      </c>
      <c r="F165">
        <v>67</v>
      </c>
      <c r="G165">
        <v>66</v>
      </c>
      <c r="Y165">
        <v>25</v>
      </c>
      <c r="Z165">
        <v>30</v>
      </c>
      <c r="AF165">
        <v>12.5</v>
      </c>
      <c r="AG165">
        <v>57</v>
      </c>
      <c r="AL165">
        <v>1.664587155963303</v>
      </c>
      <c r="AM165">
        <v>40.476190476190474</v>
      </c>
      <c r="AV165">
        <v>25</v>
      </c>
      <c r="AW165">
        <v>25</v>
      </c>
      <c r="AX165">
        <v>1.5</v>
      </c>
      <c r="AY165">
        <v>62</v>
      </c>
      <c r="BS165">
        <v>9</v>
      </c>
      <c r="BT165">
        <v>103.19999999999999</v>
      </c>
      <c r="BU165">
        <v>0.43</v>
      </c>
      <c r="BV165">
        <v>65</v>
      </c>
    </row>
    <row r="166" spans="2:74" x14ac:dyDescent="0.2">
      <c r="B166">
        <v>25</v>
      </c>
      <c r="C166">
        <v>0.2</v>
      </c>
      <c r="D166">
        <v>16</v>
      </c>
      <c r="E166">
        <v>1.3884000000000001</v>
      </c>
      <c r="F166">
        <v>76</v>
      </c>
      <c r="G166">
        <v>67.8</v>
      </c>
      <c r="Y166">
        <v>25</v>
      </c>
      <c r="Z166">
        <v>62</v>
      </c>
      <c r="AF166">
        <v>12.8</v>
      </c>
      <c r="AG166">
        <v>39.726027397260275</v>
      </c>
      <c r="AL166">
        <v>1.7</v>
      </c>
      <c r="AM166">
        <v>43.916570104287374</v>
      </c>
      <c r="AV166">
        <v>25.5</v>
      </c>
      <c r="AW166">
        <v>8</v>
      </c>
      <c r="AX166">
        <v>2</v>
      </c>
      <c r="AY166">
        <v>65.938864628820966</v>
      </c>
      <c r="BS166">
        <v>16</v>
      </c>
      <c r="BT166">
        <v>103.19999999999999</v>
      </c>
      <c r="BU166">
        <v>0.43</v>
      </c>
      <c r="BV166">
        <v>33</v>
      </c>
    </row>
    <row r="167" spans="2:74" x14ac:dyDescent="0.2">
      <c r="B167">
        <v>25</v>
      </c>
      <c r="C167">
        <v>0.2</v>
      </c>
      <c r="D167">
        <v>16</v>
      </c>
      <c r="E167">
        <v>1.3884000000000001</v>
      </c>
      <c r="F167">
        <v>79</v>
      </c>
      <c r="G167">
        <v>68.5</v>
      </c>
      <c r="Y167">
        <v>25.5</v>
      </c>
      <c r="Z167">
        <v>65.938864628820966</v>
      </c>
      <c r="AF167">
        <v>13</v>
      </c>
      <c r="AG167">
        <v>66</v>
      </c>
      <c r="AL167">
        <v>1.7</v>
      </c>
      <c r="AM167">
        <v>49</v>
      </c>
      <c r="AV167">
        <v>25.5</v>
      </c>
      <c r="AW167">
        <v>13.7</v>
      </c>
      <c r="AX167">
        <v>0.26</v>
      </c>
      <c r="AY167">
        <v>54.635761589403977</v>
      </c>
      <c r="BS167">
        <v>16.5</v>
      </c>
      <c r="BT167">
        <v>103.19999999999999</v>
      </c>
      <c r="BU167">
        <v>0.89</v>
      </c>
      <c r="BV167">
        <v>70</v>
      </c>
    </row>
    <row r="168" spans="2:74" x14ac:dyDescent="0.2">
      <c r="B168">
        <v>25</v>
      </c>
      <c r="D168">
        <v>24</v>
      </c>
      <c r="E168">
        <v>0.14000000000000001</v>
      </c>
      <c r="F168" t="s">
        <v>43</v>
      </c>
      <c r="G168">
        <v>30</v>
      </c>
      <c r="Y168">
        <v>25.5</v>
      </c>
      <c r="Z168">
        <v>54.635761589403977</v>
      </c>
      <c r="AF168">
        <v>13.6</v>
      </c>
      <c r="AG168">
        <v>40.25</v>
      </c>
      <c r="AL168">
        <v>1.7028571428571431</v>
      </c>
      <c r="AM168">
        <v>31</v>
      </c>
      <c r="AV168">
        <v>25.5</v>
      </c>
      <c r="AW168">
        <v>72</v>
      </c>
      <c r="AX168">
        <v>0.14466666666666669</v>
      </c>
      <c r="AY168">
        <v>60.36866359447005</v>
      </c>
      <c r="BS168">
        <v>35</v>
      </c>
      <c r="BT168">
        <v>132</v>
      </c>
      <c r="BU168">
        <v>0.18</v>
      </c>
      <c r="BV168">
        <v>72.727272727272734</v>
      </c>
    </row>
    <row r="169" spans="2:74" x14ac:dyDescent="0.2">
      <c r="B169">
        <v>25</v>
      </c>
      <c r="C169" t="s">
        <v>355</v>
      </c>
      <c r="D169" t="s">
        <v>354</v>
      </c>
      <c r="E169" t="s">
        <v>356</v>
      </c>
      <c r="F169">
        <v>60</v>
      </c>
      <c r="G169">
        <v>62</v>
      </c>
      <c r="Y169">
        <v>25.5</v>
      </c>
      <c r="Z169">
        <v>60.36866359447005</v>
      </c>
      <c r="AF169">
        <v>13.6</v>
      </c>
      <c r="AG169">
        <v>71.085714285714289</v>
      </c>
      <c r="AL169">
        <v>1.780909090909091</v>
      </c>
      <c r="AM169">
        <v>22</v>
      </c>
      <c r="AV169">
        <v>26</v>
      </c>
      <c r="AW169">
        <v>2.7</v>
      </c>
      <c r="AX169">
        <v>5.0844444444444434</v>
      </c>
      <c r="AY169">
        <v>63.111888111888113</v>
      </c>
    </row>
    <row r="170" spans="2:74" x14ac:dyDescent="0.2">
      <c r="B170">
        <v>25</v>
      </c>
      <c r="C170" t="s">
        <v>43</v>
      </c>
      <c r="D170" t="s">
        <v>333</v>
      </c>
      <c r="E170" t="s">
        <v>43</v>
      </c>
      <c r="F170" t="s">
        <v>334</v>
      </c>
      <c r="G170" t="s">
        <v>335</v>
      </c>
      <c r="Y170">
        <v>26</v>
      </c>
      <c r="Z170">
        <v>63.111888111888113</v>
      </c>
      <c r="AF170">
        <v>13.7</v>
      </c>
      <c r="AG170">
        <v>54.635761589403977</v>
      </c>
      <c r="AL170">
        <v>1.8</v>
      </c>
      <c r="AM170">
        <v>95</v>
      </c>
      <c r="AV170">
        <v>26</v>
      </c>
      <c r="AW170">
        <v>2.7</v>
      </c>
      <c r="AX170">
        <v>5.0844444444444434</v>
      </c>
      <c r="AY170">
        <v>66.783216783216787</v>
      </c>
    </row>
    <row r="171" spans="2:74" x14ac:dyDescent="0.2">
      <c r="B171">
        <f>AVERAGE(16,35)</f>
        <v>25.5</v>
      </c>
      <c r="C171">
        <v>0.61115498147287806</v>
      </c>
      <c r="D171">
        <v>8</v>
      </c>
      <c r="E171">
        <v>2</v>
      </c>
      <c r="F171">
        <v>68.646864686468646</v>
      </c>
      <c r="G171">
        <v>65.938864628820966</v>
      </c>
      <c r="Y171">
        <v>26</v>
      </c>
      <c r="Z171">
        <v>66.783216783216787</v>
      </c>
      <c r="AF171">
        <v>13.919999999999998</v>
      </c>
      <c r="AG171">
        <v>63.7</v>
      </c>
      <c r="AL171">
        <v>1.83</v>
      </c>
      <c r="AM171">
        <v>70</v>
      </c>
      <c r="AV171">
        <v>26</v>
      </c>
      <c r="AW171">
        <v>4</v>
      </c>
      <c r="AX171">
        <v>1.9259999999999997</v>
      </c>
      <c r="AY171">
        <v>52.336448598130836</v>
      </c>
    </row>
    <row r="172" spans="2:74" x14ac:dyDescent="0.2">
      <c r="B172">
        <v>25.5</v>
      </c>
      <c r="C172">
        <v>0.11678832116788324</v>
      </c>
      <c r="D172">
        <v>13.7</v>
      </c>
      <c r="E172">
        <v>0.26</v>
      </c>
      <c r="F172">
        <v>88.965517241379317</v>
      </c>
      <c r="G172">
        <v>54.635761589403977</v>
      </c>
      <c r="Y172">
        <v>26</v>
      </c>
      <c r="Z172">
        <v>52.336448598130836</v>
      </c>
      <c r="AF172">
        <v>14</v>
      </c>
      <c r="AG172">
        <v>72</v>
      </c>
      <c r="AL172">
        <v>1.8863999999999999</v>
      </c>
      <c r="AM172">
        <v>28.753180661577609</v>
      </c>
      <c r="AV172">
        <v>26</v>
      </c>
      <c r="AW172">
        <v>4</v>
      </c>
      <c r="AX172">
        <v>1</v>
      </c>
      <c r="AY172">
        <v>53</v>
      </c>
    </row>
    <row r="173" spans="2:74" x14ac:dyDescent="0.2">
      <c r="B173">
        <v>25.5</v>
      </c>
      <c r="C173">
        <v>5.6588424210451668E-2</v>
      </c>
      <c r="D173">
        <v>72</v>
      </c>
      <c r="E173">
        <v>0.14466666666666669</v>
      </c>
      <c r="F173">
        <v>50.936329588014985</v>
      </c>
      <c r="G173">
        <v>60.36866359447005</v>
      </c>
      <c r="Y173">
        <v>26</v>
      </c>
      <c r="Z173">
        <v>53</v>
      </c>
      <c r="AF173">
        <v>14</v>
      </c>
      <c r="AG173">
        <v>73</v>
      </c>
      <c r="AL173">
        <v>1.911</v>
      </c>
      <c r="AM173">
        <v>65</v>
      </c>
      <c r="AV173">
        <v>26</v>
      </c>
      <c r="AW173">
        <v>4</v>
      </c>
      <c r="AX173">
        <v>1</v>
      </c>
      <c r="AY173">
        <v>61</v>
      </c>
    </row>
    <row r="174" spans="2:74" x14ac:dyDescent="0.2">
      <c r="B174">
        <v>26</v>
      </c>
      <c r="C174" t="s">
        <v>43</v>
      </c>
      <c r="D174">
        <v>2.7</v>
      </c>
      <c r="E174">
        <v>5.0844444444444434</v>
      </c>
      <c r="F174">
        <v>47.5</v>
      </c>
      <c r="G174">
        <v>63.111888111888113</v>
      </c>
      <c r="Y174">
        <v>26</v>
      </c>
      <c r="Z174">
        <v>61</v>
      </c>
      <c r="AF174">
        <v>14.3</v>
      </c>
      <c r="AG174">
        <v>41.509433962264154</v>
      </c>
      <c r="AL174">
        <v>1.9259999999999997</v>
      </c>
      <c r="AM174">
        <v>52.336448598130836</v>
      </c>
      <c r="AV174">
        <v>26</v>
      </c>
      <c r="AW174">
        <v>4</v>
      </c>
      <c r="AX174">
        <v>1</v>
      </c>
      <c r="AY174">
        <v>73</v>
      </c>
    </row>
    <row r="175" spans="2:74" x14ac:dyDescent="0.2">
      <c r="B175">
        <v>26</v>
      </c>
      <c r="C175" t="s">
        <v>43</v>
      </c>
      <c r="D175">
        <v>2.7</v>
      </c>
      <c r="E175">
        <v>5.0844444444444434</v>
      </c>
      <c r="F175">
        <v>46.428571428571431</v>
      </c>
      <c r="G175">
        <v>66.783216783216787</v>
      </c>
      <c r="Y175">
        <v>26</v>
      </c>
      <c r="Z175">
        <v>73</v>
      </c>
      <c r="AF175">
        <v>14.5</v>
      </c>
      <c r="AG175">
        <v>44.508670520231213</v>
      </c>
      <c r="AL175">
        <v>1.9493877551020407</v>
      </c>
      <c r="AM175">
        <v>16.206030150753769</v>
      </c>
      <c r="AV175">
        <v>26</v>
      </c>
      <c r="AW175">
        <v>6</v>
      </c>
      <c r="AX175">
        <v>0.53</v>
      </c>
      <c r="AY175">
        <v>47</v>
      </c>
    </row>
    <row r="176" spans="2:74" x14ac:dyDescent="0.2">
      <c r="B176">
        <f>AVERAGE(17,35)</f>
        <v>26</v>
      </c>
      <c r="C176">
        <v>0.42</v>
      </c>
      <c r="D176">
        <v>4</v>
      </c>
      <c r="E176">
        <v>1.9259999999999997</v>
      </c>
      <c r="F176">
        <v>62</v>
      </c>
      <c r="G176">
        <v>52.336448598130836</v>
      </c>
      <c r="Y176">
        <v>26</v>
      </c>
      <c r="Z176">
        <v>47</v>
      </c>
      <c r="AF176">
        <v>14.5</v>
      </c>
      <c r="AG176">
        <v>64.5</v>
      </c>
      <c r="AL176">
        <v>1.9903999999999997</v>
      </c>
      <c r="AM176">
        <v>83.60128617363344</v>
      </c>
      <c r="AV176">
        <v>26</v>
      </c>
      <c r="AW176">
        <v>6</v>
      </c>
      <c r="AX176">
        <v>0.53</v>
      </c>
      <c r="AY176">
        <v>47</v>
      </c>
    </row>
    <row r="177" spans="2:51" x14ac:dyDescent="0.2">
      <c r="B177">
        <v>26</v>
      </c>
      <c r="C177">
        <v>0.60546875</v>
      </c>
      <c r="D177">
        <v>4</v>
      </c>
      <c r="E177">
        <v>1</v>
      </c>
      <c r="F177" t="s">
        <v>43</v>
      </c>
      <c r="G177">
        <v>53</v>
      </c>
      <c r="Y177">
        <v>26</v>
      </c>
      <c r="Z177">
        <v>47</v>
      </c>
      <c r="AF177">
        <v>15.6</v>
      </c>
      <c r="AG177">
        <v>59</v>
      </c>
      <c r="AL177">
        <v>2</v>
      </c>
      <c r="AM177">
        <v>75</v>
      </c>
      <c r="AV177">
        <v>26</v>
      </c>
      <c r="AW177">
        <v>6</v>
      </c>
      <c r="AX177">
        <v>0.53</v>
      </c>
      <c r="AY177">
        <v>62</v>
      </c>
    </row>
    <row r="178" spans="2:51" x14ac:dyDescent="0.2">
      <c r="B178">
        <v>26</v>
      </c>
      <c r="C178">
        <v>0.60546875</v>
      </c>
      <c r="D178">
        <v>4</v>
      </c>
      <c r="E178">
        <v>1</v>
      </c>
      <c r="F178" t="s">
        <v>43</v>
      </c>
      <c r="G178">
        <v>61</v>
      </c>
      <c r="Y178">
        <v>26</v>
      </c>
      <c r="Z178">
        <v>62</v>
      </c>
      <c r="AF178">
        <v>16</v>
      </c>
      <c r="AG178">
        <v>67.8</v>
      </c>
      <c r="AL178">
        <v>2</v>
      </c>
      <c r="AM178">
        <v>70</v>
      </c>
      <c r="AV178">
        <v>26</v>
      </c>
      <c r="AW178">
        <v>8</v>
      </c>
      <c r="AX178">
        <v>0.63</v>
      </c>
      <c r="AY178">
        <v>61</v>
      </c>
    </row>
    <row r="179" spans="2:51" x14ac:dyDescent="0.2">
      <c r="B179">
        <v>26</v>
      </c>
      <c r="C179">
        <v>0.60546875</v>
      </c>
      <c r="D179">
        <v>4</v>
      </c>
      <c r="E179">
        <v>1</v>
      </c>
      <c r="F179" t="s">
        <v>43</v>
      </c>
      <c r="G179">
        <v>73</v>
      </c>
      <c r="Y179">
        <v>26</v>
      </c>
      <c r="Z179">
        <v>61</v>
      </c>
      <c r="AF179">
        <v>16</v>
      </c>
      <c r="AG179">
        <v>68.5</v>
      </c>
      <c r="AL179">
        <v>2</v>
      </c>
      <c r="AM179">
        <v>75</v>
      </c>
      <c r="AV179">
        <v>26</v>
      </c>
      <c r="AW179">
        <v>8</v>
      </c>
      <c r="AX179">
        <v>0.63</v>
      </c>
      <c r="AY179">
        <v>65</v>
      </c>
    </row>
    <row r="180" spans="2:51" x14ac:dyDescent="0.2">
      <c r="B180">
        <v>26</v>
      </c>
      <c r="C180">
        <v>0.40364583333333331</v>
      </c>
      <c r="D180">
        <v>6</v>
      </c>
      <c r="E180">
        <v>0.53</v>
      </c>
      <c r="F180" t="s">
        <v>43</v>
      </c>
      <c r="G180">
        <v>47</v>
      </c>
      <c r="Y180">
        <v>26</v>
      </c>
      <c r="Z180">
        <v>65</v>
      </c>
      <c r="AF180">
        <v>16</v>
      </c>
      <c r="AG180">
        <v>82.608695652173907</v>
      </c>
      <c r="AL180">
        <v>2</v>
      </c>
      <c r="AM180">
        <v>65.938864628820966</v>
      </c>
      <c r="AV180">
        <v>26</v>
      </c>
      <c r="AW180">
        <v>8</v>
      </c>
      <c r="AX180">
        <v>0.63</v>
      </c>
      <c r="AY180">
        <v>81</v>
      </c>
    </row>
    <row r="181" spans="2:51" x14ac:dyDescent="0.2">
      <c r="B181">
        <v>26</v>
      </c>
      <c r="C181">
        <v>0.40364583333333331</v>
      </c>
      <c r="D181">
        <v>6</v>
      </c>
      <c r="E181">
        <v>0.53</v>
      </c>
      <c r="F181" t="s">
        <v>43</v>
      </c>
      <c r="G181">
        <v>47</v>
      </c>
      <c r="Y181">
        <v>26</v>
      </c>
      <c r="Z181">
        <v>81</v>
      </c>
      <c r="AF181">
        <v>16.7</v>
      </c>
      <c r="AG181">
        <v>54.320987654320987</v>
      </c>
      <c r="AL181">
        <v>2.04</v>
      </c>
      <c r="AM181">
        <v>90</v>
      </c>
      <c r="AV181">
        <v>26</v>
      </c>
      <c r="AW181">
        <v>12</v>
      </c>
      <c r="AX181">
        <v>1.6</v>
      </c>
      <c r="AY181">
        <v>50</v>
      </c>
    </row>
    <row r="182" spans="2:51" x14ac:dyDescent="0.2">
      <c r="B182">
        <v>26</v>
      </c>
      <c r="C182">
        <v>0.40364583333333331</v>
      </c>
      <c r="D182">
        <v>6</v>
      </c>
      <c r="E182">
        <v>0.53</v>
      </c>
      <c r="F182" t="s">
        <v>43</v>
      </c>
      <c r="G182">
        <v>62</v>
      </c>
      <c r="Y182">
        <v>26</v>
      </c>
      <c r="Z182">
        <v>77</v>
      </c>
      <c r="AF182">
        <v>18</v>
      </c>
      <c r="AG182">
        <v>56.8</v>
      </c>
      <c r="AL182">
        <v>2.0460000000000003</v>
      </c>
      <c r="AM182">
        <v>65.102639296187675</v>
      </c>
      <c r="AV182">
        <v>26</v>
      </c>
      <c r="AW182">
        <v>24</v>
      </c>
      <c r="AX182">
        <v>0.24299999999999999</v>
      </c>
      <c r="AY182">
        <v>77</v>
      </c>
    </row>
    <row r="183" spans="2:51" x14ac:dyDescent="0.2">
      <c r="B183">
        <v>26</v>
      </c>
      <c r="C183">
        <v>0.302734375</v>
      </c>
      <c r="D183">
        <v>8</v>
      </c>
      <c r="E183">
        <v>0.63</v>
      </c>
      <c r="F183" t="s">
        <v>43</v>
      </c>
      <c r="G183">
        <v>61</v>
      </c>
      <c r="Y183">
        <v>26</v>
      </c>
      <c r="Z183">
        <v>50</v>
      </c>
      <c r="AF183">
        <v>18</v>
      </c>
      <c r="AG183">
        <v>73</v>
      </c>
      <c r="AL183">
        <v>2.0608000000000004</v>
      </c>
      <c r="AM183">
        <v>79.968944099378874</v>
      </c>
      <c r="AV183">
        <v>26.5</v>
      </c>
      <c r="AW183">
        <v>6</v>
      </c>
      <c r="AX183">
        <v>0.87</v>
      </c>
      <c r="AY183">
        <v>70</v>
      </c>
    </row>
    <row r="184" spans="2:51" x14ac:dyDescent="0.2">
      <c r="B184">
        <v>26</v>
      </c>
      <c r="C184">
        <v>0.302734375</v>
      </c>
      <c r="D184">
        <v>8</v>
      </c>
      <c r="E184">
        <v>0.63</v>
      </c>
      <c r="F184" t="s">
        <v>43</v>
      </c>
      <c r="G184">
        <v>65</v>
      </c>
      <c r="Y184">
        <v>26.5</v>
      </c>
      <c r="Z184">
        <v>70</v>
      </c>
      <c r="AF184">
        <v>18</v>
      </c>
      <c r="AG184">
        <v>74</v>
      </c>
      <c r="AL184">
        <v>2.0715789473684212</v>
      </c>
      <c r="AM184">
        <v>23</v>
      </c>
      <c r="AV184">
        <v>26.5</v>
      </c>
      <c r="AW184">
        <v>6</v>
      </c>
      <c r="AX184">
        <v>0.87</v>
      </c>
      <c r="AY184">
        <v>82</v>
      </c>
    </row>
    <row r="185" spans="2:51" x14ac:dyDescent="0.2">
      <c r="B185">
        <v>26</v>
      </c>
      <c r="C185">
        <v>0.302734375</v>
      </c>
      <c r="D185">
        <v>8</v>
      </c>
      <c r="E185">
        <v>0.63</v>
      </c>
      <c r="F185" t="s">
        <v>43</v>
      </c>
      <c r="G185">
        <v>81</v>
      </c>
      <c r="Y185">
        <v>26.5</v>
      </c>
      <c r="Z185">
        <v>82</v>
      </c>
      <c r="AF185">
        <v>19.919999999999998</v>
      </c>
      <c r="AG185">
        <v>68.8</v>
      </c>
      <c r="AL185">
        <v>2.1</v>
      </c>
      <c r="AM185">
        <v>48</v>
      </c>
      <c r="AV185">
        <v>27</v>
      </c>
      <c r="AW185">
        <v>1</v>
      </c>
      <c r="AX185">
        <v>17.184000000000001</v>
      </c>
      <c r="AY185">
        <v>34.497206703910614</v>
      </c>
    </row>
    <row r="186" spans="2:51" x14ac:dyDescent="0.2">
      <c r="B186">
        <v>26</v>
      </c>
      <c r="C186">
        <v>4.1666666666666664E-2</v>
      </c>
      <c r="D186">
        <v>24</v>
      </c>
      <c r="E186">
        <v>0.24299999999999999</v>
      </c>
      <c r="F186">
        <v>86</v>
      </c>
      <c r="G186">
        <v>77</v>
      </c>
      <c r="Y186">
        <v>27</v>
      </c>
      <c r="Z186">
        <v>34.497206703910614</v>
      </c>
      <c r="AF186">
        <v>20</v>
      </c>
      <c r="AG186">
        <v>80.810810810810821</v>
      </c>
      <c r="AL186">
        <v>2.1280000000000001</v>
      </c>
      <c r="AM186">
        <v>63</v>
      </c>
      <c r="AV186">
        <v>27</v>
      </c>
      <c r="AW186">
        <v>2</v>
      </c>
      <c r="AX186">
        <v>9.4440000000000008</v>
      </c>
      <c r="AY186">
        <v>44.599745870393903</v>
      </c>
    </row>
    <row r="187" spans="2:51" x14ac:dyDescent="0.2">
      <c r="B187">
        <f>AVERAGE(23.5,28.5)</f>
        <v>26</v>
      </c>
      <c r="C187">
        <v>0.45</v>
      </c>
      <c r="D187" t="s">
        <v>290</v>
      </c>
      <c r="E187" t="s">
        <v>293</v>
      </c>
      <c r="F187" t="s">
        <v>43</v>
      </c>
      <c r="G187">
        <v>50</v>
      </c>
      <c r="Y187">
        <v>27</v>
      </c>
      <c r="Z187">
        <v>44.599745870393903</v>
      </c>
      <c r="AF187">
        <v>21.4</v>
      </c>
      <c r="AG187">
        <v>60</v>
      </c>
      <c r="AL187">
        <v>2.1431578947368419</v>
      </c>
      <c r="AM187">
        <v>49</v>
      </c>
      <c r="AV187">
        <v>27</v>
      </c>
      <c r="AW187">
        <v>4</v>
      </c>
      <c r="AX187">
        <v>4.62</v>
      </c>
      <c r="AY187">
        <v>45.97402597402597</v>
      </c>
    </row>
    <row r="188" spans="2:51" x14ac:dyDescent="0.2">
      <c r="B188">
        <v>26.5</v>
      </c>
      <c r="C188">
        <v>0.11904761904761905</v>
      </c>
      <c r="D188">
        <v>6</v>
      </c>
      <c r="E188">
        <v>0.87</v>
      </c>
      <c r="F188" t="s">
        <v>43</v>
      </c>
      <c r="G188">
        <v>70</v>
      </c>
      <c r="Y188">
        <v>27</v>
      </c>
      <c r="Z188">
        <v>45.97402597402597</v>
      </c>
      <c r="AF188">
        <v>21.6</v>
      </c>
      <c r="AG188">
        <v>57</v>
      </c>
      <c r="AL188">
        <v>2.1431578947368419</v>
      </c>
      <c r="AM188">
        <v>53</v>
      </c>
      <c r="AV188">
        <v>27</v>
      </c>
      <c r="AW188">
        <v>6</v>
      </c>
      <c r="AX188">
        <v>0.36800000000000005</v>
      </c>
      <c r="AY188">
        <v>53.260869565217398</v>
      </c>
    </row>
    <row r="189" spans="2:51" x14ac:dyDescent="0.2">
      <c r="B189">
        <v>26.5</v>
      </c>
      <c r="C189">
        <v>0.11904761904761905</v>
      </c>
      <c r="D189">
        <v>6</v>
      </c>
      <c r="E189">
        <v>0.87</v>
      </c>
      <c r="F189" t="s">
        <v>43</v>
      </c>
      <c r="G189">
        <v>82</v>
      </c>
      <c r="Y189">
        <v>27</v>
      </c>
      <c r="Z189">
        <v>57.965686274509807</v>
      </c>
      <c r="AF189">
        <v>23</v>
      </c>
      <c r="AG189">
        <v>38</v>
      </c>
      <c r="AL189">
        <v>2.2000000000000002</v>
      </c>
      <c r="AM189">
        <v>48.113207547169814</v>
      </c>
      <c r="AV189">
        <v>27</v>
      </c>
      <c r="AW189">
        <v>6</v>
      </c>
      <c r="AX189">
        <v>0.77999999999999992</v>
      </c>
      <c r="AY189">
        <v>54.358974358974358</v>
      </c>
    </row>
    <row r="190" spans="2:51" x14ac:dyDescent="0.2">
      <c r="B190">
        <v>27</v>
      </c>
      <c r="C190">
        <v>3.8197186342054876</v>
      </c>
      <c r="D190">
        <v>1</v>
      </c>
      <c r="E190">
        <v>17.184000000000001</v>
      </c>
      <c r="F190" t="s">
        <v>43</v>
      </c>
      <c r="G190">
        <v>34.497206703910614</v>
      </c>
      <c r="Y190">
        <v>27</v>
      </c>
      <c r="Z190">
        <v>61.621621621621628</v>
      </c>
      <c r="AF190">
        <v>23</v>
      </c>
      <c r="AG190">
        <v>50</v>
      </c>
      <c r="AL190">
        <v>2.2199999999999998</v>
      </c>
      <c r="AM190">
        <v>61.621621621621628</v>
      </c>
      <c r="AV190">
        <v>27</v>
      </c>
      <c r="AW190">
        <v>6</v>
      </c>
      <c r="AX190">
        <v>3.2640000000000002</v>
      </c>
      <c r="AY190">
        <v>57.965686274509807</v>
      </c>
    </row>
    <row r="191" spans="2:51" x14ac:dyDescent="0.2">
      <c r="B191">
        <v>27</v>
      </c>
      <c r="C191">
        <v>1.9098593171027438</v>
      </c>
      <c r="D191">
        <v>2</v>
      </c>
      <c r="E191">
        <v>9.4440000000000008</v>
      </c>
      <c r="F191" t="s">
        <v>43</v>
      </c>
      <c r="G191">
        <v>44.599745870393903</v>
      </c>
      <c r="Y191">
        <v>27</v>
      </c>
      <c r="Z191">
        <v>65.100671140939596</v>
      </c>
      <c r="AF191">
        <v>24</v>
      </c>
      <c r="AG191">
        <v>26</v>
      </c>
      <c r="AL191">
        <v>2.238</v>
      </c>
      <c r="AM191">
        <v>53.619302949061662</v>
      </c>
      <c r="AV191">
        <v>27</v>
      </c>
      <c r="AW191">
        <v>6</v>
      </c>
      <c r="AX191">
        <v>2.2199999999999998</v>
      </c>
      <c r="AY191">
        <v>61.621621621621628</v>
      </c>
    </row>
    <row r="192" spans="2:51" x14ac:dyDescent="0.2">
      <c r="B192">
        <v>27</v>
      </c>
      <c r="C192">
        <v>0.95492965855137191</v>
      </c>
      <c r="D192">
        <v>4</v>
      </c>
      <c r="E192">
        <v>4.62</v>
      </c>
      <c r="F192" t="s">
        <v>43</v>
      </c>
      <c r="G192">
        <v>45.97402597402597</v>
      </c>
      <c r="Y192">
        <v>27</v>
      </c>
      <c r="Z192">
        <v>54.358974358974358</v>
      </c>
      <c r="AF192">
        <v>24</v>
      </c>
      <c r="AG192">
        <v>30</v>
      </c>
      <c r="AL192">
        <v>2.2520000000000002</v>
      </c>
      <c r="AM192">
        <v>68.383658969804614</v>
      </c>
      <c r="AV192">
        <v>27</v>
      </c>
      <c r="AW192">
        <v>6</v>
      </c>
      <c r="AX192">
        <v>1.1919999999999999</v>
      </c>
      <c r="AY192">
        <v>65.100671140939596</v>
      </c>
    </row>
    <row r="193" spans="2:51" x14ac:dyDescent="0.2">
      <c r="B193">
        <v>27</v>
      </c>
      <c r="C193">
        <v>0.63661977236758127</v>
      </c>
      <c r="D193">
        <v>6</v>
      </c>
      <c r="E193">
        <v>3.2640000000000002</v>
      </c>
      <c r="F193" t="s">
        <v>43</v>
      </c>
      <c r="G193">
        <v>57.965686274509807</v>
      </c>
      <c r="Y193">
        <v>27</v>
      </c>
      <c r="Z193">
        <v>53.260869565217398</v>
      </c>
      <c r="AF193">
        <v>24</v>
      </c>
      <c r="AG193">
        <v>41</v>
      </c>
      <c r="AL193">
        <v>2.2520000000000002</v>
      </c>
      <c r="AM193">
        <v>73.53463587921847</v>
      </c>
      <c r="AV193">
        <v>27</v>
      </c>
      <c r="AW193">
        <v>8.5</v>
      </c>
      <c r="AX193">
        <v>1.5981176470588239</v>
      </c>
      <c r="AY193">
        <v>75.441696113074215</v>
      </c>
    </row>
    <row r="194" spans="2:51" x14ac:dyDescent="0.2">
      <c r="B194">
        <v>27</v>
      </c>
      <c r="C194">
        <v>0.63661977236758127</v>
      </c>
      <c r="D194">
        <v>6</v>
      </c>
      <c r="E194">
        <v>2.2199999999999998</v>
      </c>
      <c r="F194" t="s">
        <v>43</v>
      </c>
      <c r="G194">
        <v>61.621621621621628</v>
      </c>
      <c r="Y194">
        <v>27</v>
      </c>
      <c r="Z194">
        <v>75.441696113074215</v>
      </c>
      <c r="AF194">
        <v>24</v>
      </c>
      <c r="AG194">
        <v>57</v>
      </c>
      <c r="AL194">
        <v>2.2520000000000002</v>
      </c>
      <c r="AM194">
        <v>69.982238010657198</v>
      </c>
      <c r="AV194">
        <v>27</v>
      </c>
      <c r="AW194">
        <v>8.8000000000000007</v>
      </c>
      <c r="AX194">
        <v>0.80727272727272714</v>
      </c>
      <c r="AY194">
        <v>62.5</v>
      </c>
    </row>
    <row r="195" spans="2:51" x14ac:dyDescent="0.2">
      <c r="B195">
        <v>27</v>
      </c>
      <c r="C195">
        <v>0.63661977236758127</v>
      </c>
      <c r="D195">
        <v>6</v>
      </c>
      <c r="E195">
        <v>1.1919999999999999</v>
      </c>
      <c r="F195" t="s">
        <v>43</v>
      </c>
      <c r="G195">
        <v>65.100671140939596</v>
      </c>
      <c r="Y195">
        <v>27</v>
      </c>
      <c r="Z195">
        <v>62.5</v>
      </c>
      <c r="AF195">
        <v>24</v>
      </c>
      <c r="AG195">
        <v>57.9</v>
      </c>
      <c r="AL195">
        <v>2.2759999999999998</v>
      </c>
      <c r="AM195">
        <v>71</v>
      </c>
      <c r="AV195">
        <v>27</v>
      </c>
      <c r="AW195">
        <v>9.3000000000000007</v>
      </c>
      <c r="AX195">
        <v>0.65032258064516124</v>
      </c>
      <c r="AY195">
        <v>43.253968253968253</v>
      </c>
    </row>
    <row r="196" spans="2:51" x14ac:dyDescent="0.2">
      <c r="B196">
        <v>27</v>
      </c>
      <c r="C196">
        <v>0.63661977236758127</v>
      </c>
      <c r="D196">
        <v>6</v>
      </c>
      <c r="E196">
        <v>0.77999999999999992</v>
      </c>
      <c r="F196" t="s">
        <v>43</v>
      </c>
      <c r="G196">
        <v>54.358974358974358</v>
      </c>
      <c r="Y196">
        <v>27</v>
      </c>
      <c r="Z196">
        <v>43.253968253968253</v>
      </c>
      <c r="AF196">
        <v>24</v>
      </c>
      <c r="AG196">
        <v>64</v>
      </c>
      <c r="AL196">
        <v>2.3284210526315783</v>
      </c>
      <c r="AM196">
        <v>56</v>
      </c>
      <c r="AV196">
        <v>27</v>
      </c>
      <c r="AW196">
        <v>9.5</v>
      </c>
      <c r="AX196">
        <v>0.9701052631578948</v>
      </c>
      <c r="AY196">
        <v>46.354166666666671</v>
      </c>
    </row>
    <row r="197" spans="2:51" x14ac:dyDescent="0.2">
      <c r="B197">
        <v>27</v>
      </c>
      <c r="C197">
        <v>0.63661977236758127</v>
      </c>
      <c r="D197">
        <v>6</v>
      </c>
      <c r="E197">
        <v>0.36800000000000005</v>
      </c>
      <c r="F197" t="s">
        <v>43</v>
      </c>
      <c r="G197">
        <v>53.260869565217398</v>
      </c>
      <c r="Y197">
        <v>27</v>
      </c>
      <c r="Z197">
        <v>46.354166666666671</v>
      </c>
      <c r="AF197">
        <v>24</v>
      </c>
      <c r="AG197">
        <v>70</v>
      </c>
      <c r="AL197">
        <v>2.4</v>
      </c>
      <c r="AM197">
        <v>62.2</v>
      </c>
      <c r="AV197">
        <v>27</v>
      </c>
      <c r="AW197">
        <v>9.8000000000000007</v>
      </c>
      <c r="AX197">
        <v>1.9493877551020407</v>
      </c>
      <c r="AY197">
        <v>16.206030150753769</v>
      </c>
    </row>
    <row r="198" spans="2:51" x14ac:dyDescent="0.2">
      <c r="B198">
        <v>27</v>
      </c>
      <c r="C198">
        <v>0.56666666666666665</v>
      </c>
      <c r="D198">
        <v>8.5</v>
      </c>
      <c r="E198">
        <v>1.5981176470588239</v>
      </c>
      <c r="F198">
        <v>70.466321243523311</v>
      </c>
      <c r="G198">
        <v>75.441696113074215</v>
      </c>
      <c r="Y198">
        <v>27</v>
      </c>
      <c r="Z198">
        <v>16.206030150753769</v>
      </c>
      <c r="AF198">
        <v>24</v>
      </c>
      <c r="AG198">
        <v>77</v>
      </c>
      <c r="AL198">
        <v>2.4</v>
      </c>
      <c r="AM198">
        <v>64</v>
      </c>
      <c r="AV198">
        <v>27</v>
      </c>
      <c r="AW198">
        <v>10.199999999999999</v>
      </c>
      <c r="AX198">
        <v>1.2682352941176471</v>
      </c>
      <c r="AY198">
        <v>49.165120593692023</v>
      </c>
    </row>
    <row r="199" spans="2:51" x14ac:dyDescent="0.2">
      <c r="B199">
        <v>27</v>
      </c>
      <c r="C199">
        <v>0.54166666666666663</v>
      </c>
      <c r="D199">
        <v>8.8000000000000007</v>
      </c>
      <c r="E199">
        <v>0.80727272727272714</v>
      </c>
      <c r="F199">
        <v>61.589403973509938</v>
      </c>
      <c r="G199">
        <v>62.5</v>
      </c>
      <c r="Y199">
        <v>27</v>
      </c>
      <c r="Z199">
        <v>49.165120593692023</v>
      </c>
      <c r="AF199">
        <v>24</v>
      </c>
      <c r="AG199">
        <v>82.5</v>
      </c>
      <c r="AL199">
        <v>2.4000000000000004</v>
      </c>
      <c r="AM199">
        <v>70.428571428571431</v>
      </c>
      <c r="AV199">
        <v>27</v>
      </c>
      <c r="AW199">
        <v>10.4</v>
      </c>
      <c r="AX199">
        <v>0.87461538461538446</v>
      </c>
      <c r="AY199">
        <v>58.311345646437992</v>
      </c>
    </row>
    <row r="200" spans="2:51" x14ac:dyDescent="0.2">
      <c r="B200">
        <v>27</v>
      </c>
      <c r="C200">
        <v>0.5625</v>
      </c>
      <c r="D200">
        <v>9.3000000000000007</v>
      </c>
      <c r="E200">
        <v>0.65032258064516124</v>
      </c>
      <c r="F200">
        <v>40.495867768595041</v>
      </c>
      <c r="G200">
        <v>43.253968253968253</v>
      </c>
      <c r="Y200">
        <v>27</v>
      </c>
      <c r="Z200">
        <v>58.311345646437992</v>
      </c>
      <c r="AF200">
        <v>25</v>
      </c>
      <c r="AG200">
        <v>51</v>
      </c>
      <c r="AL200">
        <v>2.4000000000000004</v>
      </c>
      <c r="AM200">
        <v>71.142857142857139</v>
      </c>
      <c r="AV200">
        <v>27</v>
      </c>
      <c r="AW200">
        <v>11.8</v>
      </c>
      <c r="AX200">
        <v>1.1125423728813557</v>
      </c>
      <c r="AY200">
        <v>55.210237659963433</v>
      </c>
    </row>
    <row r="201" spans="2:51" x14ac:dyDescent="0.2">
      <c r="B201">
        <v>27</v>
      </c>
      <c r="C201">
        <v>0.53333333333333333</v>
      </c>
      <c r="D201">
        <v>9.5</v>
      </c>
      <c r="E201">
        <v>0.9701052631578948</v>
      </c>
      <c r="F201">
        <v>17.123287671232877</v>
      </c>
      <c r="G201">
        <v>46.354166666666671</v>
      </c>
      <c r="Y201">
        <v>27</v>
      </c>
      <c r="Z201">
        <v>55.210237659963433</v>
      </c>
      <c r="AF201">
        <v>25</v>
      </c>
      <c r="AG201">
        <v>58</v>
      </c>
      <c r="AL201">
        <v>2.4359999999999999</v>
      </c>
      <c r="AM201">
        <v>65.024630541871915</v>
      </c>
      <c r="AV201">
        <v>27</v>
      </c>
      <c r="AW201">
        <v>48</v>
      </c>
      <c r="AX201">
        <v>0.5704999999999999</v>
      </c>
      <c r="AY201">
        <v>66</v>
      </c>
    </row>
    <row r="202" spans="2:51" x14ac:dyDescent="0.2">
      <c r="B202">
        <v>27</v>
      </c>
      <c r="C202">
        <v>0.52083333333333337</v>
      </c>
      <c r="D202">
        <v>9.8000000000000007</v>
      </c>
      <c r="E202">
        <v>1.9493877551020407</v>
      </c>
      <c r="F202">
        <v>51.201011378002526</v>
      </c>
      <c r="G202">
        <v>16.206030150753769</v>
      </c>
      <c r="Y202">
        <v>27</v>
      </c>
      <c r="Z202">
        <v>66</v>
      </c>
      <c r="AF202">
        <v>25</v>
      </c>
      <c r="AG202">
        <v>59.574468085106382</v>
      </c>
      <c r="AL202">
        <v>2.474181818181818</v>
      </c>
      <c r="AM202">
        <v>69.135802469135797</v>
      </c>
      <c r="AV202">
        <v>27.3</v>
      </c>
      <c r="AW202">
        <v>10</v>
      </c>
      <c r="AX202">
        <v>0.47</v>
      </c>
      <c r="AY202">
        <v>68.341708542713562</v>
      </c>
    </row>
    <row r="203" spans="2:51" x14ac:dyDescent="0.2">
      <c r="B203">
        <v>27</v>
      </c>
      <c r="C203">
        <v>0.6166666666666667</v>
      </c>
      <c r="D203">
        <v>10.199999999999999</v>
      </c>
      <c r="E203">
        <v>1.2682352941176471</v>
      </c>
      <c r="F203">
        <v>66.834170854271363</v>
      </c>
      <c r="G203">
        <v>49.165120593692023</v>
      </c>
      <c r="Y203">
        <v>27.3</v>
      </c>
      <c r="Z203">
        <v>68.341708542713562</v>
      </c>
      <c r="AF203">
        <v>25</v>
      </c>
      <c r="AG203">
        <v>62</v>
      </c>
      <c r="AL203">
        <v>2.474181818181818</v>
      </c>
      <c r="AM203">
        <v>72.663139329805986</v>
      </c>
      <c r="AV203">
        <v>27.4</v>
      </c>
      <c r="AW203">
        <v>7.5</v>
      </c>
      <c r="AX203">
        <v>2.0608000000000004</v>
      </c>
      <c r="AY203">
        <v>79.968944099378874</v>
      </c>
    </row>
    <row r="204" spans="2:51" x14ac:dyDescent="0.2">
      <c r="B204">
        <v>27</v>
      </c>
      <c r="C204">
        <v>0.58750000000000002</v>
      </c>
      <c r="D204">
        <v>10.4</v>
      </c>
      <c r="E204">
        <v>0.87461538461538446</v>
      </c>
      <c r="F204">
        <v>56.748466257668717</v>
      </c>
      <c r="G204">
        <v>58.311345646437992</v>
      </c>
      <c r="Y204">
        <v>27.4</v>
      </c>
      <c r="Z204">
        <v>79.968944099378874</v>
      </c>
      <c r="AF204">
        <v>25</v>
      </c>
      <c r="AG204">
        <v>75.161290322580655</v>
      </c>
      <c r="AL204">
        <v>2.544</v>
      </c>
      <c r="AM204">
        <v>60.141509433962256</v>
      </c>
      <c r="AV204">
        <v>27.4</v>
      </c>
      <c r="AW204">
        <v>7.5</v>
      </c>
      <c r="AX204">
        <v>1.9903999999999997</v>
      </c>
      <c r="AY204">
        <v>83.60128617363344</v>
      </c>
    </row>
    <row r="205" spans="2:51" x14ac:dyDescent="0.2">
      <c r="B205">
        <v>27</v>
      </c>
      <c r="C205">
        <v>0.43333333333333335</v>
      </c>
      <c r="D205">
        <v>11.8</v>
      </c>
      <c r="E205">
        <v>1.1125423728813557</v>
      </c>
      <c r="F205">
        <v>49.440715883668908</v>
      </c>
      <c r="G205">
        <v>55.210237659963433</v>
      </c>
      <c r="Y205">
        <v>27.4</v>
      </c>
      <c r="Z205">
        <v>88.627935723114959</v>
      </c>
      <c r="AF205">
        <v>30</v>
      </c>
      <c r="AG205">
        <v>70</v>
      </c>
      <c r="AL205">
        <v>2.548</v>
      </c>
      <c r="AM205">
        <v>61</v>
      </c>
      <c r="AV205">
        <v>27.4</v>
      </c>
      <c r="AW205">
        <v>7.5</v>
      </c>
      <c r="AX205">
        <v>2.5888</v>
      </c>
      <c r="AY205">
        <v>88.627935723114959</v>
      </c>
    </row>
    <row r="206" spans="2:51" x14ac:dyDescent="0.2">
      <c r="B206">
        <v>27</v>
      </c>
      <c r="D206">
        <v>48</v>
      </c>
      <c r="E206">
        <v>0.5704999999999999</v>
      </c>
      <c r="F206">
        <v>45</v>
      </c>
      <c r="G206">
        <v>66</v>
      </c>
      <c r="Y206">
        <v>27.4</v>
      </c>
      <c r="Z206">
        <v>83.60128617363344</v>
      </c>
      <c r="AF206">
        <v>32</v>
      </c>
      <c r="AG206">
        <v>61.629881154499152</v>
      </c>
      <c r="AL206">
        <v>2.5888</v>
      </c>
      <c r="AM206">
        <v>88.627935723114959</v>
      </c>
      <c r="AV206">
        <v>27.9</v>
      </c>
      <c r="AW206">
        <v>16.7</v>
      </c>
      <c r="AX206">
        <v>0.23</v>
      </c>
      <c r="AY206">
        <v>54.320987654320987</v>
      </c>
    </row>
    <row r="207" spans="2:51" x14ac:dyDescent="0.2">
      <c r="B207">
        <v>27.3</v>
      </c>
      <c r="C207">
        <v>0.16</v>
      </c>
      <c r="D207">
        <v>10</v>
      </c>
      <c r="E207">
        <v>0.47</v>
      </c>
      <c r="F207">
        <v>65.217391304347828</v>
      </c>
      <c r="G207">
        <v>68.341708542713562</v>
      </c>
      <c r="Y207">
        <v>27.9</v>
      </c>
      <c r="Z207">
        <v>54.320987654320987</v>
      </c>
      <c r="AF207">
        <v>33.5</v>
      </c>
      <c r="AG207">
        <v>54.748603351955303</v>
      </c>
      <c r="AL207">
        <v>2.6</v>
      </c>
      <c r="AM207">
        <v>19.941348973607038</v>
      </c>
      <c r="AV207">
        <v>28</v>
      </c>
      <c r="AW207">
        <v>6</v>
      </c>
      <c r="AX207">
        <v>2.9960000000000004</v>
      </c>
      <c r="AY207">
        <v>79.839786381842458</v>
      </c>
    </row>
    <row r="208" spans="2:51" x14ac:dyDescent="0.2">
      <c r="B208">
        <v>27.4</v>
      </c>
      <c r="C208" t="s">
        <v>43</v>
      </c>
      <c r="D208">
        <v>7.5</v>
      </c>
      <c r="E208">
        <v>2.0608000000000004</v>
      </c>
      <c r="F208">
        <v>88.020833333333343</v>
      </c>
      <c r="G208">
        <v>79.968944099378874</v>
      </c>
      <c r="Y208">
        <v>28</v>
      </c>
      <c r="Z208">
        <v>79.839786381842458</v>
      </c>
      <c r="AF208">
        <v>33.599999999999994</v>
      </c>
      <c r="AG208">
        <v>73.238095238095241</v>
      </c>
      <c r="AL208">
        <v>2.6305882352941179</v>
      </c>
      <c r="AM208">
        <v>49</v>
      </c>
      <c r="AV208">
        <v>28</v>
      </c>
      <c r="AW208">
        <v>6.1</v>
      </c>
      <c r="AX208">
        <v>0.73967213114754105</v>
      </c>
      <c r="AY208">
        <v>55.851063829787229</v>
      </c>
    </row>
    <row r="209" spans="2:51" x14ac:dyDescent="0.2">
      <c r="B209">
        <v>27.4</v>
      </c>
      <c r="C209" t="s">
        <v>43</v>
      </c>
      <c r="D209">
        <v>7.5</v>
      </c>
      <c r="E209">
        <v>2.5888</v>
      </c>
      <c r="F209">
        <v>97.398843930635834</v>
      </c>
      <c r="G209">
        <v>88.627935723114959</v>
      </c>
      <c r="Y209">
        <v>28</v>
      </c>
      <c r="Z209">
        <v>55.851063829787229</v>
      </c>
      <c r="AF209">
        <v>36</v>
      </c>
      <c r="AG209">
        <v>63</v>
      </c>
      <c r="AL209">
        <v>2.7379591836734689</v>
      </c>
      <c r="AM209">
        <v>51</v>
      </c>
      <c r="AV209">
        <v>28</v>
      </c>
      <c r="AW209">
        <v>8</v>
      </c>
      <c r="AX209">
        <v>0.65</v>
      </c>
      <c r="AY209">
        <v>72</v>
      </c>
    </row>
    <row r="210" spans="2:51" x14ac:dyDescent="0.2">
      <c r="B210">
        <v>27.4</v>
      </c>
      <c r="C210" t="s">
        <v>43</v>
      </c>
      <c r="D210">
        <v>7.5</v>
      </c>
      <c r="E210">
        <v>1.9903999999999997</v>
      </c>
      <c r="F210">
        <v>91.545189504373184</v>
      </c>
      <c r="G210">
        <v>83.60128617363344</v>
      </c>
      <c r="Y210">
        <v>28</v>
      </c>
      <c r="Z210">
        <v>72</v>
      </c>
      <c r="AF210">
        <v>36</v>
      </c>
      <c r="AG210">
        <v>68</v>
      </c>
      <c r="AL210">
        <v>2.7919999999999998</v>
      </c>
      <c r="AM210">
        <v>71.633237822349571</v>
      </c>
      <c r="AV210">
        <v>28</v>
      </c>
      <c r="AW210">
        <v>8</v>
      </c>
      <c r="AX210">
        <v>0.65</v>
      </c>
      <c r="AY210">
        <v>84</v>
      </c>
    </row>
    <row r="211" spans="2:51" x14ac:dyDescent="0.2">
      <c r="B211">
        <v>27.9</v>
      </c>
      <c r="C211">
        <v>9.5808383233532954E-2</v>
      </c>
      <c r="D211">
        <v>16.7</v>
      </c>
      <c r="E211">
        <v>0.23</v>
      </c>
      <c r="F211">
        <v>85.492957746478879</v>
      </c>
      <c r="G211">
        <v>54.320987654320987</v>
      </c>
      <c r="Y211">
        <v>28</v>
      </c>
      <c r="Z211">
        <v>84</v>
      </c>
      <c r="AF211">
        <v>37.700000000000003</v>
      </c>
      <c r="AG211">
        <v>54.395604395604394</v>
      </c>
      <c r="AL211">
        <v>2.8839999999999999</v>
      </c>
      <c r="AM211">
        <v>45.908460471567267</v>
      </c>
      <c r="AV211">
        <v>28.1</v>
      </c>
      <c r="AW211">
        <v>25</v>
      </c>
      <c r="AX211">
        <v>0.18</v>
      </c>
      <c r="AY211">
        <v>59.574468085106382</v>
      </c>
    </row>
    <row r="212" spans="2:51" x14ac:dyDescent="0.2">
      <c r="B212">
        <f>AVERAGE(25,31)</f>
        <v>28</v>
      </c>
      <c r="C212" t="s">
        <v>43</v>
      </c>
      <c r="D212">
        <v>6</v>
      </c>
      <c r="E212">
        <v>2.9960000000000004</v>
      </c>
      <c r="F212">
        <v>84.73684210526315</v>
      </c>
      <c r="G212">
        <v>79.839786381842458</v>
      </c>
      <c r="Y212">
        <v>28.1</v>
      </c>
      <c r="Z212">
        <v>59.574468085106382</v>
      </c>
      <c r="AF212">
        <v>40</v>
      </c>
      <c r="AG212">
        <v>75.238095238095241</v>
      </c>
      <c r="AL212">
        <v>2.9960000000000004</v>
      </c>
      <c r="AM212">
        <v>79.839786381842458</v>
      </c>
      <c r="AV212">
        <v>28.5</v>
      </c>
      <c r="AW212">
        <v>3</v>
      </c>
      <c r="AX212">
        <v>5.8</v>
      </c>
      <c r="AY212">
        <v>58</v>
      </c>
    </row>
    <row r="213" spans="2:51" x14ac:dyDescent="0.2">
      <c r="B213">
        <v>28</v>
      </c>
      <c r="D213">
        <v>6.1</v>
      </c>
      <c r="E213">
        <v>0.73967213114754105</v>
      </c>
      <c r="F213">
        <v>64.179104477611943</v>
      </c>
      <c r="G213">
        <v>55.851063829787229</v>
      </c>
      <c r="Y213">
        <v>28.5</v>
      </c>
      <c r="Z213">
        <v>58</v>
      </c>
      <c r="AF213">
        <v>42</v>
      </c>
      <c r="AG213">
        <v>50.1</v>
      </c>
      <c r="AL213">
        <v>3</v>
      </c>
      <c r="AM213">
        <v>39</v>
      </c>
      <c r="AV213">
        <v>28.5</v>
      </c>
      <c r="AW213">
        <v>6</v>
      </c>
      <c r="AX213">
        <v>2.4</v>
      </c>
      <c r="AY213">
        <v>64</v>
      </c>
    </row>
    <row r="214" spans="2:51" x14ac:dyDescent="0.2">
      <c r="B214">
        <v>28</v>
      </c>
      <c r="C214">
        <v>8.9285714285714288E-2</v>
      </c>
      <c r="D214">
        <v>8</v>
      </c>
      <c r="E214">
        <v>0.65</v>
      </c>
      <c r="F214" t="s">
        <v>43</v>
      </c>
      <c r="G214">
        <v>72</v>
      </c>
      <c r="Y214">
        <v>28.5</v>
      </c>
      <c r="Z214">
        <v>64</v>
      </c>
      <c r="AF214">
        <v>42</v>
      </c>
      <c r="AG214">
        <v>82.5</v>
      </c>
      <c r="AL214">
        <v>3.0163636363636361</v>
      </c>
      <c r="AM214">
        <v>47</v>
      </c>
      <c r="AV214">
        <v>28.5</v>
      </c>
      <c r="AW214">
        <v>8</v>
      </c>
      <c r="AX214">
        <v>1.5</v>
      </c>
      <c r="AY214">
        <v>69</v>
      </c>
    </row>
    <row r="215" spans="2:51" x14ac:dyDescent="0.2">
      <c r="B215">
        <v>28</v>
      </c>
      <c r="C215">
        <v>8.9285714285714288E-2</v>
      </c>
      <c r="D215">
        <v>8</v>
      </c>
      <c r="E215">
        <v>0.65</v>
      </c>
      <c r="F215" t="s">
        <v>43</v>
      </c>
      <c r="G215">
        <v>84</v>
      </c>
      <c r="Y215">
        <v>28.5</v>
      </c>
      <c r="Z215">
        <v>69</v>
      </c>
      <c r="AF215">
        <v>44.3</v>
      </c>
      <c r="AG215">
        <v>31.290983606557376</v>
      </c>
      <c r="AL215">
        <v>3.1666666666666665</v>
      </c>
      <c r="AM215">
        <v>65.26315789473685</v>
      </c>
      <c r="AV215">
        <v>30</v>
      </c>
      <c r="AW215">
        <v>4</v>
      </c>
      <c r="AX215">
        <v>1.1000000000000001</v>
      </c>
      <c r="AY215">
        <v>67</v>
      </c>
    </row>
    <row r="216" spans="2:51" x14ac:dyDescent="0.2">
      <c r="B216">
        <v>28.1</v>
      </c>
      <c r="C216">
        <v>6.4000000000000001E-2</v>
      </c>
      <c r="D216">
        <v>25</v>
      </c>
      <c r="E216">
        <v>0.18</v>
      </c>
      <c r="F216">
        <v>78.870967741935488</v>
      </c>
      <c r="G216">
        <v>59.574468085106382</v>
      </c>
      <c r="Y216">
        <v>30</v>
      </c>
      <c r="Z216">
        <v>67</v>
      </c>
      <c r="AF216">
        <v>48</v>
      </c>
      <c r="AG216">
        <v>50</v>
      </c>
      <c r="AL216">
        <v>3.2640000000000002</v>
      </c>
      <c r="AM216">
        <v>57.965686274509807</v>
      </c>
      <c r="AV216">
        <v>30</v>
      </c>
      <c r="AW216">
        <v>4</v>
      </c>
      <c r="AX216">
        <v>1.1000000000000001</v>
      </c>
      <c r="AY216">
        <v>83.5</v>
      </c>
    </row>
    <row r="217" spans="2:51" x14ac:dyDescent="0.2">
      <c r="B217">
        <f>AVERAGE(22,35)</f>
        <v>28.5</v>
      </c>
      <c r="D217">
        <v>3</v>
      </c>
      <c r="E217">
        <v>5.8</v>
      </c>
      <c r="F217" t="s">
        <v>43</v>
      </c>
      <c r="G217">
        <v>58</v>
      </c>
      <c r="Y217">
        <v>30</v>
      </c>
      <c r="Z217">
        <v>83.5</v>
      </c>
      <c r="AF217">
        <v>48</v>
      </c>
      <c r="AG217">
        <v>51</v>
      </c>
      <c r="AL217">
        <v>3.3</v>
      </c>
      <c r="AM217">
        <v>38.356164383561641</v>
      </c>
      <c r="AV217">
        <v>30</v>
      </c>
      <c r="AW217">
        <v>9.6999999999999993</v>
      </c>
      <c r="AX217">
        <v>1.3929896907216497</v>
      </c>
      <c r="AY217">
        <v>64.120781527531079</v>
      </c>
    </row>
    <row r="218" spans="2:51" x14ac:dyDescent="0.2">
      <c r="B218">
        <f>AVERAGE(22,35)</f>
        <v>28.5</v>
      </c>
      <c r="D218">
        <v>6</v>
      </c>
      <c r="E218">
        <v>2.4</v>
      </c>
      <c r="F218" t="s">
        <v>43</v>
      </c>
      <c r="G218">
        <v>64</v>
      </c>
      <c r="Y218">
        <v>30</v>
      </c>
      <c r="Z218">
        <v>64.120781527531079</v>
      </c>
      <c r="AF218">
        <v>48</v>
      </c>
      <c r="AG218">
        <v>56</v>
      </c>
      <c r="AL218">
        <v>3.4285714285714293</v>
      </c>
      <c r="AM218">
        <v>42.153846153846153</v>
      </c>
      <c r="AV218">
        <v>30</v>
      </c>
      <c r="AW218">
        <v>32</v>
      </c>
      <c r="AX218">
        <v>1.52</v>
      </c>
      <c r="AY218">
        <v>61.629881154499152</v>
      </c>
    </row>
    <row r="219" spans="2:51" x14ac:dyDescent="0.2">
      <c r="B219">
        <f>AVERAGE(22,35)</f>
        <v>28.5</v>
      </c>
      <c r="D219">
        <v>8</v>
      </c>
      <c r="E219">
        <v>1.5</v>
      </c>
      <c r="F219" t="s">
        <v>43</v>
      </c>
      <c r="G219">
        <v>69</v>
      </c>
      <c r="Y219">
        <v>30</v>
      </c>
      <c r="Z219">
        <v>61.629881154499152</v>
      </c>
      <c r="AF219">
        <v>48</v>
      </c>
      <c r="AG219">
        <v>63</v>
      </c>
      <c r="AL219">
        <v>3.4840000000000004</v>
      </c>
      <c r="AM219">
        <v>70.493685419058551</v>
      </c>
      <c r="AV219">
        <v>31</v>
      </c>
      <c r="AW219">
        <v>1.4</v>
      </c>
      <c r="AX219">
        <v>10.491428571428571</v>
      </c>
      <c r="AY219">
        <v>58.333333333333336</v>
      </c>
    </row>
    <row r="220" spans="2:51" x14ac:dyDescent="0.2">
      <c r="B220">
        <v>30</v>
      </c>
      <c r="C220">
        <v>0.17857142857142858</v>
      </c>
      <c r="D220">
        <v>4</v>
      </c>
      <c r="E220">
        <v>1.1000000000000001</v>
      </c>
      <c r="F220">
        <v>47</v>
      </c>
      <c r="G220">
        <v>67</v>
      </c>
      <c r="Y220">
        <v>31</v>
      </c>
      <c r="Z220">
        <v>58.333333333333336</v>
      </c>
      <c r="AF220">
        <v>48</v>
      </c>
      <c r="AG220">
        <v>66</v>
      </c>
      <c r="AL220">
        <v>3.516</v>
      </c>
      <c r="AM220">
        <v>66.723549488054616</v>
      </c>
      <c r="AV220">
        <v>31</v>
      </c>
      <c r="AW220">
        <v>1.4</v>
      </c>
      <c r="AX220">
        <v>10.491428571428571</v>
      </c>
      <c r="AY220">
        <v>58.496732026143796</v>
      </c>
    </row>
    <row r="221" spans="2:51" x14ac:dyDescent="0.2">
      <c r="B221">
        <v>30</v>
      </c>
      <c r="C221">
        <v>0.17857142857142858</v>
      </c>
      <c r="D221">
        <v>4</v>
      </c>
      <c r="E221">
        <v>1.1000000000000001</v>
      </c>
      <c r="F221">
        <v>76</v>
      </c>
      <c r="G221">
        <v>83.5</v>
      </c>
      <c r="Y221">
        <v>31</v>
      </c>
      <c r="Z221">
        <v>58.496732026143796</v>
      </c>
      <c r="AF221">
        <v>52.800000000000004</v>
      </c>
      <c r="AG221">
        <v>82.4</v>
      </c>
      <c r="AL221">
        <v>3.516</v>
      </c>
      <c r="AM221">
        <v>68.600682593856661</v>
      </c>
      <c r="AV221">
        <v>31</v>
      </c>
      <c r="AW221">
        <v>8.8000000000000007</v>
      </c>
      <c r="AX221">
        <v>0.79090909090909089</v>
      </c>
      <c r="AY221">
        <v>56.896551724137936</v>
      </c>
    </row>
    <row r="222" spans="2:51" x14ac:dyDescent="0.2">
      <c r="B222">
        <v>30</v>
      </c>
      <c r="C222">
        <v>0.52</v>
      </c>
      <c r="D222">
        <v>9.6999999999999993</v>
      </c>
      <c r="E222">
        <v>1.3929896907216497</v>
      </c>
      <c r="F222">
        <v>60.784313725490193</v>
      </c>
      <c r="G222">
        <v>64.120781527531079</v>
      </c>
      <c r="Y222">
        <v>31</v>
      </c>
      <c r="Z222">
        <v>56.896551724137936</v>
      </c>
      <c r="AF222">
        <v>52.800000000000004</v>
      </c>
      <c r="AG222">
        <v>84.6</v>
      </c>
      <c r="AL222">
        <v>3.7619999999999996</v>
      </c>
      <c r="AM222">
        <v>74</v>
      </c>
      <c r="AV222">
        <v>31</v>
      </c>
      <c r="AW222">
        <v>9.4</v>
      </c>
      <c r="AX222">
        <v>1.4017021276595745</v>
      </c>
      <c r="AY222">
        <v>75.045537340619305</v>
      </c>
    </row>
    <row r="223" spans="2:51" x14ac:dyDescent="0.2">
      <c r="B223">
        <v>30</v>
      </c>
      <c r="C223">
        <v>0.52</v>
      </c>
      <c r="D223">
        <v>32</v>
      </c>
      <c r="E223">
        <v>1.52</v>
      </c>
      <c r="F223">
        <v>75.883575883575887</v>
      </c>
      <c r="G223">
        <v>61.629881154499152</v>
      </c>
      <c r="Y223">
        <v>31</v>
      </c>
      <c r="Z223">
        <v>75.045537340619305</v>
      </c>
      <c r="AF223">
        <v>52.800000000000004</v>
      </c>
      <c r="AG223">
        <v>85</v>
      </c>
      <c r="AL223">
        <v>4</v>
      </c>
      <c r="AM223">
        <v>15</v>
      </c>
      <c r="AV223">
        <v>31.5</v>
      </c>
      <c r="AW223">
        <v>33.5</v>
      </c>
      <c r="AX223">
        <v>0.13</v>
      </c>
      <c r="AY223">
        <v>54.748603351955303</v>
      </c>
    </row>
    <row r="224" spans="2:51" x14ac:dyDescent="0.2">
      <c r="B224">
        <v>31</v>
      </c>
      <c r="C224" t="s">
        <v>43</v>
      </c>
      <c r="D224">
        <v>1.4</v>
      </c>
      <c r="E224">
        <v>10.491428571428571</v>
      </c>
      <c r="F224">
        <v>48.986486486486484</v>
      </c>
      <c r="G224">
        <v>58.333333333333336</v>
      </c>
      <c r="Y224">
        <v>31.5</v>
      </c>
      <c r="Z224">
        <v>54.748603351955303</v>
      </c>
      <c r="AF224">
        <v>57.2</v>
      </c>
      <c r="AG224">
        <v>3.8367844092570031</v>
      </c>
      <c r="AL224">
        <v>4.032</v>
      </c>
      <c r="AM224">
        <v>64.583333333333343</v>
      </c>
      <c r="AV224">
        <v>32</v>
      </c>
      <c r="AW224">
        <v>24</v>
      </c>
      <c r="AX224">
        <v>0.31799999999999995</v>
      </c>
      <c r="AY224">
        <v>57</v>
      </c>
    </row>
    <row r="225" spans="2:51" x14ac:dyDescent="0.2">
      <c r="B225">
        <v>31</v>
      </c>
      <c r="C225" t="s">
        <v>43</v>
      </c>
      <c r="D225">
        <v>1.4</v>
      </c>
      <c r="E225">
        <v>10.491428571428571</v>
      </c>
      <c r="F225">
        <v>50.675675675675677</v>
      </c>
      <c r="G225">
        <v>58.496732026143796</v>
      </c>
      <c r="Y225">
        <v>32</v>
      </c>
      <c r="Z225">
        <v>57.9</v>
      </c>
      <c r="AF225">
        <v>60</v>
      </c>
      <c r="AG225">
        <v>79.7</v>
      </c>
      <c r="AL225">
        <v>4.62</v>
      </c>
      <c r="AM225">
        <v>45.97402597402597</v>
      </c>
      <c r="AV225">
        <v>32</v>
      </c>
      <c r="AW225">
        <v>24</v>
      </c>
      <c r="AX225">
        <v>0.31799999999999995</v>
      </c>
      <c r="AY225">
        <v>57.9</v>
      </c>
    </row>
    <row r="226" spans="2:51" x14ac:dyDescent="0.2">
      <c r="B226">
        <v>31</v>
      </c>
      <c r="C226">
        <v>0.56999999999999995</v>
      </c>
      <c r="D226">
        <v>8.8000000000000007</v>
      </c>
      <c r="E226">
        <v>0.79090909090909089</v>
      </c>
      <c r="F226">
        <v>53.956834532374096</v>
      </c>
      <c r="G226">
        <v>56.896551724137936</v>
      </c>
      <c r="Y226">
        <v>32</v>
      </c>
      <c r="Z226">
        <v>57</v>
      </c>
      <c r="AF226">
        <v>60</v>
      </c>
      <c r="AG226">
        <v>93.9</v>
      </c>
      <c r="AL226">
        <v>4.74</v>
      </c>
      <c r="AM226">
        <v>50</v>
      </c>
      <c r="AV226">
        <v>33</v>
      </c>
      <c r="AW226">
        <v>7.2</v>
      </c>
      <c r="AX226">
        <v>0.77</v>
      </c>
      <c r="AY226">
        <v>77</v>
      </c>
    </row>
    <row r="227" spans="2:51" x14ac:dyDescent="0.2">
      <c r="B227">
        <v>31</v>
      </c>
      <c r="C227">
        <v>0.53</v>
      </c>
      <c r="D227">
        <v>9.4</v>
      </c>
      <c r="E227">
        <v>1.4017021276595745</v>
      </c>
      <c r="F227">
        <v>51.020408163265309</v>
      </c>
      <c r="G227">
        <v>75.045537340619305</v>
      </c>
      <c r="Y227">
        <v>33</v>
      </c>
      <c r="Z227">
        <v>77</v>
      </c>
      <c r="AF227">
        <v>72</v>
      </c>
      <c r="AG227">
        <v>60.36866359447005</v>
      </c>
      <c r="AL227">
        <v>5.0844444444444434</v>
      </c>
      <c r="AM227">
        <v>63.111888111888113</v>
      </c>
      <c r="AV227">
        <v>33</v>
      </c>
      <c r="AW227">
        <v>7.5</v>
      </c>
      <c r="AX227">
        <v>0.61</v>
      </c>
      <c r="AY227">
        <v>73</v>
      </c>
    </row>
    <row r="228" spans="2:51" x14ac:dyDescent="0.2">
      <c r="B228">
        <v>31.5</v>
      </c>
      <c r="C228">
        <v>4.7761194029850747E-2</v>
      </c>
      <c r="D228">
        <v>33.5</v>
      </c>
      <c r="E228">
        <v>0.13</v>
      </c>
      <c r="F228">
        <v>79.558823529411768</v>
      </c>
      <c r="G228">
        <v>54.748603351955303</v>
      </c>
      <c r="Y228">
        <v>33</v>
      </c>
      <c r="Z228">
        <v>73</v>
      </c>
      <c r="AF228">
        <v>72</v>
      </c>
      <c r="AG228">
        <v>80.576208178438662</v>
      </c>
      <c r="AL228">
        <v>5.0844444444444434</v>
      </c>
      <c r="AM228">
        <v>66.783216783216787</v>
      </c>
      <c r="AV228">
        <v>34</v>
      </c>
      <c r="AW228">
        <v>37.700000000000003</v>
      </c>
      <c r="AX228">
        <v>0.11</v>
      </c>
      <c r="AY228">
        <v>54.395604395604394</v>
      </c>
    </row>
    <row r="229" spans="2:51" x14ac:dyDescent="0.2">
      <c r="B229">
        <v>32</v>
      </c>
      <c r="C229" t="s">
        <v>43</v>
      </c>
      <c r="D229">
        <v>24</v>
      </c>
      <c r="E229">
        <v>0.31799999999999995</v>
      </c>
      <c r="F229" t="s">
        <v>43</v>
      </c>
      <c r="G229">
        <v>57.9</v>
      </c>
      <c r="Y229">
        <v>34</v>
      </c>
      <c r="Z229">
        <v>54.395604395604394</v>
      </c>
      <c r="AF229">
        <v>84</v>
      </c>
      <c r="AG229">
        <v>45.9</v>
      </c>
      <c r="AL229">
        <v>5.8</v>
      </c>
      <c r="AM229">
        <v>58</v>
      </c>
      <c r="AV229">
        <v>35</v>
      </c>
      <c r="AW229">
        <v>4</v>
      </c>
      <c r="AX229">
        <v>2.0460000000000003</v>
      </c>
      <c r="AY229">
        <v>65.102639296187675</v>
      </c>
    </row>
    <row r="230" spans="2:51" x14ac:dyDescent="0.2">
      <c r="B230">
        <v>32</v>
      </c>
      <c r="C230" t="s">
        <v>43</v>
      </c>
      <c r="D230">
        <v>24</v>
      </c>
      <c r="E230">
        <v>0.31799999999999995</v>
      </c>
      <c r="F230" t="s">
        <v>43</v>
      </c>
      <c r="G230">
        <v>57</v>
      </c>
      <c r="Y230">
        <v>35</v>
      </c>
      <c r="Z230">
        <v>65.102639296187675</v>
      </c>
      <c r="AF230">
        <v>96</v>
      </c>
      <c r="AG230">
        <v>54</v>
      </c>
      <c r="AL230">
        <v>5.9999999999999991</v>
      </c>
      <c r="AM230">
        <v>42.4</v>
      </c>
      <c r="AV230">
        <v>35</v>
      </c>
      <c r="AW230">
        <v>33.599999999999994</v>
      </c>
      <c r="AX230">
        <v>0.76</v>
      </c>
      <c r="AY230">
        <v>73.238095238095241</v>
      </c>
    </row>
    <row r="231" spans="2:51" x14ac:dyDescent="0.2">
      <c r="B231">
        <v>33</v>
      </c>
      <c r="D231">
        <v>7.2</v>
      </c>
      <c r="E231">
        <v>0.77</v>
      </c>
      <c r="F231" t="s">
        <v>43</v>
      </c>
      <c r="G231">
        <v>77</v>
      </c>
      <c r="Y231">
        <v>35</v>
      </c>
      <c r="Z231">
        <v>73.238095238095241</v>
      </c>
      <c r="AF231">
        <v>96</v>
      </c>
      <c r="AG231">
        <v>58</v>
      </c>
      <c r="AL231">
        <v>7.76</v>
      </c>
      <c r="AM231">
        <v>48.711340206185568</v>
      </c>
      <c r="AV231">
        <v>35</v>
      </c>
      <c r="AW231">
        <v>52.800000000000004</v>
      </c>
      <c r="AX231">
        <v>0.45</v>
      </c>
      <c r="AY231">
        <v>82.4</v>
      </c>
    </row>
    <row r="232" spans="2:51" x14ac:dyDescent="0.2">
      <c r="B232">
        <v>33</v>
      </c>
      <c r="D232">
        <v>7.5</v>
      </c>
      <c r="E232">
        <v>0.61</v>
      </c>
      <c r="F232" t="s">
        <v>43</v>
      </c>
      <c r="G232">
        <v>73</v>
      </c>
      <c r="Y232">
        <v>35</v>
      </c>
      <c r="Z232">
        <v>82.4</v>
      </c>
      <c r="AF232">
        <v>103.19999999999999</v>
      </c>
      <c r="AG232">
        <v>33</v>
      </c>
      <c r="AL232">
        <v>9.4440000000000008</v>
      </c>
      <c r="AM232">
        <v>44.599745870393903</v>
      </c>
      <c r="AV232">
        <v>35</v>
      </c>
      <c r="AW232">
        <v>52.800000000000004</v>
      </c>
      <c r="AX232">
        <v>0.45</v>
      </c>
      <c r="AY232">
        <v>84.6</v>
      </c>
    </row>
    <row r="233" spans="2:51" x14ac:dyDescent="0.2">
      <c r="B233">
        <v>34</v>
      </c>
      <c r="C233">
        <v>4.2440318302387273E-2</v>
      </c>
      <c r="D233">
        <v>37.700000000000003</v>
      </c>
      <c r="E233">
        <v>0.11</v>
      </c>
      <c r="F233">
        <v>79.436619718309856</v>
      </c>
      <c r="G233">
        <v>54.395604395604394</v>
      </c>
      <c r="Y233">
        <v>35</v>
      </c>
      <c r="Z233">
        <v>85</v>
      </c>
      <c r="AF233">
        <v>103.19999999999999</v>
      </c>
      <c r="AG233">
        <v>65</v>
      </c>
      <c r="AL233">
        <v>10.491428571428571</v>
      </c>
      <c r="AM233">
        <v>58.333333333333336</v>
      </c>
      <c r="AV233">
        <v>35</v>
      </c>
      <c r="AW233">
        <v>52.800000000000004</v>
      </c>
      <c r="AX233">
        <v>0.45</v>
      </c>
      <c r="AY233">
        <v>85</v>
      </c>
    </row>
    <row r="234" spans="2:51" x14ac:dyDescent="0.2">
      <c r="B234">
        <v>35</v>
      </c>
      <c r="C234">
        <v>0.7</v>
      </c>
      <c r="D234">
        <v>4</v>
      </c>
      <c r="E234">
        <v>2.0460000000000003</v>
      </c>
      <c r="F234">
        <v>61.363636363636367</v>
      </c>
      <c r="G234">
        <v>65.102639296187675</v>
      </c>
      <c r="Y234">
        <v>35</v>
      </c>
      <c r="Z234">
        <v>84.6</v>
      </c>
      <c r="AF234">
        <v>103.19999999999999</v>
      </c>
      <c r="AG234">
        <v>70</v>
      </c>
      <c r="AL234">
        <v>10.491428571428571</v>
      </c>
      <c r="AM234">
        <v>58.496732026143796</v>
      </c>
      <c r="AV234">
        <v>35</v>
      </c>
      <c r="AW234">
        <v>72</v>
      </c>
      <c r="AX234">
        <v>0.36</v>
      </c>
      <c r="AY234">
        <v>80.576208178438662</v>
      </c>
    </row>
    <row r="235" spans="2:51" x14ac:dyDescent="0.2">
      <c r="B235">
        <v>35</v>
      </c>
      <c r="C235" t="s">
        <v>43</v>
      </c>
      <c r="D235">
        <v>33.599999999999994</v>
      </c>
      <c r="E235">
        <v>0.76</v>
      </c>
      <c r="F235" t="s">
        <v>43</v>
      </c>
      <c r="G235">
        <v>73.238095238095241</v>
      </c>
      <c r="Y235">
        <v>35</v>
      </c>
      <c r="Z235">
        <v>80.576208178438662</v>
      </c>
      <c r="AF235">
        <v>132</v>
      </c>
      <c r="AG235">
        <v>72.727272727272734</v>
      </c>
      <c r="AL235">
        <v>17.184000000000001</v>
      </c>
      <c r="AM235">
        <v>34.497206703910614</v>
      </c>
      <c r="AV235">
        <v>35</v>
      </c>
      <c r="AW235">
        <v>132</v>
      </c>
      <c r="AX235">
        <v>0.18</v>
      </c>
      <c r="AY235">
        <v>72.727272727272734</v>
      </c>
    </row>
    <row r="236" spans="2:51" x14ac:dyDescent="0.2">
      <c r="B236">
        <v>35</v>
      </c>
      <c r="C236" t="s">
        <v>43</v>
      </c>
      <c r="D236">
        <v>52.800000000000004</v>
      </c>
      <c r="E236">
        <v>0.45</v>
      </c>
      <c r="F236" t="s">
        <v>43</v>
      </c>
      <c r="G236">
        <v>82.4</v>
      </c>
      <c r="Y236">
        <v>35</v>
      </c>
      <c r="Z236">
        <v>72.727272727272734</v>
      </c>
    </row>
    <row r="237" spans="2:51" x14ac:dyDescent="0.2">
      <c r="B237">
        <v>35</v>
      </c>
      <c r="C237" t="s">
        <v>43</v>
      </c>
      <c r="D237">
        <v>52.800000000000004</v>
      </c>
      <c r="E237">
        <v>0.45</v>
      </c>
      <c r="F237" t="s">
        <v>43</v>
      </c>
      <c r="G237">
        <v>85</v>
      </c>
      <c r="AW237">
        <f>PEARSON($AV$3:$AV$235,AW3:AW235)</f>
        <v>-5.3044746948971259E-2</v>
      </c>
      <c r="AX237">
        <f t="shared" ref="AX237:AY237" si="0">PEARSON($AV$3:$AV$235,AX3:AX235)</f>
        <v>0.15525547824448946</v>
      </c>
      <c r="AY237">
        <f t="shared" si="0"/>
        <v>0.1844308647209737</v>
      </c>
    </row>
    <row r="238" spans="2:51" x14ac:dyDescent="0.2">
      <c r="B238">
        <v>35</v>
      </c>
      <c r="C238" t="s">
        <v>43</v>
      </c>
      <c r="D238">
        <v>52.800000000000004</v>
      </c>
      <c r="E238">
        <v>0.45</v>
      </c>
      <c r="F238" t="s">
        <v>43</v>
      </c>
      <c r="G238">
        <v>84.6</v>
      </c>
      <c r="Z238">
        <f>PEARSON(Y3:Y236,Z3:Z236)</f>
        <v>0.17962093953056912</v>
      </c>
      <c r="AG238">
        <f>PEARSON(AF3:AF236,AG3:AG236)</f>
        <v>3.9401838491289927E-2</v>
      </c>
      <c r="AJ238">
        <f>PEARSON(AI3:AI236,AJ3:AJ236)</f>
        <v>0.27285572590645452</v>
      </c>
      <c r="AM238">
        <f>PEARSON(AL3:AL236,AM3:AM236)</f>
        <v>-0.14149553628759787</v>
      </c>
      <c r="AP238">
        <f>PEARSON(AO3:AO236,AP3:AP236)</f>
        <v>-0.25950029611251557</v>
      </c>
    </row>
    <row r="239" spans="2:51" x14ac:dyDescent="0.2">
      <c r="B239">
        <v>35</v>
      </c>
      <c r="C239" t="s">
        <v>43</v>
      </c>
      <c r="D239">
        <v>72</v>
      </c>
      <c r="E239">
        <v>0.36</v>
      </c>
      <c r="F239" t="s">
        <v>43</v>
      </c>
      <c r="G239">
        <v>80.576208178438662</v>
      </c>
    </row>
    <row r="240" spans="2:51" x14ac:dyDescent="0.2">
      <c r="B240">
        <v>35</v>
      </c>
      <c r="C240" t="s">
        <v>43</v>
      </c>
      <c r="D240">
        <v>132</v>
      </c>
      <c r="E240">
        <v>0.18</v>
      </c>
      <c r="F240" t="s">
        <v>43</v>
      </c>
      <c r="G240">
        <v>72.727272727272734</v>
      </c>
    </row>
    <row r="247" spans="2:36" ht="15" x14ac:dyDescent="0.25">
      <c r="B247" s="33" t="s">
        <v>46</v>
      </c>
      <c r="C247" s="33"/>
      <c r="D247" t="s">
        <v>43</v>
      </c>
      <c r="E247" s="20">
        <f>62/1000</f>
        <v>6.2E-2</v>
      </c>
      <c r="F247" t="s">
        <v>396</v>
      </c>
      <c r="G247" s="3" t="s">
        <v>43</v>
      </c>
      <c r="H247" s="13">
        <f>(E247/I247)/(0.16^2)</f>
        <v>0.302734375</v>
      </c>
      <c r="I247" s="3">
        <v>8</v>
      </c>
      <c r="J247">
        <v>0.63</v>
      </c>
      <c r="L247" t="s">
        <v>43</v>
      </c>
      <c r="M247">
        <v>207</v>
      </c>
      <c r="N247" t="s">
        <v>43</v>
      </c>
      <c r="O247" t="s">
        <v>43</v>
      </c>
      <c r="P247" t="s">
        <v>43</v>
      </c>
      <c r="Q247" t="s">
        <v>43</v>
      </c>
      <c r="R247">
        <v>73</v>
      </c>
      <c r="S247" s="9">
        <v>61</v>
      </c>
      <c r="T247" t="s">
        <v>43</v>
      </c>
      <c r="U247" t="s">
        <v>43</v>
      </c>
      <c r="W247" t="s">
        <v>43</v>
      </c>
      <c r="X247" t="s">
        <v>43</v>
      </c>
      <c r="Y247" t="s">
        <v>43</v>
      </c>
      <c r="Z247" t="s">
        <v>43</v>
      </c>
      <c r="AA247" t="s">
        <v>43</v>
      </c>
      <c r="AB247" t="s">
        <v>43</v>
      </c>
      <c r="AC247" t="s">
        <v>43</v>
      </c>
      <c r="AE247" t="s">
        <v>43</v>
      </c>
      <c r="AF247" t="s">
        <v>43</v>
      </c>
      <c r="AG247" t="s">
        <v>43</v>
      </c>
      <c r="AH247" t="s">
        <v>43</v>
      </c>
      <c r="AJ247" s="33" t="s">
        <v>198</v>
      </c>
    </row>
    <row r="248" spans="2:36" ht="15" x14ac:dyDescent="0.25">
      <c r="B248" s="33" t="s">
        <v>46</v>
      </c>
      <c r="C248" s="33"/>
      <c r="D248" t="s">
        <v>43</v>
      </c>
      <c r="E248" s="20">
        <f t="shared" ref="E248:E254" si="1">62/1000</f>
        <v>6.2E-2</v>
      </c>
      <c r="F248" t="s">
        <v>396</v>
      </c>
      <c r="G248" s="3" t="s">
        <v>43</v>
      </c>
      <c r="H248" s="13">
        <f t="shared" ref="H248:H255" si="2">(E248/I248)/(0.16^2)</f>
        <v>0.40364583333333331</v>
      </c>
      <c r="I248" s="3">
        <v>6</v>
      </c>
      <c r="J248">
        <v>0.53</v>
      </c>
      <c r="L248" t="s">
        <v>43</v>
      </c>
      <c r="M248">
        <v>132</v>
      </c>
      <c r="N248" t="s">
        <v>43</v>
      </c>
      <c r="O248" t="s">
        <v>43</v>
      </c>
      <c r="P248" t="s">
        <v>43</v>
      </c>
      <c r="Q248" t="s">
        <v>43</v>
      </c>
      <c r="R248">
        <v>70</v>
      </c>
      <c r="S248" s="9">
        <v>47</v>
      </c>
      <c r="T248" t="s">
        <v>43</v>
      </c>
      <c r="U248" t="s">
        <v>43</v>
      </c>
      <c r="W248" t="s">
        <v>43</v>
      </c>
      <c r="X248" t="s">
        <v>43</v>
      </c>
      <c r="Y248" t="s">
        <v>43</v>
      </c>
      <c r="Z248" t="s">
        <v>43</v>
      </c>
      <c r="AA248" t="s">
        <v>43</v>
      </c>
      <c r="AB248" t="s">
        <v>43</v>
      </c>
      <c r="AC248" t="s">
        <v>43</v>
      </c>
      <c r="AE248" t="s">
        <v>43</v>
      </c>
      <c r="AF248" t="s">
        <v>43</v>
      </c>
      <c r="AG248" t="s">
        <v>43</v>
      </c>
      <c r="AH248" t="s">
        <v>43</v>
      </c>
      <c r="AJ248" s="33"/>
    </row>
    <row r="249" spans="2:36" ht="15" x14ac:dyDescent="0.25">
      <c r="B249" s="33" t="s">
        <v>46</v>
      </c>
      <c r="C249" s="33"/>
      <c r="D249" t="s">
        <v>43</v>
      </c>
      <c r="E249" s="20">
        <f t="shared" si="1"/>
        <v>6.2E-2</v>
      </c>
      <c r="F249" t="s">
        <v>396</v>
      </c>
      <c r="G249" s="3" t="s">
        <v>43</v>
      </c>
      <c r="H249" s="13">
        <f t="shared" si="2"/>
        <v>0.60546875</v>
      </c>
      <c r="I249" s="3">
        <v>4</v>
      </c>
      <c r="J249">
        <v>1</v>
      </c>
      <c r="L249" t="s">
        <v>43</v>
      </c>
      <c r="M249">
        <v>164</v>
      </c>
      <c r="N249" t="s">
        <v>43</v>
      </c>
      <c r="O249" t="s">
        <v>43</v>
      </c>
      <c r="P249" t="s">
        <v>43</v>
      </c>
      <c r="Q249" t="s">
        <v>43</v>
      </c>
      <c r="R249">
        <v>71</v>
      </c>
      <c r="S249">
        <v>53</v>
      </c>
      <c r="T249" t="s">
        <v>43</v>
      </c>
      <c r="U249" t="s">
        <v>43</v>
      </c>
      <c r="W249" t="s">
        <v>43</v>
      </c>
      <c r="X249" t="s">
        <v>43</v>
      </c>
      <c r="Y249" t="s">
        <v>43</v>
      </c>
      <c r="Z249" t="s">
        <v>43</v>
      </c>
      <c r="AA249" t="s">
        <v>43</v>
      </c>
      <c r="AB249" t="s">
        <v>43</v>
      </c>
      <c r="AC249" t="s">
        <v>43</v>
      </c>
      <c r="AE249" t="s">
        <v>43</v>
      </c>
      <c r="AF249" t="s">
        <v>43</v>
      </c>
      <c r="AG249" t="s">
        <v>43</v>
      </c>
      <c r="AH249" t="s">
        <v>43</v>
      </c>
      <c r="AJ249" s="33"/>
    </row>
    <row r="250" spans="2:36" ht="15" x14ac:dyDescent="0.25">
      <c r="B250" s="33" t="s">
        <v>395</v>
      </c>
      <c r="C250" s="33"/>
      <c r="D250" t="s">
        <v>43</v>
      </c>
      <c r="E250" s="20">
        <f t="shared" si="1"/>
        <v>6.2E-2</v>
      </c>
      <c r="F250" t="s">
        <v>396</v>
      </c>
      <c r="G250" s="3" t="s">
        <v>43</v>
      </c>
      <c r="H250" s="13">
        <f t="shared" si="2"/>
        <v>0.302734375</v>
      </c>
      <c r="I250" s="3">
        <v>8</v>
      </c>
      <c r="J250">
        <v>0.63</v>
      </c>
      <c r="L250" t="s">
        <v>43</v>
      </c>
      <c r="M250">
        <v>207</v>
      </c>
      <c r="N250" t="s">
        <v>43</v>
      </c>
      <c r="O250" t="s">
        <v>43</v>
      </c>
      <c r="P250" t="s">
        <v>43</v>
      </c>
      <c r="Q250" t="s">
        <v>43</v>
      </c>
      <c r="R250">
        <v>63</v>
      </c>
      <c r="S250" s="9">
        <v>65</v>
      </c>
      <c r="T250" t="s">
        <v>43</v>
      </c>
      <c r="U250" t="s">
        <v>43</v>
      </c>
      <c r="W250" t="s">
        <v>43</v>
      </c>
      <c r="X250" t="s">
        <v>43</v>
      </c>
      <c r="Y250" t="s">
        <v>43</v>
      </c>
      <c r="Z250" t="s">
        <v>43</v>
      </c>
      <c r="AA250" t="s">
        <v>43</v>
      </c>
      <c r="AB250" t="s">
        <v>43</v>
      </c>
      <c r="AC250" t="s">
        <v>43</v>
      </c>
      <c r="AE250" t="s">
        <v>43</v>
      </c>
      <c r="AF250" t="s">
        <v>43</v>
      </c>
      <c r="AG250" t="s">
        <v>43</v>
      </c>
      <c r="AH250" t="s">
        <v>43</v>
      </c>
      <c r="AJ250" s="33"/>
    </row>
    <row r="251" spans="2:36" ht="15" x14ac:dyDescent="0.25">
      <c r="B251" s="33" t="s">
        <v>395</v>
      </c>
      <c r="C251" s="33"/>
      <c r="D251" t="s">
        <v>43</v>
      </c>
      <c r="E251" s="20">
        <f t="shared" si="1"/>
        <v>6.2E-2</v>
      </c>
      <c r="F251" t="s">
        <v>396</v>
      </c>
      <c r="G251" s="3" t="s">
        <v>43</v>
      </c>
      <c r="H251" s="13">
        <f t="shared" si="2"/>
        <v>0.40364583333333331</v>
      </c>
      <c r="I251" s="3">
        <v>6</v>
      </c>
      <c r="J251">
        <v>0.53</v>
      </c>
      <c r="L251" t="s">
        <v>43</v>
      </c>
      <c r="M251">
        <v>132</v>
      </c>
      <c r="N251" t="s">
        <v>43</v>
      </c>
      <c r="O251" t="s">
        <v>43</v>
      </c>
      <c r="P251" t="s">
        <v>43</v>
      </c>
      <c r="Q251" t="s">
        <v>43</v>
      </c>
      <c r="R251">
        <v>66</v>
      </c>
      <c r="S251" s="9">
        <v>47</v>
      </c>
      <c r="T251" t="s">
        <v>43</v>
      </c>
      <c r="U251" t="s">
        <v>43</v>
      </c>
      <c r="W251" t="s">
        <v>43</v>
      </c>
      <c r="X251" t="s">
        <v>43</v>
      </c>
      <c r="Y251" t="s">
        <v>43</v>
      </c>
      <c r="Z251" t="s">
        <v>43</v>
      </c>
      <c r="AA251" t="s">
        <v>43</v>
      </c>
      <c r="AB251" t="s">
        <v>43</v>
      </c>
      <c r="AC251" t="s">
        <v>43</v>
      </c>
      <c r="AE251" t="s">
        <v>43</v>
      </c>
      <c r="AF251" t="s">
        <v>43</v>
      </c>
      <c r="AG251" t="s">
        <v>43</v>
      </c>
      <c r="AH251" t="s">
        <v>43</v>
      </c>
      <c r="AJ251" s="33"/>
    </row>
    <row r="252" spans="2:36" ht="15" x14ac:dyDescent="0.25">
      <c r="B252" s="33" t="s">
        <v>395</v>
      </c>
      <c r="C252" s="33"/>
      <c r="D252" t="s">
        <v>43</v>
      </c>
      <c r="E252" s="20">
        <f t="shared" si="1"/>
        <v>6.2E-2</v>
      </c>
      <c r="F252" t="s">
        <v>396</v>
      </c>
      <c r="G252" s="3" t="s">
        <v>43</v>
      </c>
      <c r="H252" s="13">
        <f t="shared" si="2"/>
        <v>0.60546875</v>
      </c>
      <c r="I252" s="3">
        <v>4</v>
      </c>
      <c r="J252">
        <v>1</v>
      </c>
      <c r="L252" t="s">
        <v>43</v>
      </c>
      <c r="M252">
        <v>164</v>
      </c>
      <c r="N252" t="s">
        <v>43</v>
      </c>
      <c r="O252" t="s">
        <v>43</v>
      </c>
      <c r="P252" t="s">
        <v>43</v>
      </c>
      <c r="Q252" t="s">
        <v>43</v>
      </c>
      <c r="R252">
        <v>62</v>
      </c>
      <c r="S252" s="9">
        <v>61</v>
      </c>
      <c r="T252" t="s">
        <v>43</v>
      </c>
      <c r="U252" t="s">
        <v>43</v>
      </c>
      <c r="W252" t="s">
        <v>43</v>
      </c>
      <c r="X252" t="s">
        <v>43</v>
      </c>
      <c r="Y252" t="s">
        <v>43</v>
      </c>
      <c r="Z252" t="s">
        <v>43</v>
      </c>
      <c r="AA252" t="s">
        <v>43</v>
      </c>
      <c r="AB252" t="s">
        <v>43</v>
      </c>
      <c r="AC252" t="s">
        <v>43</v>
      </c>
      <c r="AE252" t="s">
        <v>43</v>
      </c>
      <c r="AF252" t="s">
        <v>43</v>
      </c>
      <c r="AG252" t="s">
        <v>43</v>
      </c>
      <c r="AH252" t="s">
        <v>43</v>
      </c>
      <c r="AJ252" s="33"/>
    </row>
    <row r="253" spans="2:36" ht="15" x14ac:dyDescent="0.25">
      <c r="B253" s="33" t="s">
        <v>300</v>
      </c>
      <c r="C253" s="33"/>
      <c r="D253" t="s">
        <v>43</v>
      </c>
      <c r="E253" s="20">
        <f t="shared" si="1"/>
        <v>6.2E-2</v>
      </c>
      <c r="F253" t="s">
        <v>396</v>
      </c>
      <c r="G253" s="3" t="s">
        <v>43</v>
      </c>
      <c r="H253" s="13">
        <f t="shared" si="2"/>
        <v>0.302734375</v>
      </c>
      <c r="I253" s="3">
        <v>8</v>
      </c>
      <c r="J253">
        <v>0.63</v>
      </c>
      <c r="L253" t="s">
        <v>43</v>
      </c>
      <c r="M253">
        <v>207</v>
      </c>
      <c r="N253" t="s">
        <v>43</v>
      </c>
      <c r="O253" t="s">
        <v>43</v>
      </c>
      <c r="P253" t="s">
        <v>43</v>
      </c>
      <c r="Q253" t="s">
        <v>43</v>
      </c>
      <c r="R253">
        <v>35</v>
      </c>
      <c r="S253" s="9">
        <v>81</v>
      </c>
      <c r="T253" t="s">
        <v>43</v>
      </c>
      <c r="U253" t="s">
        <v>43</v>
      </c>
      <c r="W253" t="s">
        <v>43</v>
      </c>
      <c r="X253" t="s">
        <v>43</v>
      </c>
      <c r="Y253" t="s">
        <v>43</v>
      </c>
      <c r="Z253" t="s">
        <v>43</v>
      </c>
      <c r="AA253" t="s">
        <v>43</v>
      </c>
      <c r="AB253" t="s">
        <v>43</v>
      </c>
      <c r="AC253" t="s">
        <v>43</v>
      </c>
      <c r="AE253" t="s">
        <v>43</v>
      </c>
      <c r="AF253" t="s">
        <v>43</v>
      </c>
      <c r="AG253" t="s">
        <v>43</v>
      </c>
      <c r="AH253" t="s">
        <v>43</v>
      </c>
      <c r="AJ253" s="33"/>
    </row>
    <row r="254" spans="2:36" ht="15" x14ac:dyDescent="0.25">
      <c r="B254" s="33" t="s">
        <v>300</v>
      </c>
      <c r="C254" s="33"/>
      <c r="D254" t="s">
        <v>43</v>
      </c>
      <c r="E254" s="20">
        <f t="shared" si="1"/>
        <v>6.2E-2</v>
      </c>
      <c r="F254" t="s">
        <v>396</v>
      </c>
      <c r="G254" s="3" t="s">
        <v>43</v>
      </c>
      <c r="H254" s="13">
        <f t="shared" si="2"/>
        <v>0.40364583333333331</v>
      </c>
      <c r="I254" s="3">
        <v>6</v>
      </c>
      <c r="J254">
        <v>0.53</v>
      </c>
      <c r="L254" t="s">
        <v>43</v>
      </c>
      <c r="M254">
        <v>132</v>
      </c>
      <c r="N254" t="s">
        <v>43</v>
      </c>
      <c r="O254" t="s">
        <v>43</v>
      </c>
      <c r="P254" t="s">
        <v>43</v>
      </c>
      <c r="Q254" t="s">
        <v>43</v>
      </c>
      <c r="R254">
        <v>41</v>
      </c>
      <c r="S254" s="9">
        <v>62</v>
      </c>
      <c r="T254" t="s">
        <v>43</v>
      </c>
      <c r="U254" t="s">
        <v>43</v>
      </c>
      <c r="W254" t="s">
        <v>43</v>
      </c>
      <c r="X254" t="s">
        <v>43</v>
      </c>
      <c r="Y254" t="s">
        <v>43</v>
      </c>
      <c r="Z254" t="s">
        <v>43</v>
      </c>
      <c r="AA254" t="s">
        <v>43</v>
      </c>
      <c r="AB254" t="s">
        <v>43</v>
      </c>
      <c r="AC254" t="s">
        <v>43</v>
      </c>
      <c r="AE254" t="s">
        <v>43</v>
      </c>
      <c r="AF254" t="s">
        <v>43</v>
      </c>
      <c r="AG254" t="s">
        <v>43</v>
      </c>
      <c r="AH254" t="s">
        <v>43</v>
      </c>
      <c r="AJ254" s="33"/>
    </row>
    <row r="255" spans="2:36" ht="15" x14ac:dyDescent="0.25">
      <c r="B255" s="33" t="s">
        <v>300</v>
      </c>
      <c r="C255" s="33"/>
      <c r="D255" t="s">
        <v>43</v>
      </c>
      <c r="E255" s="20">
        <f>62/1000</f>
        <v>6.2E-2</v>
      </c>
      <c r="F255" t="s">
        <v>396</v>
      </c>
      <c r="G255" s="3" t="s">
        <v>43</v>
      </c>
      <c r="H255" s="13">
        <f t="shared" si="2"/>
        <v>0.60546875</v>
      </c>
      <c r="I255" s="3">
        <v>4</v>
      </c>
      <c r="J255">
        <v>1</v>
      </c>
      <c r="L255" t="s">
        <v>43</v>
      </c>
      <c r="M255">
        <v>164</v>
      </c>
      <c r="N255" t="s">
        <v>43</v>
      </c>
      <c r="O255" t="s">
        <v>43</v>
      </c>
      <c r="P255" t="s">
        <v>43</v>
      </c>
      <c r="Q255" t="s">
        <v>43</v>
      </c>
      <c r="R255">
        <v>44</v>
      </c>
      <c r="S255" s="9">
        <v>73</v>
      </c>
      <c r="T255" t="s">
        <v>43</v>
      </c>
      <c r="U255" t="s">
        <v>43</v>
      </c>
      <c r="W255" t="s">
        <v>43</v>
      </c>
      <c r="X255" t="s">
        <v>43</v>
      </c>
      <c r="Y255" t="s">
        <v>43</v>
      </c>
      <c r="Z255" t="s">
        <v>43</v>
      </c>
      <c r="AA255" t="s">
        <v>43</v>
      </c>
      <c r="AB255" t="s">
        <v>43</v>
      </c>
      <c r="AC255" t="s">
        <v>43</v>
      </c>
      <c r="AE255" t="s">
        <v>43</v>
      </c>
      <c r="AF255" t="s">
        <v>43</v>
      </c>
      <c r="AG255" t="s">
        <v>43</v>
      </c>
      <c r="AH255" t="s">
        <v>43</v>
      </c>
      <c r="AJ255" s="33"/>
    </row>
    <row r="257" spans="2:36" ht="15" x14ac:dyDescent="0.25">
      <c r="B257" s="34" t="s">
        <v>46</v>
      </c>
      <c r="C257" s="34"/>
      <c r="D257" t="s">
        <v>43</v>
      </c>
      <c r="E257" s="3">
        <v>0.46500000000000002</v>
      </c>
      <c r="F257">
        <v>12</v>
      </c>
      <c r="G257" t="s">
        <v>43</v>
      </c>
      <c r="H257" t="s">
        <v>43</v>
      </c>
      <c r="I257">
        <v>7</v>
      </c>
      <c r="J257" s="8">
        <f t="shared" ref="J257:J266" si="3">((M257*(E257/I257)*24)/1000)/E257</f>
        <v>2.4000000000000004</v>
      </c>
      <c r="L257">
        <v>311</v>
      </c>
      <c r="M257">
        <v>700</v>
      </c>
      <c r="N257">
        <v>164</v>
      </c>
      <c r="O257" s="9">
        <f t="shared" ref="O257:O266" si="4">((L257-N257)/L257)*100</f>
        <v>47.266881028938904</v>
      </c>
      <c r="P257" t="s">
        <v>43</v>
      </c>
      <c r="Q257" t="s">
        <v>43</v>
      </c>
      <c r="R257">
        <v>207</v>
      </c>
      <c r="S257" s="9">
        <f t="shared" ref="S257:S266" si="5">((M257-R257)/M257)*100</f>
        <v>70.428571428571431</v>
      </c>
      <c r="T257" t="s">
        <v>43</v>
      </c>
      <c r="U257" t="s">
        <v>43</v>
      </c>
      <c r="X257" s="3" t="s">
        <v>43</v>
      </c>
      <c r="Y257" s="3" t="s">
        <v>43</v>
      </c>
      <c r="Z257" s="3" t="s">
        <v>43</v>
      </c>
      <c r="AA257" s="3" t="s">
        <v>43</v>
      </c>
      <c r="AB257" s="5" t="s">
        <v>43</v>
      </c>
      <c r="AC257" s="3" t="s">
        <v>43</v>
      </c>
      <c r="AE257" s="3" t="s">
        <v>43</v>
      </c>
      <c r="AF257" s="3" t="s">
        <v>43</v>
      </c>
      <c r="AG257" s="3" t="s">
        <v>43</v>
      </c>
      <c r="AH257" s="3" t="s">
        <v>43</v>
      </c>
      <c r="AJ257" s="33" t="s">
        <v>89</v>
      </c>
    </row>
    <row r="258" spans="2:36" ht="15" x14ac:dyDescent="0.25">
      <c r="B258" s="34" t="s">
        <v>46</v>
      </c>
      <c r="C258" s="34"/>
      <c r="D258" t="s">
        <v>43</v>
      </c>
      <c r="E258" s="3">
        <v>0.46500000000000002</v>
      </c>
      <c r="F258">
        <v>17</v>
      </c>
      <c r="G258" t="s">
        <v>43</v>
      </c>
      <c r="H258" t="s">
        <v>43</v>
      </c>
      <c r="I258">
        <v>5.5</v>
      </c>
      <c r="J258" s="8">
        <f t="shared" si="3"/>
        <v>2.474181818181818</v>
      </c>
      <c r="L258">
        <v>289</v>
      </c>
      <c r="M258">
        <v>567</v>
      </c>
      <c r="N258">
        <v>167</v>
      </c>
      <c r="O258" s="9">
        <f t="shared" si="4"/>
        <v>42.214532871972317</v>
      </c>
      <c r="P258" t="s">
        <v>43</v>
      </c>
      <c r="Q258" t="s">
        <v>43</v>
      </c>
      <c r="R258">
        <v>175</v>
      </c>
      <c r="S258" s="9">
        <f t="shared" si="5"/>
        <v>69.135802469135797</v>
      </c>
      <c r="T258" t="s">
        <v>43</v>
      </c>
      <c r="U258" t="s">
        <v>43</v>
      </c>
      <c r="X258" s="3" t="s">
        <v>43</v>
      </c>
      <c r="Y258" s="3" t="s">
        <v>43</v>
      </c>
      <c r="Z258" s="3" t="s">
        <v>43</v>
      </c>
      <c r="AA258" s="3" t="s">
        <v>43</v>
      </c>
      <c r="AB258" s="5" t="s">
        <v>43</v>
      </c>
      <c r="AC258" s="3" t="s">
        <v>43</v>
      </c>
      <c r="AE258" s="3" t="s">
        <v>43</v>
      </c>
      <c r="AF258" s="3" t="s">
        <v>43</v>
      </c>
      <c r="AG258" s="3" t="s">
        <v>43</v>
      </c>
      <c r="AH258" s="3" t="s">
        <v>43</v>
      </c>
      <c r="AJ258" s="33"/>
    </row>
    <row r="259" spans="2:36" ht="15" x14ac:dyDescent="0.25">
      <c r="B259" s="34" t="s">
        <v>46</v>
      </c>
      <c r="C259" s="34"/>
      <c r="D259" t="s">
        <v>43</v>
      </c>
      <c r="E259" s="3">
        <v>0.46500000000000002</v>
      </c>
      <c r="F259">
        <v>25</v>
      </c>
      <c r="G259" t="s">
        <v>43</v>
      </c>
      <c r="H259" t="s">
        <v>43</v>
      </c>
      <c r="I259">
        <v>4</v>
      </c>
      <c r="J259" s="8">
        <f t="shared" si="3"/>
        <v>3.516</v>
      </c>
      <c r="L259">
        <v>258</v>
      </c>
      <c r="M259">
        <v>586</v>
      </c>
      <c r="N259">
        <v>143</v>
      </c>
      <c r="O259" s="9">
        <f t="shared" si="4"/>
        <v>44.573643410852718</v>
      </c>
      <c r="P259" t="s">
        <v>43</v>
      </c>
      <c r="Q259" t="s">
        <v>43</v>
      </c>
      <c r="R259">
        <v>195</v>
      </c>
      <c r="S259" s="9">
        <f t="shared" si="5"/>
        <v>66.723549488054616</v>
      </c>
      <c r="T259" t="s">
        <v>43</v>
      </c>
      <c r="U259" t="s">
        <v>43</v>
      </c>
      <c r="X259" s="3" t="s">
        <v>43</v>
      </c>
      <c r="Y259" s="3" t="s">
        <v>43</v>
      </c>
      <c r="Z259" s="3" t="s">
        <v>43</v>
      </c>
      <c r="AA259" s="3" t="s">
        <v>43</v>
      </c>
      <c r="AB259" s="5" t="s">
        <v>43</v>
      </c>
      <c r="AC259" s="3" t="s">
        <v>43</v>
      </c>
      <c r="AE259" s="3" t="s">
        <v>43</v>
      </c>
      <c r="AF259" s="3" t="s">
        <v>43</v>
      </c>
      <c r="AG259" s="3" t="s">
        <v>43</v>
      </c>
      <c r="AH259" s="3" t="s">
        <v>43</v>
      </c>
      <c r="AJ259" s="33"/>
    </row>
    <row r="260" spans="2:36" ht="15" x14ac:dyDescent="0.25">
      <c r="B260" s="34" t="s">
        <v>46</v>
      </c>
      <c r="C260" s="34"/>
      <c r="D260" t="s">
        <v>43</v>
      </c>
      <c r="E260" s="3">
        <v>0.46500000000000002</v>
      </c>
      <c r="F260">
        <v>26</v>
      </c>
      <c r="G260" t="s">
        <v>43</v>
      </c>
      <c r="H260" t="s">
        <v>43</v>
      </c>
      <c r="I260">
        <v>2.7</v>
      </c>
      <c r="J260" s="8">
        <f t="shared" si="3"/>
        <v>5.0844444444444434</v>
      </c>
      <c r="L260">
        <v>280</v>
      </c>
      <c r="M260">
        <v>572</v>
      </c>
      <c r="N260">
        <v>147</v>
      </c>
      <c r="O260" s="9">
        <f t="shared" si="4"/>
        <v>47.5</v>
      </c>
      <c r="P260" t="s">
        <v>43</v>
      </c>
      <c r="Q260" t="s">
        <v>43</v>
      </c>
      <c r="R260">
        <v>211</v>
      </c>
      <c r="S260" s="9">
        <f t="shared" si="5"/>
        <v>63.111888111888113</v>
      </c>
      <c r="T260" t="s">
        <v>43</v>
      </c>
      <c r="U260" t="s">
        <v>43</v>
      </c>
      <c r="X260" s="3" t="s">
        <v>43</v>
      </c>
      <c r="Y260" s="3" t="s">
        <v>43</v>
      </c>
      <c r="Z260" s="3" t="s">
        <v>43</v>
      </c>
      <c r="AA260" s="3" t="s">
        <v>43</v>
      </c>
      <c r="AB260" s="5" t="s">
        <v>43</v>
      </c>
      <c r="AC260" s="3" t="s">
        <v>43</v>
      </c>
      <c r="AE260" s="3" t="s">
        <v>43</v>
      </c>
      <c r="AF260" s="3" t="s">
        <v>43</v>
      </c>
      <c r="AG260" s="3" t="s">
        <v>43</v>
      </c>
      <c r="AH260" s="3" t="s">
        <v>43</v>
      </c>
      <c r="AJ260" s="33"/>
    </row>
    <row r="261" spans="2:36" ht="15" x14ac:dyDescent="0.25">
      <c r="B261" s="34" t="s">
        <v>46</v>
      </c>
      <c r="C261" s="34"/>
      <c r="D261" t="s">
        <v>43</v>
      </c>
      <c r="E261" s="3">
        <v>0.46500000000000002</v>
      </c>
      <c r="F261">
        <v>31</v>
      </c>
      <c r="G261" t="s">
        <v>43</v>
      </c>
      <c r="H261" t="s">
        <v>43</v>
      </c>
      <c r="I261">
        <v>1.4</v>
      </c>
      <c r="J261" s="8">
        <f t="shared" si="3"/>
        <v>10.491428571428571</v>
      </c>
      <c r="L261">
        <v>296</v>
      </c>
      <c r="M261">
        <v>612</v>
      </c>
      <c r="N261">
        <v>151</v>
      </c>
      <c r="O261" s="9">
        <f t="shared" si="4"/>
        <v>48.986486486486484</v>
      </c>
      <c r="P261" t="s">
        <v>43</v>
      </c>
      <c r="Q261" t="s">
        <v>43</v>
      </c>
      <c r="R261">
        <v>255</v>
      </c>
      <c r="S261" s="9">
        <f t="shared" si="5"/>
        <v>58.333333333333336</v>
      </c>
      <c r="T261" t="s">
        <v>43</v>
      </c>
      <c r="U261" t="s">
        <v>43</v>
      </c>
      <c r="X261" s="3" t="s">
        <v>43</v>
      </c>
      <c r="Y261" s="3" t="s">
        <v>43</v>
      </c>
      <c r="Z261" s="3" t="s">
        <v>43</v>
      </c>
      <c r="AA261" s="3" t="s">
        <v>43</v>
      </c>
      <c r="AB261" s="5" t="s">
        <v>43</v>
      </c>
      <c r="AC261" s="3" t="s">
        <v>43</v>
      </c>
      <c r="AE261" s="3" t="s">
        <v>43</v>
      </c>
      <c r="AF261" s="3" t="s">
        <v>43</v>
      </c>
      <c r="AG261" s="3" t="s">
        <v>43</v>
      </c>
      <c r="AH261" s="3" t="s">
        <v>43</v>
      </c>
      <c r="AJ261" s="33"/>
    </row>
    <row r="262" spans="2:36" ht="15" x14ac:dyDescent="0.25">
      <c r="B262" s="33" t="s">
        <v>275</v>
      </c>
      <c r="C262" s="33"/>
      <c r="D262" t="s">
        <v>43</v>
      </c>
      <c r="E262" s="3">
        <v>0.46500000000000002</v>
      </c>
      <c r="F262">
        <v>12</v>
      </c>
      <c r="G262" t="s">
        <v>43</v>
      </c>
      <c r="H262" t="s">
        <v>43</v>
      </c>
      <c r="I262">
        <v>7</v>
      </c>
      <c r="J262" s="8">
        <f t="shared" si="3"/>
        <v>2.4000000000000004</v>
      </c>
      <c r="L262">
        <v>311</v>
      </c>
      <c r="M262">
        <v>700</v>
      </c>
      <c r="N262">
        <v>157</v>
      </c>
      <c r="O262" s="9">
        <f t="shared" si="4"/>
        <v>49.517684887459808</v>
      </c>
      <c r="P262" t="s">
        <v>43</v>
      </c>
      <c r="Q262" t="s">
        <v>43</v>
      </c>
      <c r="R262">
        <v>202</v>
      </c>
      <c r="S262" s="9">
        <f t="shared" si="5"/>
        <v>71.142857142857139</v>
      </c>
      <c r="T262" t="s">
        <v>43</v>
      </c>
      <c r="U262" t="s">
        <v>43</v>
      </c>
      <c r="X262" s="3" t="s">
        <v>43</v>
      </c>
      <c r="Y262" s="3" t="s">
        <v>43</v>
      </c>
      <c r="Z262" s="3" t="s">
        <v>43</v>
      </c>
      <c r="AA262" s="3" t="s">
        <v>43</v>
      </c>
      <c r="AB262" s="5" t="s">
        <v>43</v>
      </c>
      <c r="AC262" s="3" t="s">
        <v>43</v>
      </c>
      <c r="AE262" s="3" t="s">
        <v>43</v>
      </c>
      <c r="AF262" s="3" t="s">
        <v>43</v>
      </c>
      <c r="AG262" s="3" t="s">
        <v>43</v>
      </c>
      <c r="AH262" s="3" t="s">
        <v>43</v>
      </c>
      <c r="AJ262" s="33"/>
    </row>
    <row r="263" spans="2:36" ht="15" x14ac:dyDescent="0.25">
      <c r="B263" s="33" t="s">
        <v>275</v>
      </c>
      <c r="C263" s="33"/>
      <c r="D263" t="s">
        <v>43</v>
      </c>
      <c r="E263" s="3">
        <v>0.46500000000000002</v>
      </c>
      <c r="F263">
        <v>17</v>
      </c>
      <c r="G263" t="s">
        <v>43</v>
      </c>
      <c r="H263" t="s">
        <v>43</v>
      </c>
      <c r="I263">
        <v>5.5</v>
      </c>
      <c r="J263" s="8">
        <f t="shared" si="3"/>
        <v>2.474181818181818</v>
      </c>
      <c r="L263">
        <v>289</v>
      </c>
      <c r="M263">
        <v>567</v>
      </c>
      <c r="N263">
        <v>162</v>
      </c>
      <c r="O263" s="9">
        <f t="shared" si="4"/>
        <v>43.944636678200695</v>
      </c>
      <c r="P263" t="s">
        <v>43</v>
      </c>
      <c r="Q263" t="s">
        <v>43</v>
      </c>
      <c r="R263">
        <v>155</v>
      </c>
      <c r="S263" s="9">
        <f t="shared" si="5"/>
        <v>72.663139329805986</v>
      </c>
      <c r="T263" t="s">
        <v>43</v>
      </c>
      <c r="U263" t="s">
        <v>43</v>
      </c>
      <c r="X263" s="3" t="s">
        <v>43</v>
      </c>
      <c r="Y263" s="3" t="s">
        <v>43</v>
      </c>
      <c r="Z263" s="3" t="s">
        <v>43</v>
      </c>
      <c r="AA263" s="3" t="s">
        <v>43</v>
      </c>
      <c r="AB263" s="5" t="s">
        <v>43</v>
      </c>
      <c r="AC263" s="3" t="s">
        <v>43</v>
      </c>
      <c r="AE263" s="3" t="s">
        <v>43</v>
      </c>
      <c r="AF263" s="3" t="s">
        <v>43</v>
      </c>
      <c r="AG263" s="3" t="s">
        <v>43</v>
      </c>
      <c r="AH263" s="3" t="s">
        <v>43</v>
      </c>
      <c r="AJ263" s="33"/>
    </row>
    <row r="264" spans="2:36" ht="15" x14ac:dyDescent="0.25">
      <c r="B264" s="33" t="s">
        <v>275</v>
      </c>
      <c r="C264" s="33"/>
      <c r="D264" t="s">
        <v>43</v>
      </c>
      <c r="E264" s="3">
        <v>0.46500000000000002</v>
      </c>
      <c r="F264">
        <v>25</v>
      </c>
      <c r="G264" t="s">
        <v>43</v>
      </c>
      <c r="H264" t="s">
        <v>43</v>
      </c>
      <c r="I264">
        <v>4</v>
      </c>
      <c r="J264" s="8">
        <f t="shared" si="3"/>
        <v>3.516</v>
      </c>
      <c r="L264">
        <v>258</v>
      </c>
      <c r="M264">
        <v>586</v>
      </c>
      <c r="N264">
        <v>142</v>
      </c>
      <c r="O264" s="9">
        <f t="shared" si="4"/>
        <v>44.961240310077521</v>
      </c>
      <c r="P264" t="s">
        <v>43</v>
      </c>
      <c r="Q264" t="s">
        <v>43</v>
      </c>
      <c r="R264">
        <v>184</v>
      </c>
      <c r="S264" s="9">
        <f t="shared" si="5"/>
        <v>68.600682593856661</v>
      </c>
      <c r="T264" t="s">
        <v>43</v>
      </c>
      <c r="U264" t="s">
        <v>43</v>
      </c>
      <c r="X264" s="3" t="s">
        <v>43</v>
      </c>
      <c r="Y264" s="3" t="s">
        <v>43</v>
      </c>
      <c r="Z264" s="3" t="s">
        <v>43</v>
      </c>
      <c r="AA264" s="3" t="s">
        <v>43</v>
      </c>
      <c r="AB264" s="5" t="s">
        <v>43</v>
      </c>
      <c r="AC264" s="3" t="s">
        <v>43</v>
      </c>
      <c r="AE264" s="3" t="s">
        <v>43</v>
      </c>
      <c r="AF264" s="3" t="s">
        <v>43</v>
      </c>
      <c r="AG264" s="3" t="s">
        <v>43</v>
      </c>
      <c r="AH264" s="3" t="s">
        <v>43</v>
      </c>
      <c r="AJ264" s="33"/>
    </row>
    <row r="265" spans="2:36" ht="15" x14ac:dyDescent="0.25">
      <c r="B265" s="33" t="s">
        <v>275</v>
      </c>
      <c r="C265" s="33"/>
      <c r="D265" t="s">
        <v>43</v>
      </c>
      <c r="E265" s="3">
        <v>0.46500000000000002</v>
      </c>
      <c r="F265">
        <v>26</v>
      </c>
      <c r="G265" t="s">
        <v>43</v>
      </c>
      <c r="H265" t="s">
        <v>43</v>
      </c>
      <c r="I265">
        <v>2.7</v>
      </c>
      <c r="J265" s="8">
        <f t="shared" si="3"/>
        <v>5.0844444444444434</v>
      </c>
      <c r="L265">
        <v>280</v>
      </c>
      <c r="M265">
        <v>572</v>
      </c>
      <c r="N265">
        <v>150</v>
      </c>
      <c r="O265" s="9">
        <f t="shared" si="4"/>
        <v>46.428571428571431</v>
      </c>
      <c r="P265" t="s">
        <v>43</v>
      </c>
      <c r="Q265" t="s">
        <v>43</v>
      </c>
      <c r="R265">
        <v>190</v>
      </c>
      <c r="S265" s="9">
        <f t="shared" si="5"/>
        <v>66.783216783216787</v>
      </c>
      <c r="T265" t="s">
        <v>43</v>
      </c>
      <c r="U265" t="s">
        <v>43</v>
      </c>
      <c r="X265" s="3" t="s">
        <v>43</v>
      </c>
      <c r="Y265" s="3" t="s">
        <v>43</v>
      </c>
      <c r="Z265" s="3" t="s">
        <v>43</v>
      </c>
      <c r="AA265" s="3" t="s">
        <v>43</v>
      </c>
      <c r="AB265" s="5" t="s">
        <v>43</v>
      </c>
      <c r="AC265" s="3" t="s">
        <v>43</v>
      </c>
      <c r="AE265" s="3" t="s">
        <v>43</v>
      </c>
      <c r="AF265" s="3" t="s">
        <v>43</v>
      </c>
      <c r="AG265" s="3" t="s">
        <v>43</v>
      </c>
      <c r="AH265" s="3" t="s">
        <v>43</v>
      </c>
      <c r="AJ265" s="33"/>
    </row>
    <row r="266" spans="2:36" ht="15" x14ac:dyDescent="0.25">
      <c r="B266" s="33" t="s">
        <v>275</v>
      </c>
      <c r="C266" s="33"/>
      <c r="D266" t="s">
        <v>43</v>
      </c>
      <c r="E266" s="3">
        <v>0.46500000000000002</v>
      </c>
      <c r="F266">
        <v>31</v>
      </c>
      <c r="G266" t="s">
        <v>43</v>
      </c>
      <c r="H266" t="s">
        <v>43</v>
      </c>
      <c r="I266">
        <v>1.4</v>
      </c>
      <c r="J266" s="8">
        <f t="shared" si="3"/>
        <v>10.491428571428571</v>
      </c>
      <c r="L266">
        <v>296</v>
      </c>
      <c r="M266">
        <v>612</v>
      </c>
      <c r="N266">
        <v>146</v>
      </c>
      <c r="O266" s="9">
        <f t="shared" si="4"/>
        <v>50.675675675675677</v>
      </c>
      <c r="P266" t="s">
        <v>43</v>
      </c>
      <c r="Q266" t="s">
        <v>43</v>
      </c>
      <c r="R266">
        <v>254</v>
      </c>
      <c r="S266" s="9">
        <f t="shared" si="5"/>
        <v>58.496732026143796</v>
      </c>
      <c r="T266" t="s">
        <v>43</v>
      </c>
      <c r="U266" t="s">
        <v>43</v>
      </c>
      <c r="X266" s="3" t="s">
        <v>43</v>
      </c>
      <c r="Y266" s="3" t="s">
        <v>43</v>
      </c>
      <c r="Z266" s="3" t="s">
        <v>43</v>
      </c>
      <c r="AA266" s="3" t="s">
        <v>43</v>
      </c>
      <c r="AB266" s="5" t="s">
        <v>43</v>
      </c>
      <c r="AC266" s="3" t="s">
        <v>43</v>
      </c>
      <c r="AE266" s="3" t="s">
        <v>43</v>
      </c>
      <c r="AF266" s="3" t="s">
        <v>43</v>
      </c>
      <c r="AG266" s="3" t="s">
        <v>43</v>
      </c>
      <c r="AH266" s="3" t="s">
        <v>43</v>
      </c>
      <c r="AJ266" s="33"/>
    </row>
    <row r="269" spans="2:36" x14ac:dyDescent="0.2">
      <c r="O269" s="9">
        <f>O262-O257</f>
        <v>2.2508038585209036</v>
      </c>
      <c r="S269" s="9">
        <f>S262-S257</f>
        <v>0.7142857142857082</v>
      </c>
    </row>
    <row r="270" spans="2:36" x14ac:dyDescent="0.2">
      <c r="O270" s="9">
        <f t="shared" ref="O270:O272" si="6">O263-O258</f>
        <v>1.730103806228378</v>
      </c>
      <c r="S270" s="9">
        <f t="shared" ref="S270:S272" si="7">S263-S258</f>
        <v>3.5273368606701894</v>
      </c>
    </row>
    <row r="271" spans="2:36" x14ac:dyDescent="0.2">
      <c r="O271" s="9">
        <f t="shared" si="6"/>
        <v>0.38759689922480334</v>
      </c>
      <c r="S271" s="9">
        <f t="shared" si="7"/>
        <v>1.8771331058020451</v>
      </c>
    </row>
    <row r="272" spans="2:36" x14ac:dyDescent="0.2">
      <c r="O272" s="9">
        <f t="shared" si="6"/>
        <v>-1.0714285714285694</v>
      </c>
      <c r="S272" s="9">
        <f t="shared" si="7"/>
        <v>3.6713286713286735</v>
      </c>
    </row>
    <row r="273" spans="15:19" x14ac:dyDescent="0.2">
      <c r="O273" s="9">
        <f>O266-O261</f>
        <v>1.689189189189193</v>
      </c>
      <c r="S273" s="9">
        <f>S266-S261</f>
        <v>0.16339869281046049</v>
      </c>
    </row>
    <row r="274" spans="15:19" x14ac:dyDescent="0.2">
      <c r="O274" s="9"/>
    </row>
    <row r="275" spans="15:19" x14ac:dyDescent="0.2">
      <c r="O275" s="9">
        <f>AVERAGE(O269:O273)</f>
        <v>0.99725303634694173</v>
      </c>
      <c r="S275" s="9">
        <f>AVERAGE(S269:S273)</f>
        <v>1.9906966089794154</v>
      </c>
    </row>
    <row r="276" spans="15:19" x14ac:dyDescent="0.2">
      <c r="O276" s="9"/>
    </row>
    <row r="277" spans="15:19" x14ac:dyDescent="0.2">
      <c r="O277" s="9"/>
    </row>
  </sheetData>
  <sortState xmlns:xlrd2="http://schemas.microsoft.com/office/spreadsheetml/2017/richdata2" ref="BS3:BV235">
    <sortCondition ref="BT3:BT235"/>
  </sortState>
  <mergeCells count="21">
    <mergeCell ref="B266:C266"/>
    <mergeCell ref="B257:C257"/>
    <mergeCell ref="AJ257:AJ266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47:C247"/>
    <mergeCell ref="AJ247:AJ255"/>
    <mergeCell ref="B248:C248"/>
    <mergeCell ref="B249:C249"/>
    <mergeCell ref="B250:C250"/>
    <mergeCell ref="B251:C251"/>
    <mergeCell ref="B252:C252"/>
    <mergeCell ref="B253:C253"/>
    <mergeCell ref="B254:C254"/>
    <mergeCell ref="B255:C255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BDE7C-69B6-4579-A142-56F00360FFAA}">
  <dimension ref="A1:AU250"/>
  <sheetViews>
    <sheetView topLeftCell="Y1" zoomScale="80" zoomScaleNormal="80" workbookViewId="0">
      <selection activeCell="X40" sqref="X40"/>
    </sheetView>
  </sheetViews>
  <sheetFormatPr defaultRowHeight="14.25" x14ac:dyDescent="0.2"/>
  <cols>
    <col min="12" max="12" width="12.375" customWidth="1"/>
    <col min="19" max="19" width="12.375" customWidth="1"/>
  </cols>
  <sheetData>
    <row r="1" spans="1:47" x14ac:dyDescent="0.2">
      <c r="A1" t="s">
        <v>17</v>
      </c>
      <c r="B1" t="s">
        <v>19</v>
      </c>
      <c r="C1" t="s">
        <v>20</v>
      </c>
      <c r="D1" t="s">
        <v>21</v>
      </c>
      <c r="E1" t="s">
        <v>25</v>
      </c>
      <c r="F1" t="s">
        <v>29</v>
      </c>
      <c r="G1" t="s">
        <v>37</v>
      </c>
      <c r="J1" t="s">
        <v>17</v>
      </c>
      <c r="K1" t="s">
        <v>20</v>
      </c>
      <c r="L1" t="s">
        <v>21</v>
      </c>
      <c r="M1" t="s">
        <v>29</v>
      </c>
      <c r="Q1" t="s">
        <v>17</v>
      </c>
      <c r="R1" t="s">
        <v>20</v>
      </c>
      <c r="S1" t="s">
        <v>21</v>
      </c>
      <c r="T1" t="s">
        <v>25</v>
      </c>
      <c r="Y1" t="s">
        <v>17</v>
      </c>
      <c r="Z1" t="s">
        <v>20</v>
      </c>
      <c r="AA1" t="s">
        <v>21</v>
      </c>
      <c r="AB1" t="s">
        <v>29</v>
      </c>
    </row>
    <row r="2" spans="1:47" x14ac:dyDescent="0.2">
      <c r="A2">
        <v>7.1</v>
      </c>
      <c r="B2">
        <v>0.4</v>
      </c>
      <c r="C2">
        <v>8</v>
      </c>
      <c r="D2">
        <v>0.41459999999999997</v>
      </c>
      <c r="E2">
        <v>72.708333333333329</v>
      </c>
      <c r="F2">
        <v>33.14037626628074</v>
      </c>
      <c r="J2">
        <v>7.1</v>
      </c>
      <c r="K2">
        <v>8</v>
      </c>
      <c r="L2">
        <v>0.41459999999999997</v>
      </c>
      <c r="M2">
        <v>33.14037626628074</v>
      </c>
      <c r="O2">
        <f>L2*K2</f>
        <v>3.3167999999999997</v>
      </c>
      <c r="Q2">
        <v>7.1</v>
      </c>
      <c r="R2">
        <v>8</v>
      </c>
      <c r="S2">
        <v>0.41459999999999997</v>
      </c>
      <c r="T2">
        <v>72.708333333333329</v>
      </c>
      <c r="Y2">
        <v>27</v>
      </c>
      <c r="Z2">
        <v>1</v>
      </c>
      <c r="AA2">
        <v>17.184000000000001</v>
      </c>
      <c r="AB2">
        <v>34.497206703910614</v>
      </c>
    </row>
    <row r="3" spans="1:47" x14ac:dyDescent="0.2">
      <c r="A3">
        <v>9</v>
      </c>
      <c r="C3">
        <v>12</v>
      </c>
      <c r="D3">
        <v>1.7</v>
      </c>
      <c r="E3">
        <v>59.063136456211815</v>
      </c>
      <c r="F3">
        <v>43.916570104287374</v>
      </c>
      <c r="G3" t="s">
        <v>43</v>
      </c>
      <c r="J3">
        <v>9</v>
      </c>
      <c r="K3">
        <v>12</v>
      </c>
      <c r="L3">
        <v>1.7</v>
      </c>
      <c r="M3">
        <v>43.916570104287374</v>
      </c>
      <c r="O3">
        <f t="shared" ref="O3:O66" si="0">L3*K3</f>
        <v>20.399999999999999</v>
      </c>
      <c r="Q3">
        <v>9</v>
      </c>
      <c r="R3">
        <v>12</v>
      </c>
      <c r="S3">
        <v>1.7</v>
      </c>
      <c r="T3">
        <v>59.063136456211815</v>
      </c>
      <c r="Y3">
        <v>7.1</v>
      </c>
      <c r="Z3">
        <v>1</v>
      </c>
      <c r="AA3">
        <v>7.0000000000000007E-2</v>
      </c>
      <c r="AB3">
        <v>3.8367844092570031</v>
      </c>
    </row>
    <row r="4" spans="1:47" x14ac:dyDescent="0.2">
      <c r="A4">
        <v>9</v>
      </c>
      <c r="C4">
        <v>103.19999999999999</v>
      </c>
      <c r="D4">
        <v>0.43</v>
      </c>
      <c r="E4" t="s">
        <v>43</v>
      </c>
      <c r="F4">
        <v>65</v>
      </c>
      <c r="G4" t="s">
        <v>43</v>
      </c>
      <c r="J4">
        <v>9</v>
      </c>
      <c r="K4">
        <v>103.19999999999999</v>
      </c>
      <c r="L4">
        <v>0.43</v>
      </c>
      <c r="M4">
        <v>65</v>
      </c>
      <c r="O4">
        <f t="shared" si="0"/>
        <v>44.375999999999998</v>
      </c>
      <c r="Q4">
        <v>10.3</v>
      </c>
      <c r="R4">
        <v>8</v>
      </c>
      <c r="S4">
        <v>0.41459999999999997</v>
      </c>
      <c r="T4">
        <v>43.333333333333336</v>
      </c>
      <c r="Y4">
        <v>31</v>
      </c>
      <c r="Z4">
        <v>1.4</v>
      </c>
      <c r="AA4">
        <v>10.491428571428571</v>
      </c>
      <c r="AB4">
        <v>58.333333333333336</v>
      </c>
      <c r="AL4" t="s">
        <v>418</v>
      </c>
      <c r="AM4" t="s">
        <v>419</v>
      </c>
      <c r="AN4" t="s">
        <v>420</v>
      </c>
      <c r="AO4" t="s">
        <v>421</v>
      </c>
      <c r="AR4" t="s">
        <v>418</v>
      </c>
      <c r="AS4" t="s">
        <v>419</v>
      </c>
      <c r="AT4" t="s">
        <v>420</v>
      </c>
      <c r="AU4" t="s">
        <v>421</v>
      </c>
    </row>
    <row r="5" spans="1:47" x14ac:dyDescent="0.2">
      <c r="A5">
        <v>10.3</v>
      </c>
      <c r="B5">
        <v>0.4</v>
      </c>
      <c r="C5">
        <v>8</v>
      </c>
      <c r="D5">
        <v>0.41459999999999997</v>
      </c>
      <c r="E5">
        <v>43.333333333333336</v>
      </c>
      <c r="F5">
        <v>35.311143270622274</v>
      </c>
      <c r="J5">
        <v>10.3</v>
      </c>
      <c r="K5">
        <v>8</v>
      </c>
      <c r="L5">
        <v>0.41459999999999997</v>
      </c>
      <c r="M5">
        <v>35.311143270622274</v>
      </c>
      <c r="O5">
        <f t="shared" si="0"/>
        <v>3.3167999999999997</v>
      </c>
      <c r="Q5">
        <v>12</v>
      </c>
      <c r="R5">
        <v>7</v>
      </c>
      <c r="S5">
        <v>2.4000000000000004</v>
      </c>
      <c r="T5">
        <v>47.266881028938904</v>
      </c>
      <c r="Y5">
        <v>31</v>
      </c>
      <c r="Z5">
        <v>1.4</v>
      </c>
      <c r="AA5">
        <v>10.491428571428571</v>
      </c>
      <c r="AB5">
        <v>58.496732026143796</v>
      </c>
      <c r="AK5">
        <v>20</v>
      </c>
      <c r="AL5">
        <v>60.141509433962256</v>
      </c>
      <c r="AQ5">
        <v>2.544</v>
      </c>
      <c r="AR5">
        <v>60.141509433962256</v>
      </c>
    </row>
    <row r="6" spans="1:47" x14ac:dyDescent="0.2">
      <c r="A6">
        <v>12</v>
      </c>
      <c r="B6" t="s">
        <v>43</v>
      </c>
      <c r="C6">
        <v>7</v>
      </c>
      <c r="D6">
        <v>2.4000000000000004</v>
      </c>
      <c r="E6">
        <v>47.266881028938904</v>
      </c>
      <c r="F6">
        <v>70.428571428571431</v>
      </c>
      <c r="G6" t="s">
        <v>43</v>
      </c>
      <c r="J6">
        <v>12</v>
      </c>
      <c r="K6">
        <v>7</v>
      </c>
      <c r="L6">
        <v>2.4000000000000004</v>
      </c>
      <c r="M6">
        <v>70.428571428571431</v>
      </c>
      <c r="O6">
        <f t="shared" si="0"/>
        <v>16.800000000000004</v>
      </c>
      <c r="Q6">
        <v>12</v>
      </c>
      <c r="R6">
        <v>7</v>
      </c>
      <c r="S6">
        <v>2.4000000000000004</v>
      </c>
      <c r="T6">
        <v>49.517684887459808</v>
      </c>
      <c r="Y6">
        <v>27</v>
      </c>
      <c r="Z6">
        <v>2</v>
      </c>
      <c r="AA6">
        <v>9.4440000000000008</v>
      </c>
      <c r="AB6">
        <v>44.599745870393903</v>
      </c>
      <c r="AK6">
        <v>22</v>
      </c>
      <c r="AL6">
        <v>15</v>
      </c>
      <c r="AQ6">
        <v>4</v>
      </c>
      <c r="AR6">
        <v>15</v>
      </c>
    </row>
    <row r="7" spans="1:47" x14ac:dyDescent="0.2">
      <c r="A7">
        <v>12</v>
      </c>
      <c r="B7" t="s">
        <v>43</v>
      </c>
      <c r="C7">
        <v>7</v>
      </c>
      <c r="D7">
        <v>2.4000000000000004</v>
      </c>
      <c r="E7">
        <v>49.517684887459808</v>
      </c>
      <c r="F7">
        <v>71.142857142857139</v>
      </c>
      <c r="G7" t="s">
        <v>43</v>
      </c>
      <c r="J7">
        <v>12</v>
      </c>
      <c r="K7">
        <v>7</v>
      </c>
      <c r="L7">
        <v>2.4000000000000004</v>
      </c>
      <c r="M7">
        <v>71.142857142857139</v>
      </c>
      <c r="O7">
        <f t="shared" si="0"/>
        <v>16.800000000000004</v>
      </c>
      <c r="Q7">
        <v>12.7</v>
      </c>
      <c r="R7">
        <v>13.6</v>
      </c>
      <c r="S7">
        <v>0.71</v>
      </c>
      <c r="T7">
        <v>71</v>
      </c>
      <c r="Y7">
        <v>25</v>
      </c>
      <c r="Z7">
        <v>2.4</v>
      </c>
      <c r="AA7">
        <v>7.76</v>
      </c>
      <c r="AB7">
        <v>48.711340206185568</v>
      </c>
      <c r="AE7">
        <v>20</v>
      </c>
      <c r="AF7">
        <v>4</v>
      </c>
      <c r="AG7">
        <v>2.544</v>
      </c>
      <c r="AH7">
        <v>60.141509433962256</v>
      </c>
      <c r="AK7">
        <v>23</v>
      </c>
      <c r="AL7">
        <v>65.024630541871915</v>
      </c>
      <c r="AQ7">
        <v>2.4359999999999999</v>
      </c>
      <c r="AR7">
        <v>65.024630541871915</v>
      </c>
    </row>
    <row r="8" spans="1:47" x14ac:dyDescent="0.2">
      <c r="A8">
        <v>12.7</v>
      </c>
      <c r="C8">
        <v>13.6</v>
      </c>
      <c r="D8">
        <v>0.71</v>
      </c>
      <c r="E8">
        <v>71</v>
      </c>
      <c r="F8">
        <v>40.25</v>
      </c>
      <c r="G8" t="s">
        <v>43</v>
      </c>
      <c r="J8">
        <v>12.7</v>
      </c>
      <c r="K8">
        <v>13.6</v>
      </c>
      <c r="L8">
        <v>0.71</v>
      </c>
      <c r="M8">
        <v>40.25</v>
      </c>
      <c r="O8">
        <f t="shared" si="0"/>
        <v>9.6559999999999988</v>
      </c>
      <c r="Q8">
        <v>13</v>
      </c>
      <c r="R8">
        <v>8</v>
      </c>
      <c r="S8">
        <v>2.2000000000000002</v>
      </c>
      <c r="T8">
        <v>55.300859598853869</v>
      </c>
      <c r="Y8">
        <v>26</v>
      </c>
      <c r="Z8">
        <v>2.7</v>
      </c>
      <c r="AA8">
        <v>5.0844444444444434</v>
      </c>
      <c r="AB8">
        <v>63.111888111888113</v>
      </c>
      <c r="AE8">
        <v>22</v>
      </c>
      <c r="AF8">
        <v>4</v>
      </c>
      <c r="AG8">
        <v>4</v>
      </c>
      <c r="AH8">
        <v>15</v>
      </c>
      <c r="AK8">
        <v>23</v>
      </c>
      <c r="AL8">
        <v>74</v>
      </c>
      <c r="AQ8">
        <v>3.7619999999999996</v>
      </c>
      <c r="AR8">
        <v>74</v>
      </c>
    </row>
    <row r="9" spans="1:47" x14ac:dyDescent="0.2">
      <c r="A9">
        <v>12.9</v>
      </c>
      <c r="B9" t="s">
        <v>43</v>
      </c>
      <c r="C9">
        <v>57.2</v>
      </c>
      <c r="D9">
        <v>0.34447552447552449</v>
      </c>
      <c r="E9" t="s">
        <v>43</v>
      </c>
      <c r="F9">
        <v>3.8367844092570031</v>
      </c>
      <c r="G9" t="s">
        <v>43</v>
      </c>
      <c r="J9">
        <v>12.9</v>
      </c>
      <c r="K9">
        <v>57.2</v>
      </c>
      <c r="L9">
        <v>0.34447552447552449</v>
      </c>
      <c r="M9">
        <v>3.8367844092570031</v>
      </c>
      <c r="O9">
        <f t="shared" si="0"/>
        <v>19.704000000000001</v>
      </c>
      <c r="Q9">
        <v>13.6</v>
      </c>
      <c r="R9">
        <v>7.7</v>
      </c>
      <c r="S9">
        <v>0.85</v>
      </c>
      <c r="T9">
        <v>49</v>
      </c>
      <c r="Y9">
        <v>26</v>
      </c>
      <c r="Z9">
        <v>2.7</v>
      </c>
      <c r="AA9">
        <v>5.0844444444444434</v>
      </c>
      <c r="AB9">
        <v>66.783216783216787</v>
      </c>
      <c r="AE9">
        <v>23</v>
      </c>
      <c r="AF9">
        <v>4</v>
      </c>
      <c r="AG9">
        <v>2.4359999999999999</v>
      </c>
      <c r="AH9">
        <v>65.024630541871915</v>
      </c>
      <c r="AK9">
        <v>25</v>
      </c>
      <c r="AL9">
        <v>53.619302949061662</v>
      </c>
      <c r="AQ9">
        <v>2.238</v>
      </c>
      <c r="AR9">
        <v>53.619302949061662</v>
      </c>
    </row>
    <row r="10" spans="1:47" x14ac:dyDescent="0.2">
      <c r="A10">
        <v>13</v>
      </c>
      <c r="B10" t="s">
        <v>43</v>
      </c>
      <c r="C10">
        <v>4.7</v>
      </c>
      <c r="D10">
        <v>1.5931914893617023</v>
      </c>
      <c r="E10" t="s">
        <v>43</v>
      </c>
      <c r="F10">
        <v>64</v>
      </c>
      <c r="G10" t="s">
        <v>43</v>
      </c>
      <c r="J10">
        <v>13</v>
      </c>
      <c r="K10">
        <v>4.7</v>
      </c>
      <c r="L10">
        <v>1.5931914893617023</v>
      </c>
      <c r="M10">
        <v>64</v>
      </c>
      <c r="O10">
        <f t="shared" si="0"/>
        <v>7.4880000000000013</v>
      </c>
      <c r="Q10">
        <v>13.7</v>
      </c>
      <c r="R10">
        <v>14.5</v>
      </c>
      <c r="S10">
        <v>0.56999999999999995</v>
      </c>
      <c r="T10">
        <v>67</v>
      </c>
      <c r="Y10">
        <v>22.5</v>
      </c>
      <c r="Z10">
        <v>2.8</v>
      </c>
      <c r="AA10">
        <v>4.74</v>
      </c>
      <c r="AB10">
        <v>50</v>
      </c>
      <c r="AE10">
        <v>23</v>
      </c>
      <c r="AF10">
        <v>4</v>
      </c>
      <c r="AG10">
        <v>3.7619999999999996</v>
      </c>
      <c r="AH10">
        <v>74</v>
      </c>
      <c r="AK10">
        <v>25</v>
      </c>
      <c r="AL10">
        <v>66.723549488054616</v>
      </c>
      <c r="AQ10">
        <v>3.516</v>
      </c>
      <c r="AR10">
        <v>66.723549488054616</v>
      </c>
    </row>
    <row r="11" spans="1:47" x14ac:dyDescent="0.2">
      <c r="A11">
        <v>13</v>
      </c>
      <c r="C11">
        <v>8</v>
      </c>
      <c r="D11">
        <v>2.2000000000000002</v>
      </c>
      <c r="E11">
        <v>55.300859598853869</v>
      </c>
      <c r="F11">
        <v>48.113207547169814</v>
      </c>
      <c r="G11" t="s">
        <v>43</v>
      </c>
      <c r="J11">
        <v>13</v>
      </c>
      <c r="K11">
        <v>8</v>
      </c>
      <c r="L11">
        <v>1.032</v>
      </c>
      <c r="M11">
        <v>59</v>
      </c>
      <c r="O11">
        <f t="shared" si="0"/>
        <v>8.2560000000000002</v>
      </c>
      <c r="Q11">
        <v>14.4</v>
      </c>
      <c r="R11">
        <v>9.6999999999999993</v>
      </c>
      <c r="S11">
        <v>0.53</v>
      </c>
      <c r="T11">
        <v>53</v>
      </c>
      <c r="Y11">
        <v>25</v>
      </c>
      <c r="Z11">
        <v>3</v>
      </c>
      <c r="AA11">
        <v>5.9999999999999991</v>
      </c>
      <c r="AB11">
        <v>42.4</v>
      </c>
      <c r="AE11">
        <v>25</v>
      </c>
      <c r="AF11">
        <v>4</v>
      </c>
      <c r="AG11">
        <v>2.238</v>
      </c>
      <c r="AH11">
        <v>53.619302949061662</v>
      </c>
      <c r="AK11">
        <v>25</v>
      </c>
      <c r="AL11">
        <v>68.600682593856661</v>
      </c>
      <c r="AQ11">
        <v>3.516</v>
      </c>
      <c r="AR11">
        <v>68.600682593856661</v>
      </c>
    </row>
    <row r="12" spans="1:47" x14ac:dyDescent="0.2">
      <c r="A12">
        <v>13</v>
      </c>
      <c r="B12">
        <v>7.4999999999999997E-2</v>
      </c>
      <c r="C12">
        <v>8</v>
      </c>
      <c r="D12">
        <v>1.032</v>
      </c>
      <c r="E12" t="s">
        <v>43</v>
      </c>
      <c r="F12">
        <v>59</v>
      </c>
      <c r="G12" t="s">
        <v>43</v>
      </c>
      <c r="J12">
        <v>13</v>
      </c>
      <c r="K12">
        <v>8</v>
      </c>
      <c r="L12">
        <v>2.2000000000000002</v>
      </c>
      <c r="M12">
        <v>48.113207547169814</v>
      </c>
      <c r="O12">
        <f t="shared" si="0"/>
        <v>17.600000000000001</v>
      </c>
      <c r="Q12">
        <v>14.7</v>
      </c>
      <c r="R12">
        <v>12.8</v>
      </c>
      <c r="S12">
        <v>0.27</v>
      </c>
      <c r="T12">
        <v>55</v>
      </c>
      <c r="Y12">
        <v>28.5</v>
      </c>
      <c r="Z12">
        <v>3</v>
      </c>
      <c r="AA12">
        <v>5.8</v>
      </c>
      <c r="AB12">
        <v>58</v>
      </c>
      <c r="AE12">
        <v>25</v>
      </c>
      <c r="AF12">
        <v>4</v>
      </c>
      <c r="AG12">
        <v>3.516</v>
      </c>
      <c r="AH12">
        <v>66.723549488054616</v>
      </c>
      <c r="AK12">
        <v>25</v>
      </c>
      <c r="AL12">
        <v>64.583333333333343</v>
      </c>
      <c r="AQ12">
        <v>4.032</v>
      </c>
      <c r="AR12">
        <v>64.583333333333343</v>
      </c>
    </row>
    <row r="13" spans="1:47" x14ac:dyDescent="0.2">
      <c r="A13">
        <v>13</v>
      </c>
      <c r="C13">
        <v>12.5</v>
      </c>
      <c r="D13">
        <v>0.43</v>
      </c>
      <c r="E13" t="s">
        <v>43</v>
      </c>
      <c r="F13">
        <v>57</v>
      </c>
      <c r="G13" t="s">
        <v>43</v>
      </c>
      <c r="J13">
        <v>13</v>
      </c>
      <c r="K13">
        <v>12.5</v>
      </c>
      <c r="L13">
        <v>0.43</v>
      </c>
      <c r="M13">
        <v>57</v>
      </c>
      <c r="O13">
        <f t="shared" si="0"/>
        <v>5.375</v>
      </c>
      <c r="Q13">
        <v>15.75</v>
      </c>
      <c r="R13">
        <v>6</v>
      </c>
      <c r="S13">
        <v>3.4840000000000004</v>
      </c>
      <c r="T13">
        <v>74.848484848484858</v>
      </c>
      <c r="Y13">
        <v>20</v>
      </c>
      <c r="Z13">
        <v>3.2</v>
      </c>
      <c r="AA13">
        <v>2.6</v>
      </c>
      <c r="AB13">
        <v>19.941348973607038</v>
      </c>
      <c r="AE13">
        <v>25</v>
      </c>
      <c r="AF13">
        <v>4</v>
      </c>
      <c r="AG13">
        <v>3.516</v>
      </c>
      <c r="AH13">
        <v>68.600682593856661</v>
      </c>
      <c r="AK13">
        <v>26</v>
      </c>
      <c r="AL13">
        <v>53</v>
      </c>
      <c r="AQ13">
        <v>1</v>
      </c>
      <c r="AR13">
        <v>53</v>
      </c>
    </row>
    <row r="14" spans="1:47" x14ac:dyDescent="0.2">
      <c r="A14">
        <v>13</v>
      </c>
      <c r="C14">
        <v>15.6</v>
      </c>
      <c r="D14">
        <v>0.33</v>
      </c>
      <c r="E14" t="s">
        <v>43</v>
      </c>
      <c r="F14">
        <v>59</v>
      </c>
      <c r="G14" t="s">
        <v>43</v>
      </c>
      <c r="J14">
        <v>13</v>
      </c>
      <c r="K14">
        <v>15.6</v>
      </c>
      <c r="L14">
        <v>0.33</v>
      </c>
      <c r="M14">
        <v>59</v>
      </c>
      <c r="O14">
        <f t="shared" si="0"/>
        <v>5.1479999999999997</v>
      </c>
      <c r="Q14">
        <v>17</v>
      </c>
      <c r="R14">
        <v>5.5</v>
      </c>
      <c r="S14">
        <v>2.474181818181818</v>
      </c>
      <c r="T14">
        <v>42.214532871972317</v>
      </c>
      <c r="Y14">
        <v>18.5</v>
      </c>
      <c r="Z14">
        <v>3.6</v>
      </c>
      <c r="AA14">
        <v>3.1666666666666665</v>
      </c>
      <c r="AB14">
        <v>65.26315789473685</v>
      </c>
      <c r="AE14">
        <v>25</v>
      </c>
      <c r="AF14">
        <v>4</v>
      </c>
      <c r="AG14">
        <v>4.032</v>
      </c>
      <c r="AH14">
        <v>64.583333333333343</v>
      </c>
      <c r="AK14">
        <v>26</v>
      </c>
      <c r="AL14">
        <v>61</v>
      </c>
      <c r="AQ14">
        <v>1</v>
      </c>
      <c r="AR14">
        <v>61</v>
      </c>
    </row>
    <row r="15" spans="1:47" x14ac:dyDescent="0.2">
      <c r="A15">
        <v>13</v>
      </c>
      <c r="C15">
        <v>21.4</v>
      </c>
      <c r="D15">
        <v>0.25</v>
      </c>
      <c r="E15" t="s">
        <v>43</v>
      </c>
      <c r="F15">
        <v>60</v>
      </c>
      <c r="G15" t="s">
        <v>43</v>
      </c>
      <c r="J15">
        <v>13</v>
      </c>
      <c r="K15">
        <v>21.4</v>
      </c>
      <c r="L15">
        <v>0.25</v>
      </c>
      <c r="M15">
        <v>60</v>
      </c>
      <c r="O15">
        <f t="shared" si="0"/>
        <v>5.35</v>
      </c>
      <c r="Q15">
        <v>17</v>
      </c>
      <c r="R15">
        <v>5.5</v>
      </c>
      <c r="S15">
        <v>2.474181818181818</v>
      </c>
      <c r="T15">
        <v>43.944636678200695</v>
      </c>
      <c r="Y15">
        <v>13</v>
      </c>
      <c r="Z15">
        <v>3.8600000000000003</v>
      </c>
      <c r="AA15">
        <v>0.254</v>
      </c>
      <c r="AB15">
        <v>31.203688524590163</v>
      </c>
      <c r="AE15">
        <v>26</v>
      </c>
      <c r="AF15">
        <v>4</v>
      </c>
      <c r="AG15">
        <v>1</v>
      </c>
      <c r="AH15">
        <v>53</v>
      </c>
      <c r="AK15">
        <v>26</v>
      </c>
      <c r="AL15">
        <v>73</v>
      </c>
      <c r="AQ15">
        <v>1</v>
      </c>
      <c r="AR15">
        <v>73</v>
      </c>
    </row>
    <row r="16" spans="1:47" x14ac:dyDescent="0.2">
      <c r="A16">
        <v>13</v>
      </c>
      <c r="B16" t="s">
        <v>43</v>
      </c>
      <c r="C16">
        <v>60</v>
      </c>
      <c r="D16">
        <v>0.96179999999999999</v>
      </c>
      <c r="E16" t="s">
        <v>43</v>
      </c>
      <c r="F16">
        <v>79.7</v>
      </c>
      <c r="G16" t="s">
        <v>43</v>
      </c>
      <c r="J16">
        <v>13</v>
      </c>
      <c r="K16">
        <v>60</v>
      </c>
      <c r="L16">
        <v>0.96179999999999999</v>
      </c>
      <c r="M16">
        <v>79.7</v>
      </c>
      <c r="O16">
        <f t="shared" si="0"/>
        <v>57.707999999999998</v>
      </c>
      <c r="Q16">
        <v>17</v>
      </c>
      <c r="R16">
        <v>18</v>
      </c>
      <c r="S16">
        <v>1</v>
      </c>
      <c r="T16">
        <v>66.268656716417908</v>
      </c>
      <c r="AE16">
        <v>26</v>
      </c>
      <c r="AF16">
        <v>4</v>
      </c>
      <c r="AG16">
        <v>1</v>
      </c>
      <c r="AH16">
        <v>61</v>
      </c>
      <c r="AK16">
        <v>26</v>
      </c>
      <c r="AL16">
        <v>52.336448598130836</v>
      </c>
      <c r="AQ16">
        <v>1.9259999999999997</v>
      </c>
      <c r="AR16">
        <v>52.336448598130836</v>
      </c>
    </row>
    <row r="17" spans="1:46" x14ac:dyDescent="0.2">
      <c r="A17">
        <v>13.6</v>
      </c>
      <c r="C17">
        <v>7.7</v>
      </c>
      <c r="D17">
        <v>0.85</v>
      </c>
      <c r="E17">
        <v>49</v>
      </c>
      <c r="F17">
        <v>26.642335766423358</v>
      </c>
      <c r="G17" t="s">
        <v>43</v>
      </c>
      <c r="J17">
        <v>13.6</v>
      </c>
      <c r="K17">
        <v>7.7</v>
      </c>
      <c r="L17">
        <v>0.85</v>
      </c>
      <c r="M17">
        <v>26.642335766423358</v>
      </c>
      <c r="O17">
        <f t="shared" si="0"/>
        <v>6.5449999999999999</v>
      </c>
      <c r="Q17">
        <v>17</v>
      </c>
      <c r="R17">
        <v>48</v>
      </c>
      <c r="S17">
        <v>0.45</v>
      </c>
      <c r="T17">
        <v>74</v>
      </c>
      <c r="AE17">
        <v>26</v>
      </c>
      <c r="AF17">
        <v>4</v>
      </c>
      <c r="AG17">
        <v>1</v>
      </c>
      <c r="AH17">
        <v>73</v>
      </c>
      <c r="AK17">
        <v>27</v>
      </c>
      <c r="AL17">
        <v>45.97402597402597</v>
      </c>
      <c r="AQ17">
        <v>4.62</v>
      </c>
      <c r="AR17">
        <v>45.97402597402597</v>
      </c>
    </row>
    <row r="18" spans="1:46" x14ac:dyDescent="0.2">
      <c r="A18">
        <v>13.7</v>
      </c>
      <c r="C18">
        <v>14.5</v>
      </c>
      <c r="D18">
        <v>0.56999999999999995</v>
      </c>
      <c r="E18">
        <v>67</v>
      </c>
      <c r="F18">
        <v>44.508670520231213</v>
      </c>
      <c r="G18" t="s">
        <v>43</v>
      </c>
      <c r="J18">
        <v>13.7</v>
      </c>
      <c r="K18">
        <v>14.5</v>
      </c>
      <c r="L18">
        <v>0.56999999999999995</v>
      </c>
      <c r="M18">
        <v>44.508670520231213</v>
      </c>
      <c r="O18">
        <f t="shared" si="0"/>
        <v>8.2649999999999988</v>
      </c>
      <c r="Q18">
        <v>17</v>
      </c>
      <c r="R18">
        <v>96</v>
      </c>
      <c r="S18">
        <v>0.23</v>
      </c>
      <c r="T18">
        <v>78</v>
      </c>
      <c r="AE18">
        <v>26</v>
      </c>
      <c r="AF18">
        <v>4</v>
      </c>
      <c r="AG18">
        <v>1.9259999999999997</v>
      </c>
      <c r="AH18">
        <v>52.336448598130836</v>
      </c>
      <c r="AK18">
        <v>30</v>
      </c>
      <c r="AL18">
        <v>67</v>
      </c>
      <c r="AQ18">
        <v>1.1000000000000001</v>
      </c>
      <c r="AR18">
        <v>67</v>
      </c>
    </row>
    <row r="19" spans="1:46" x14ac:dyDescent="0.2">
      <c r="A19">
        <v>13.8</v>
      </c>
      <c r="B19" t="s">
        <v>43</v>
      </c>
      <c r="C19">
        <v>44.3</v>
      </c>
      <c r="D19">
        <v>0.52875846501128676</v>
      </c>
      <c r="E19" t="s">
        <v>43</v>
      </c>
      <c r="F19">
        <v>31.290983606557376</v>
      </c>
      <c r="G19" t="s">
        <v>43</v>
      </c>
      <c r="J19">
        <v>13.8</v>
      </c>
      <c r="K19">
        <v>44.3</v>
      </c>
      <c r="L19">
        <v>0.52875846501128676</v>
      </c>
      <c r="M19">
        <v>31.290983606557376</v>
      </c>
      <c r="O19">
        <f t="shared" si="0"/>
        <v>23.424000000000003</v>
      </c>
      <c r="Q19">
        <v>18</v>
      </c>
      <c r="R19">
        <v>4.4000000000000004</v>
      </c>
      <c r="S19">
        <v>1.5545454545454545</v>
      </c>
      <c r="T19">
        <v>55.508474576271183</v>
      </c>
      <c r="AE19">
        <v>27</v>
      </c>
      <c r="AF19">
        <v>4</v>
      </c>
      <c r="AG19">
        <v>4.62</v>
      </c>
      <c r="AH19">
        <v>45.97402597402597</v>
      </c>
      <c r="AK19">
        <v>30</v>
      </c>
      <c r="AL19">
        <v>83.5</v>
      </c>
      <c r="AQ19">
        <v>1.1000000000000001</v>
      </c>
      <c r="AR19">
        <v>83.5</v>
      </c>
    </row>
    <row r="20" spans="1:46" x14ac:dyDescent="0.2">
      <c r="A20">
        <v>14.4</v>
      </c>
      <c r="C20">
        <v>9.6999999999999993</v>
      </c>
      <c r="D20">
        <v>0.53</v>
      </c>
      <c r="E20">
        <v>53</v>
      </c>
      <c r="F20">
        <v>39.814814814814817</v>
      </c>
      <c r="G20" t="s">
        <v>43</v>
      </c>
      <c r="J20">
        <v>14.4</v>
      </c>
      <c r="K20">
        <v>9.6999999999999993</v>
      </c>
      <c r="L20">
        <v>0.53</v>
      </c>
      <c r="M20">
        <v>39.814814814814817</v>
      </c>
      <c r="O20">
        <f t="shared" si="0"/>
        <v>5.141</v>
      </c>
      <c r="Q20">
        <v>18</v>
      </c>
      <c r="R20">
        <v>11</v>
      </c>
      <c r="S20">
        <v>0.87927272727272721</v>
      </c>
      <c r="T20">
        <v>75.27472527472527</v>
      </c>
      <c r="AE20">
        <v>30</v>
      </c>
      <c r="AF20">
        <v>4</v>
      </c>
      <c r="AG20">
        <v>1.1000000000000001</v>
      </c>
      <c r="AH20">
        <v>67</v>
      </c>
      <c r="AK20">
        <v>35</v>
      </c>
      <c r="AL20">
        <v>65.102639296187675</v>
      </c>
      <c r="AQ20">
        <v>2.0460000000000003</v>
      </c>
      <c r="AR20">
        <v>65.102639296187675</v>
      </c>
    </row>
    <row r="21" spans="1:46" x14ac:dyDescent="0.2">
      <c r="A21">
        <v>14.7</v>
      </c>
      <c r="C21">
        <v>12.8</v>
      </c>
      <c r="D21">
        <v>0.27</v>
      </c>
      <c r="E21">
        <v>55</v>
      </c>
      <c r="F21">
        <v>39.726027397260275</v>
      </c>
      <c r="G21" t="s">
        <v>43</v>
      </c>
      <c r="J21">
        <v>14.7</v>
      </c>
      <c r="K21">
        <v>12.8</v>
      </c>
      <c r="L21">
        <v>0.27</v>
      </c>
      <c r="M21">
        <v>39.726027397260275</v>
      </c>
      <c r="O21">
        <f t="shared" si="0"/>
        <v>3.4560000000000004</v>
      </c>
      <c r="Q21">
        <v>18</v>
      </c>
      <c r="R21">
        <v>25</v>
      </c>
      <c r="S21" t="s">
        <v>356</v>
      </c>
      <c r="T21">
        <v>55</v>
      </c>
      <c r="AE21">
        <v>30</v>
      </c>
      <c r="AF21">
        <v>4</v>
      </c>
      <c r="AG21">
        <v>1.1000000000000001</v>
      </c>
      <c r="AH21">
        <v>83.5</v>
      </c>
      <c r="AK21">
        <v>7.1</v>
      </c>
      <c r="AN21">
        <v>33.14037626628074</v>
      </c>
      <c r="AQ21">
        <v>0.41459999999999997</v>
      </c>
      <c r="AT21">
        <v>33.14037626628074</v>
      </c>
    </row>
    <row r="22" spans="1:46" x14ac:dyDescent="0.2">
      <c r="A22">
        <v>15</v>
      </c>
      <c r="B22" t="s">
        <v>43</v>
      </c>
      <c r="C22">
        <v>6</v>
      </c>
      <c r="D22">
        <v>2.8839999999999999</v>
      </c>
      <c r="E22" t="s">
        <v>43</v>
      </c>
      <c r="F22">
        <v>45.908460471567267</v>
      </c>
      <c r="G22" t="s">
        <v>43</v>
      </c>
      <c r="J22">
        <v>15</v>
      </c>
      <c r="K22">
        <v>6</v>
      </c>
      <c r="L22">
        <v>2.8839999999999999</v>
      </c>
      <c r="M22">
        <v>45.908460471567267</v>
      </c>
      <c r="O22">
        <f t="shared" si="0"/>
        <v>17.303999999999998</v>
      </c>
      <c r="Q22">
        <v>18.5</v>
      </c>
      <c r="R22">
        <v>3.6</v>
      </c>
      <c r="S22">
        <v>3.1666666666666665</v>
      </c>
      <c r="T22">
        <v>76.31578947368422</v>
      </c>
      <c r="AE22">
        <v>35</v>
      </c>
      <c r="AF22">
        <v>4</v>
      </c>
      <c r="AG22">
        <v>2.0460000000000003</v>
      </c>
      <c r="AH22">
        <v>65.102639296187675</v>
      </c>
      <c r="AK22">
        <v>10.3</v>
      </c>
      <c r="AN22">
        <v>35.311143270622274</v>
      </c>
      <c r="AQ22">
        <v>0.41459999999999997</v>
      </c>
      <c r="AT22">
        <v>35.311143270622274</v>
      </c>
    </row>
    <row r="23" spans="1:46" x14ac:dyDescent="0.2">
      <c r="A23">
        <v>15</v>
      </c>
      <c r="B23" t="s">
        <v>307</v>
      </c>
      <c r="C23">
        <v>7.68</v>
      </c>
      <c r="D23">
        <v>1.51</v>
      </c>
      <c r="E23" t="s">
        <v>43</v>
      </c>
      <c r="F23">
        <v>68.099999999999994</v>
      </c>
      <c r="G23" t="s">
        <v>43</v>
      </c>
      <c r="J23">
        <v>15</v>
      </c>
      <c r="K23">
        <v>7.68</v>
      </c>
      <c r="L23">
        <v>1.2</v>
      </c>
      <c r="M23">
        <v>79.3</v>
      </c>
      <c r="O23">
        <f t="shared" si="0"/>
        <v>9.2159999999999993</v>
      </c>
      <c r="Q23">
        <v>19</v>
      </c>
      <c r="R23">
        <v>6</v>
      </c>
      <c r="S23">
        <v>3.3</v>
      </c>
      <c r="T23">
        <v>41.982507288629741</v>
      </c>
      <c r="AK23">
        <v>13</v>
      </c>
      <c r="AN23">
        <v>59</v>
      </c>
      <c r="AQ23">
        <v>1.032</v>
      </c>
      <c r="AT23">
        <v>59</v>
      </c>
    </row>
    <row r="24" spans="1:46" x14ac:dyDescent="0.2">
      <c r="A24">
        <v>15</v>
      </c>
      <c r="B24" t="s">
        <v>307</v>
      </c>
      <c r="C24">
        <v>7.68</v>
      </c>
      <c r="D24">
        <v>1.6</v>
      </c>
      <c r="E24" t="s">
        <v>43</v>
      </c>
      <c r="F24">
        <v>68.5</v>
      </c>
      <c r="G24" t="s">
        <v>43</v>
      </c>
      <c r="J24">
        <v>15</v>
      </c>
      <c r="K24">
        <v>7.68</v>
      </c>
      <c r="L24">
        <v>1.51</v>
      </c>
      <c r="M24">
        <v>68.099999999999994</v>
      </c>
      <c r="O24">
        <f t="shared" si="0"/>
        <v>11.5968</v>
      </c>
      <c r="Q24">
        <v>19</v>
      </c>
      <c r="R24">
        <v>12</v>
      </c>
      <c r="S24">
        <v>0.48599999999999999</v>
      </c>
      <c r="T24">
        <v>67</v>
      </c>
      <c r="AK24">
        <v>13</v>
      </c>
      <c r="AN24">
        <v>48.113207547169814</v>
      </c>
      <c r="AQ24">
        <v>2.2000000000000002</v>
      </c>
      <c r="AT24">
        <v>48.113207547169814</v>
      </c>
    </row>
    <row r="25" spans="1:46" x14ac:dyDescent="0.2">
      <c r="A25">
        <v>15</v>
      </c>
      <c r="B25" t="s">
        <v>307</v>
      </c>
      <c r="C25">
        <v>7.68</v>
      </c>
      <c r="D25">
        <v>1.2</v>
      </c>
      <c r="E25" t="s">
        <v>43</v>
      </c>
      <c r="F25">
        <v>79.3</v>
      </c>
      <c r="G25" t="s">
        <v>43</v>
      </c>
      <c r="J25">
        <v>15</v>
      </c>
      <c r="K25">
        <v>7.68</v>
      </c>
      <c r="L25">
        <v>1.6</v>
      </c>
      <c r="M25">
        <v>68.5</v>
      </c>
      <c r="O25">
        <f t="shared" si="0"/>
        <v>12.288</v>
      </c>
      <c r="Q25">
        <v>19.149999999999999</v>
      </c>
      <c r="R25">
        <v>8</v>
      </c>
      <c r="S25">
        <v>1.026</v>
      </c>
      <c r="T25">
        <v>66</v>
      </c>
      <c r="AE25">
        <v>7.1</v>
      </c>
      <c r="AF25">
        <v>8</v>
      </c>
      <c r="AG25">
        <v>0.41459999999999997</v>
      </c>
      <c r="AH25">
        <v>33.14037626628074</v>
      </c>
      <c r="AK25">
        <v>15</v>
      </c>
      <c r="AN25">
        <v>70</v>
      </c>
      <c r="AQ25">
        <v>0.9</v>
      </c>
      <c r="AT25">
        <v>70</v>
      </c>
    </row>
    <row r="26" spans="1:46" x14ac:dyDescent="0.2">
      <c r="A26">
        <v>15</v>
      </c>
      <c r="B26">
        <v>0.5</v>
      </c>
      <c r="C26">
        <v>8</v>
      </c>
      <c r="D26">
        <v>1.4760000000000002</v>
      </c>
      <c r="E26" t="s">
        <v>43</v>
      </c>
      <c r="F26">
        <v>61</v>
      </c>
      <c r="G26" t="s">
        <v>43</v>
      </c>
      <c r="J26">
        <v>15</v>
      </c>
      <c r="K26">
        <v>8</v>
      </c>
      <c r="L26">
        <v>0.9</v>
      </c>
      <c r="M26">
        <v>70</v>
      </c>
      <c r="O26">
        <f t="shared" si="0"/>
        <v>7.2</v>
      </c>
      <c r="Q26">
        <v>19.5</v>
      </c>
      <c r="R26">
        <v>7</v>
      </c>
      <c r="S26">
        <v>1.3782857142857143</v>
      </c>
      <c r="T26">
        <v>87</v>
      </c>
      <c r="AE26">
        <v>10.3</v>
      </c>
      <c r="AF26">
        <v>8</v>
      </c>
      <c r="AG26">
        <v>0.41459999999999997</v>
      </c>
      <c r="AH26">
        <v>35.311143270622274</v>
      </c>
      <c r="AK26">
        <v>15</v>
      </c>
      <c r="AN26">
        <v>61</v>
      </c>
      <c r="AQ26">
        <v>1.4760000000000002</v>
      </c>
      <c r="AT26">
        <v>61</v>
      </c>
    </row>
    <row r="27" spans="1:46" x14ac:dyDescent="0.2">
      <c r="A27">
        <v>15</v>
      </c>
      <c r="B27" t="s">
        <v>43</v>
      </c>
      <c r="C27">
        <v>8</v>
      </c>
      <c r="D27">
        <v>0.9</v>
      </c>
      <c r="E27" t="s">
        <v>43</v>
      </c>
      <c r="F27">
        <v>70</v>
      </c>
      <c r="G27" t="s">
        <v>43</v>
      </c>
      <c r="J27">
        <v>15</v>
      </c>
      <c r="K27">
        <v>8</v>
      </c>
      <c r="L27">
        <v>1.4760000000000002</v>
      </c>
      <c r="M27">
        <v>61</v>
      </c>
      <c r="O27">
        <f t="shared" si="0"/>
        <v>11.808000000000002</v>
      </c>
      <c r="Q27">
        <v>19.5</v>
      </c>
      <c r="R27">
        <v>9.6999999999999993</v>
      </c>
      <c r="S27">
        <v>0.99463917525773216</v>
      </c>
      <c r="T27">
        <v>68</v>
      </c>
      <c r="AE27">
        <v>13</v>
      </c>
      <c r="AF27">
        <v>8</v>
      </c>
      <c r="AG27">
        <v>1.032</v>
      </c>
      <c r="AH27">
        <v>59</v>
      </c>
      <c r="AK27">
        <v>19</v>
      </c>
      <c r="AN27">
        <v>65</v>
      </c>
      <c r="AQ27">
        <v>1.911</v>
      </c>
      <c r="AT27">
        <v>65</v>
      </c>
    </row>
    <row r="28" spans="1:46" x14ac:dyDescent="0.2">
      <c r="A28">
        <v>15</v>
      </c>
      <c r="B28" t="s">
        <v>307</v>
      </c>
      <c r="C28">
        <v>10.32</v>
      </c>
      <c r="D28">
        <v>0.79</v>
      </c>
      <c r="E28" t="s">
        <v>43</v>
      </c>
      <c r="F28">
        <v>70.3</v>
      </c>
      <c r="G28" t="s">
        <v>43</v>
      </c>
      <c r="J28">
        <v>15</v>
      </c>
      <c r="K28">
        <v>10.32</v>
      </c>
      <c r="L28">
        <v>0.79</v>
      </c>
      <c r="M28">
        <v>70.3</v>
      </c>
      <c r="O28">
        <f t="shared" si="0"/>
        <v>8.1528000000000009</v>
      </c>
      <c r="Q28">
        <v>20</v>
      </c>
      <c r="R28">
        <v>3.2</v>
      </c>
      <c r="S28">
        <v>2.6</v>
      </c>
      <c r="T28">
        <v>34</v>
      </c>
      <c r="AE28">
        <v>13</v>
      </c>
      <c r="AF28">
        <v>8</v>
      </c>
      <c r="AG28">
        <v>2.2000000000000002</v>
      </c>
      <c r="AH28">
        <v>48.113207547169814</v>
      </c>
      <c r="AK28">
        <v>19.149999999999999</v>
      </c>
      <c r="AN28">
        <v>66</v>
      </c>
      <c r="AQ28">
        <v>1.026</v>
      </c>
      <c r="AT28">
        <v>66</v>
      </c>
    </row>
    <row r="29" spans="1:46" x14ac:dyDescent="0.2">
      <c r="A29">
        <v>15</v>
      </c>
      <c r="B29" t="s">
        <v>307</v>
      </c>
      <c r="C29">
        <v>12</v>
      </c>
      <c r="D29">
        <v>0.82</v>
      </c>
      <c r="E29" t="s">
        <v>43</v>
      </c>
      <c r="F29">
        <v>53.2</v>
      </c>
      <c r="G29" t="s">
        <v>43</v>
      </c>
      <c r="J29">
        <v>15</v>
      </c>
      <c r="K29">
        <v>12</v>
      </c>
      <c r="L29">
        <v>0.82</v>
      </c>
      <c r="M29">
        <v>53.2</v>
      </c>
      <c r="O29">
        <f t="shared" si="0"/>
        <v>9.84</v>
      </c>
      <c r="Q29">
        <v>20</v>
      </c>
      <c r="R29">
        <v>4</v>
      </c>
      <c r="S29">
        <v>2.544</v>
      </c>
      <c r="T29">
        <v>69.148936170212778</v>
      </c>
      <c r="AE29">
        <v>15</v>
      </c>
      <c r="AF29">
        <v>8</v>
      </c>
      <c r="AG29">
        <v>0.9</v>
      </c>
      <c r="AH29">
        <v>70</v>
      </c>
      <c r="AK29">
        <v>20</v>
      </c>
      <c r="AN29">
        <v>70</v>
      </c>
      <c r="AQ29">
        <v>0.75</v>
      </c>
      <c r="AT29">
        <v>70</v>
      </c>
    </row>
    <row r="30" spans="1:46" x14ac:dyDescent="0.2">
      <c r="A30">
        <v>15</v>
      </c>
      <c r="B30" t="s">
        <v>307</v>
      </c>
      <c r="C30">
        <v>13.919999999999998</v>
      </c>
      <c r="D30">
        <v>0.45</v>
      </c>
      <c r="E30" t="s">
        <v>43</v>
      </c>
      <c r="F30">
        <v>63.7</v>
      </c>
      <c r="G30" t="s">
        <v>43</v>
      </c>
      <c r="J30">
        <v>15</v>
      </c>
      <c r="K30">
        <v>13.919999999999998</v>
      </c>
      <c r="L30">
        <v>0.45</v>
      </c>
      <c r="M30">
        <v>63.7</v>
      </c>
      <c r="O30">
        <f t="shared" si="0"/>
        <v>6.2639999999999993</v>
      </c>
      <c r="Q30">
        <v>20</v>
      </c>
      <c r="R30">
        <v>9.1</v>
      </c>
      <c r="S30">
        <v>0.92</v>
      </c>
      <c r="T30">
        <v>78</v>
      </c>
      <c r="AE30">
        <v>15</v>
      </c>
      <c r="AF30">
        <v>8</v>
      </c>
      <c r="AG30">
        <v>1.4760000000000002</v>
      </c>
      <c r="AH30">
        <v>61</v>
      </c>
      <c r="AK30">
        <v>20</v>
      </c>
      <c r="AN30">
        <v>70</v>
      </c>
      <c r="AQ30">
        <v>0.8</v>
      </c>
      <c r="AT30">
        <v>70</v>
      </c>
    </row>
    <row r="31" spans="1:46" x14ac:dyDescent="0.2">
      <c r="A31">
        <v>15</v>
      </c>
      <c r="B31" t="s">
        <v>307</v>
      </c>
      <c r="C31">
        <v>19.919999999999998</v>
      </c>
      <c r="D31">
        <v>0.38</v>
      </c>
      <c r="E31" t="s">
        <v>43</v>
      </c>
      <c r="F31">
        <v>68.8</v>
      </c>
      <c r="G31" t="s">
        <v>43</v>
      </c>
      <c r="J31">
        <v>15</v>
      </c>
      <c r="K31">
        <v>19.919999999999998</v>
      </c>
      <c r="L31">
        <v>0.38</v>
      </c>
      <c r="M31">
        <v>68.8</v>
      </c>
      <c r="O31">
        <f t="shared" si="0"/>
        <v>7.5695999999999994</v>
      </c>
      <c r="Q31">
        <v>20</v>
      </c>
      <c r="R31">
        <v>9.5</v>
      </c>
      <c r="S31">
        <v>0.92</v>
      </c>
      <c r="T31">
        <v>74</v>
      </c>
      <c r="AE31">
        <v>19</v>
      </c>
      <c r="AF31">
        <v>8</v>
      </c>
      <c r="AG31">
        <v>1.911</v>
      </c>
      <c r="AH31">
        <v>65</v>
      </c>
      <c r="AK31">
        <v>20</v>
      </c>
      <c r="AN31">
        <v>70</v>
      </c>
      <c r="AQ31">
        <v>0.8</v>
      </c>
      <c r="AT31">
        <v>70</v>
      </c>
    </row>
    <row r="32" spans="1:46" x14ac:dyDescent="0.2">
      <c r="A32">
        <v>15</v>
      </c>
      <c r="B32" t="s">
        <v>307</v>
      </c>
      <c r="C32">
        <v>24</v>
      </c>
      <c r="D32">
        <v>0.41</v>
      </c>
      <c r="E32" t="s">
        <v>43</v>
      </c>
      <c r="F32">
        <v>82.5</v>
      </c>
      <c r="G32" t="s">
        <v>43</v>
      </c>
      <c r="J32">
        <v>15</v>
      </c>
      <c r="K32">
        <v>24</v>
      </c>
      <c r="L32">
        <v>0.41</v>
      </c>
      <c r="M32">
        <v>82.5</v>
      </c>
      <c r="O32">
        <f t="shared" si="0"/>
        <v>9.84</v>
      </c>
      <c r="Q32">
        <v>20</v>
      </c>
      <c r="R32">
        <v>9.6</v>
      </c>
      <c r="S32">
        <v>1.1100000000000001</v>
      </c>
      <c r="T32">
        <v>71</v>
      </c>
      <c r="Y32">
        <v>18</v>
      </c>
      <c r="Z32">
        <v>4.4000000000000004</v>
      </c>
      <c r="AA32">
        <v>1.5545454545454545</v>
      </c>
      <c r="AB32">
        <v>33.684210526315788</v>
      </c>
      <c r="AE32">
        <v>19.149999999999999</v>
      </c>
      <c r="AF32">
        <v>8</v>
      </c>
      <c r="AG32">
        <v>1.026</v>
      </c>
      <c r="AH32">
        <v>66</v>
      </c>
      <c r="AK32">
        <v>20</v>
      </c>
      <c r="AN32">
        <v>70</v>
      </c>
      <c r="AQ32">
        <v>0.8</v>
      </c>
      <c r="AT32">
        <v>70</v>
      </c>
    </row>
    <row r="33" spans="1:46" x14ac:dyDescent="0.2">
      <c r="A33">
        <v>15</v>
      </c>
      <c r="C33">
        <v>24</v>
      </c>
      <c r="D33">
        <v>1.38</v>
      </c>
      <c r="E33" t="s">
        <v>43</v>
      </c>
      <c r="F33">
        <v>26</v>
      </c>
      <c r="G33" t="s">
        <v>43</v>
      </c>
      <c r="J33">
        <v>15</v>
      </c>
      <c r="K33">
        <v>24</v>
      </c>
      <c r="L33">
        <v>1.38</v>
      </c>
      <c r="M33">
        <v>26</v>
      </c>
      <c r="O33">
        <f t="shared" si="0"/>
        <v>33.119999999999997</v>
      </c>
      <c r="Q33">
        <v>20</v>
      </c>
      <c r="R33">
        <v>10.4</v>
      </c>
      <c r="S33">
        <v>0.9</v>
      </c>
      <c r="T33">
        <v>9</v>
      </c>
      <c r="Y33">
        <v>22.5</v>
      </c>
      <c r="Z33">
        <v>4.4000000000000004</v>
      </c>
      <c r="AA33">
        <v>3.0163636363636361</v>
      </c>
      <c r="AB33">
        <v>47</v>
      </c>
      <c r="AE33">
        <v>20</v>
      </c>
      <c r="AF33">
        <v>8</v>
      </c>
      <c r="AG33">
        <v>0.75</v>
      </c>
      <c r="AH33">
        <v>70</v>
      </c>
      <c r="AK33">
        <v>25</v>
      </c>
      <c r="AN33">
        <v>72</v>
      </c>
      <c r="AQ33">
        <v>0.6</v>
      </c>
      <c r="AT33">
        <v>72</v>
      </c>
    </row>
    <row r="34" spans="1:46" x14ac:dyDescent="0.2">
      <c r="A34">
        <v>15</v>
      </c>
      <c r="B34" t="s">
        <v>307</v>
      </c>
      <c r="C34">
        <v>42</v>
      </c>
      <c r="D34">
        <v>0.15</v>
      </c>
      <c r="E34" t="s">
        <v>43</v>
      </c>
      <c r="F34">
        <v>50.1</v>
      </c>
      <c r="G34" t="s">
        <v>43</v>
      </c>
      <c r="J34">
        <v>15</v>
      </c>
      <c r="K34">
        <v>42</v>
      </c>
      <c r="L34">
        <v>0.15</v>
      </c>
      <c r="M34">
        <v>50.1</v>
      </c>
      <c r="O34">
        <f t="shared" si="0"/>
        <v>6.3</v>
      </c>
      <c r="Q34">
        <v>20</v>
      </c>
      <c r="R34">
        <v>12.3</v>
      </c>
      <c r="S34">
        <v>0.43</v>
      </c>
      <c r="T34">
        <v>61</v>
      </c>
      <c r="Y34">
        <v>13</v>
      </c>
      <c r="Z34">
        <v>4.7</v>
      </c>
      <c r="AA34">
        <v>1.5931914893617023</v>
      </c>
      <c r="AB34">
        <v>64</v>
      </c>
      <c r="AE34">
        <v>20</v>
      </c>
      <c r="AF34">
        <v>8</v>
      </c>
      <c r="AG34">
        <v>0.8</v>
      </c>
      <c r="AH34">
        <v>70</v>
      </c>
      <c r="AK34">
        <v>25.5</v>
      </c>
      <c r="AN34">
        <v>65.938864628820966</v>
      </c>
      <c r="AQ34">
        <v>2</v>
      </c>
      <c r="AT34">
        <v>65.938864628820966</v>
      </c>
    </row>
    <row r="35" spans="1:46" x14ac:dyDescent="0.2">
      <c r="A35">
        <v>15</v>
      </c>
      <c r="B35" t="s">
        <v>307</v>
      </c>
      <c r="C35">
        <v>42</v>
      </c>
      <c r="D35">
        <v>0.36</v>
      </c>
      <c r="E35" t="s">
        <v>43</v>
      </c>
      <c r="F35">
        <v>82.5</v>
      </c>
      <c r="G35" t="s">
        <v>43</v>
      </c>
      <c r="J35">
        <v>15</v>
      </c>
      <c r="K35">
        <v>42</v>
      </c>
      <c r="L35">
        <v>0.36</v>
      </c>
      <c r="M35">
        <v>82.5</v>
      </c>
      <c r="O35">
        <f t="shared" si="0"/>
        <v>15.12</v>
      </c>
      <c r="Q35">
        <v>20</v>
      </c>
      <c r="T35">
        <v>58</v>
      </c>
      <c r="Y35">
        <v>16</v>
      </c>
      <c r="Z35">
        <v>4.7</v>
      </c>
      <c r="AA35">
        <v>1.5931914893617023</v>
      </c>
      <c r="AB35">
        <v>71</v>
      </c>
      <c r="AE35">
        <v>20</v>
      </c>
      <c r="AF35">
        <v>8</v>
      </c>
      <c r="AG35">
        <v>0.8</v>
      </c>
      <c r="AH35">
        <v>70</v>
      </c>
      <c r="AK35">
        <v>26</v>
      </c>
      <c r="AN35">
        <v>61</v>
      </c>
      <c r="AQ35">
        <v>0.63</v>
      </c>
      <c r="AT35">
        <v>61</v>
      </c>
    </row>
    <row r="36" spans="1:46" x14ac:dyDescent="0.2">
      <c r="A36">
        <v>15</v>
      </c>
      <c r="B36" t="s">
        <v>307</v>
      </c>
      <c r="C36">
        <v>84</v>
      </c>
      <c r="D36">
        <v>7.0000000000000007E-2</v>
      </c>
      <c r="E36" t="s">
        <v>43</v>
      </c>
      <c r="F36">
        <v>45.9</v>
      </c>
      <c r="G36" t="s">
        <v>43</v>
      </c>
      <c r="J36">
        <v>15</v>
      </c>
      <c r="K36">
        <v>84</v>
      </c>
      <c r="L36">
        <v>7.0000000000000007E-2</v>
      </c>
      <c r="M36">
        <v>45.9</v>
      </c>
      <c r="O36">
        <f t="shared" si="0"/>
        <v>5.8800000000000008</v>
      </c>
      <c r="Q36">
        <v>20.5</v>
      </c>
      <c r="R36">
        <v>10.199999999999999</v>
      </c>
      <c r="S36">
        <v>1.331764705882353</v>
      </c>
      <c r="T36">
        <v>53.284671532846716</v>
      </c>
      <c r="Y36">
        <v>19</v>
      </c>
      <c r="Z36">
        <v>4.7</v>
      </c>
      <c r="AA36">
        <v>1.5931914893617023</v>
      </c>
      <c r="AB36">
        <v>72</v>
      </c>
      <c r="AE36">
        <v>20</v>
      </c>
      <c r="AF36">
        <v>8</v>
      </c>
      <c r="AG36">
        <v>0.8</v>
      </c>
      <c r="AH36">
        <v>70</v>
      </c>
      <c r="AK36">
        <v>26</v>
      </c>
      <c r="AN36">
        <v>65</v>
      </c>
      <c r="AQ36">
        <v>0.63</v>
      </c>
      <c r="AT36">
        <v>65</v>
      </c>
    </row>
    <row r="37" spans="1:46" x14ac:dyDescent="0.2">
      <c r="A37">
        <v>15.5</v>
      </c>
      <c r="C37">
        <v>103.19999999999999</v>
      </c>
      <c r="D37">
        <v>0.43</v>
      </c>
      <c r="E37" t="s">
        <v>43</v>
      </c>
      <c r="F37">
        <v>33</v>
      </c>
      <c r="G37" t="s">
        <v>43</v>
      </c>
      <c r="J37">
        <v>15.5</v>
      </c>
      <c r="K37">
        <v>103.19999999999999</v>
      </c>
      <c r="L37">
        <v>0.43</v>
      </c>
      <c r="M37">
        <v>33</v>
      </c>
      <c r="O37">
        <f t="shared" si="0"/>
        <v>44.375999999999998</v>
      </c>
      <c r="Q37">
        <v>20.5</v>
      </c>
      <c r="R37">
        <v>10.9</v>
      </c>
      <c r="S37">
        <v>1.664587155963303</v>
      </c>
      <c r="T37">
        <v>59.556786703601105</v>
      </c>
      <c r="Y37">
        <v>22</v>
      </c>
      <c r="Z37">
        <v>4.7</v>
      </c>
      <c r="AA37">
        <v>1.5931914893617023</v>
      </c>
      <c r="AB37">
        <v>70</v>
      </c>
      <c r="AE37">
        <v>25</v>
      </c>
      <c r="AF37">
        <v>8</v>
      </c>
      <c r="AG37">
        <v>0.6</v>
      </c>
      <c r="AH37">
        <v>72</v>
      </c>
      <c r="AK37">
        <v>26</v>
      </c>
      <c r="AN37">
        <v>81</v>
      </c>
      <c r="AQ37">
        <v>0.63</v>
      </c>
      <c r="AT37">
        <v>81</v>
      </c>
    </row>
    <row r="38" spans="1:46" x14ac:dyDescent="0.2">
      <c r="A38">
        <v>15.75</v>
      </c>
      <c r="B38" t="s">
        <v>43</v>
      </c>
      <c r="C38">
        <v>6</v>
      </c>
      <c r="D38">
        <v>3.4840000000000004</v>
      </c>
      <c r="E38">
        <v>74.848484848484858</v>
      </c>
      <c r="F38">
        <v>70.493685419058551</v>
      </c>
      <c r="G38" t="s">
        <v>43</v>
      </c>
      <c r="J38">
        <v>15.75</v>
      </c>
      <c r="K38">
        <v>6</v>
      </c>
      <c r="L38">
        <v>3.4840000000000004</v>
      </c>
      <c r="M38">
        <v>70.493685419058551</v>
      </c>
      <c r="O38">
        <f t="shared" si="0"/>
        <v>20.904000000000003</v>
      </c>
      <c r="Q38">
        <v>20.5</v>
      </c>
      <c r="R38">
        <v>14.3</v>
      </c>
      <c r="S38">
        <v>1.1563636363636363</v>
      </c>
      <c r="T38">
        <v>39.83050847457627</v>
      </c>
      <c r="Y38">
        <v>25</v>
      </c>
      <c r="Z38">
        <v>4.7</v>
      </c>
      <c r="AA38">
        <v>1.5931914893617023</v>
      </c>
      <c r="AB38">
        <v>70</v>
      </c>
      <c r="AE38">
        <v>25.5</v>
      </c>
      <c r="AF38">
        <v>8</v>
      </c>
      <c r="AG38">
        <v>2</v>
      </c>
      <c r="AH38">
        <v>65.938864628820966</v>
      </c>
      <c r="AK38">
        <v>28</v>
      </c>
      <c r="AN38">
        <v>72</v>
      </c>
      <c r="AQ38">
        <v>0.65</v>
      </c>
      <c r="AT38">
        <v>72</v>
      </c>
    </row>
    <row r="39" spans="1:46" x14ac:dyDescent="0.2">
      <c r="A39">
        <v>16</v>
      </c>
      <c r="B39" t="s">
        <v>43</v>
      </c>
      <c r="C39">
        <v>4.7</v>
      </c>
      <c r="D39">
        <v>1.5931914893617023</v>
      </c>
      <c r="E39" t="s">
        <v>43</v>
      </c>
      <c r="F39">
        <v>71</v>
      </c>
      <c r="G39" t="s">
        <v>43</v>
      </c>
      <c r="J39">
        <v>16</v>
      </c>
      <c r="K39">
        <v>4.7</v>
      </c>
      <c r="L39">
        <v>1.5931914893617023</v>
      </c>
      <c r="M39">
        <v>71</v>
      </c>
      <c r="O39">
        <f t="shared" si="0"/>
        <v>7.4880000000000013</v>
      </c>
      <c r="Q39">
        <v>21</v>
      </c>
      <c r="R39">
        <v>5.0999999999999996</v>
      </c>
      <c r="S39">
        <v>1.4447058823529413</v>
      </c>
      <c r="T39">
        <v>67.114093959731548</v>
      </c>
      <c r="Y39">
        <v>23</v>
      </c>
      <c r="Z39">
        <v>4.9000000000000004</v>
      </c>
      <c r="AA39">
        <v>2.7379591836734689</v>
      </c>
      <c r="AB39">
        <v>51</v>
      </c>
      <c r="AE39">
        <v>26</v>
      </c>
      <c r="AF39">
        <v>8</v>
      </c>
      <c r="AG39">
        <v>0.63</v>
      </c>
      <c r="AH39">
        <v>61</v>
      </c>
      <c r="AK39">
        <v>28</v>
      </c>
      <c r="AN39">
        <v>84</v>
      </c>
      <c r="AQ39">
        <v>0.65</v>
      </c>
      <c r="AT39">
        <v>84</v>
      </c>
    </row>
    <row r="40" spans="1:46" x14ac:dyDescent="0.2">
      <c r="A40">
        <v>16</v>
      </c>
      <c r="B40" t="s">
        <v>43</v>
      </c>
      <c r="C40">
        <v>10</v>
      </c>
      <c r="D40">
        <v>0.7</v>
      </c>
      <c r="E40" t="s">
        <v>43</v>
      </c>
      <c r="F40">
        <v>70</v>
      </c>
      <c r="G40" t="s">
        <v>43</v>
      </c>
      <c r="J40">
        <v>16</v>
      </c>
      <c r="K40">
        <v>10</v>
      </c>
      <c r="L40">
        <v>0.7</v>
      </c>
      <c r="M40">
        <v>70</v>
      </c>
      <c r="O40">
        <f t="shared" si="0"/>
        <v>7</v>
      </c>
      <c r="Q40">
        <v>21</v>
      </c>
      <c r="R40">
        <v>6</v>
      </c>
      <c r="S40">
        <v>0.97199999999999998</v>
      </c>
      <c r="T40">
        <v>33</v>
      </c>
      <c r="Y40">
        <v>22</v>
      </c>
      <c r="Z40">
        <v>5</v>
      </c>
      <c r="AA40">
        <v>1.8863999999999999</v>
      </c>
      <c r="AB40">
        <v>28.753180661577609</v>
      </c>
      <c r="AE40">
        <v>26</v>
      </c>
      <c r="AF40">
        <v>8</v>
      </c>
      <c r="AG40">
        <v>0.63</v>
      </c>
      <c r="AH40">
        <v>65</v>
      </c>
      <c r="AK40">
        <v>28.5</v>
      </c>
      <c r="AN40">
        <v>69</v>
      </c>
      <c r="AQ40">
        <v>1.5</v>
      </c>
      <c r="AT40">
        <v>69</v>
      </c>
    </row>
    <row r="41" spans="1:46" x14ac:dyDescent="0.2">
      <c r="A41">
        <v>16</v>
      </c>
      <c r="C41">
        <v>48</v>
      </c>
      <c r="D41">
        <v>0.52</v>
      </c>
      <c r="E41" t="s">
        <v>43</v>
      </c>
      <c r="F41">
        <v>50</v>
      </c>
      <c r="G41" t="s">
        <v>43</v>
      </c>
      <c r="J41">
        <v>16</v>
      </c>
      <c r="K41">
        <v>48</v>
      </c>
      <c r="L41">
        <v>0.52</v>
      </c>
      <c r="M41">
        <v>50</v>
      </c>
      <c r="O41">
        <f t="shared" si="0"/>
        <v>24.96</v>
      </c>
      <c r="Q41">
        <v>21</v>
      </c>
      <c r="R41">
        <v>6</v>
      </c>
      <c r="S41">
        <v>2.2759999999999998</v>
      </c>
      <c r="T41">
        <v>62</v>
      </c>
      <c r="Y41">
        <v>22</v>
      </c>
      <c r="Z41">
        <v>5</v>
      </c>
      <c r="AA41">
        <v>3</v>
      </c>
      <c r="AB41">
        <v>39</v>
      </c>
      <c r="AE41">
        <v>26</v>
      </c>
      <c r="AF41">
        <v>8</v>
      </c>
      <c r="AG41">
        <v>0.63</v>
      </c>
      <c r="AH41">
        <v>81</v>
      </c>
      <c r="AK41">
        <v>22.7</v>
      </c>
      <c r="AN41">
        <v>62</v>
      </c>
      <c r="AQ41">
        <v>1.1099999999999997</v>
      </c>
      <c r="AT41">
        <v>62</v>
      </c>
    </row>
    <row r="42" spans="1:46" x14ac:dyDescent="0.2">
      <c r="A42">
        <v>16.399999999999999</v>
      </c>
      <c r="C42">
        <v>23</v>
      </c>
      <c r="D42">
        <v>1.51</v>
      </c>
      <c r="E42" t="s">
        <v>43</v>
      </c>
      <c r="F42">
        <v>38</v>
      </c>
      <c r="G42" t="s">
        <v>43</v>
      </c>
      <c r="J42">
        <v>16.399999999999999</v>
      </c>
      <c r="K42">
        <v>23</v>
      </c>
      <c r="L42">
        <v>1.51</v>
      </c>
      <c r="M42">
        <v>38</v>
      </c>
      <c r="O42">
        <f t="shared" si="0"/>
        <v>34.729999999999997</v>
      </c>
      <c r="Q42">
        <v>21</v>
      </c>
      <c r="R42">
        <v>8.8000000000000007</v>
      </c>
      <c r="S42">
        <v>1.1099999999999997</v>
      </c>
      <c r="T42">
        <v>74.871794871794876</v>
      </c>
      <c r="Y42">
        <v>21</v>
      </c>
      <c r="Z42">
        <v>5.0999999999999996</v>
      </c>
      <c r="AA42">
        <v>1.4447058823529413</v>
      </c>
      <c r="AB42">
        <v>61.88925081433225</v>
      </c>
      <c r="AE42">
        <v>28</v>
      </c>
      <c r="AF42">
        <v>8</v>
      </c>
      <c r="AG42">
        <v>0.65</v>
      </c>
      <c r="AH42">
        <v>72</v>
      </c>
      <c r="AK42">
        <v>15</v>
      </c>
      <c r="AM42">
        <v>45.908460471567267</v>
      </c>
      <c r="AQ42">
        <v>2.8839999999999999</v>
      </c>
      <c r="AS42">
        <v>45.908460471567267</v>
      </c>
    </row>
    <row r="43" spans="1:46" x14ac:dyDescent="0.2">
      <c r="A43">
        <v>16.399999999999999</v>
      </c>
      <c r="C43">
        <v>24</v>
      </c>
      <c r="D43">
        <v>1.45</v>
      </c>
      <c r="E43" t="s">
        <v>43</v>
      </c>
      <c r="F43">
        <v>41</v>
      </c>
      <c r="G43" t="s">
        <v>43</v>
      </c>
      <c r="J43">
        <v>16.399999999999999</v>
      </c>
      <c r="K43">
        <v>24</v>
      </c>
      <c r="L43">
        <v>1.45</v>
      </c>
      <c r="M43">
        <v>41</v>
      </c>
      <c r="O43">
        <f t="shared" si="0"/>
        <v>34.799999999999997</v>
      </c>
      <c r="Q43">
        <v>22</v>
      </c>
      <c r="R43">
        <v>4</v>
      </c>
      <c r="S43">
        <v>4</v>
      </c>
      <c r="T43">
        <v>20</v>
      </c>
      <c r="Y43">
        <v>23</v>
      </c>
      <c r="Z43">
        <v>5.0999999999999996</v>
      </c>
      <c r="AA43">
        <v>2.6305882352941179</v>
      </c>
      <c r="AB43">
        <v>49</v>
      </c>
      <c r="AE43">
        <v>28</v>
      </c>
      <c r="AF43">
        <v>8</v>
      </c>
      <c r="AG43">
        <v>0.65</v>
      </c>
      <c r="AH43">
        <v>84</v>
      </c>
      <c r="AK43">
        <v>15.75</v>
      </c>
      <c r="AM43">
        <v>70.493685419058551</v>
      </c>
      <c r="AQ43">
        <v>3.4840000000000004</v>
      </c>
      <c r="AS43">
        <v>70.493685419058551</v>
      </c>
    </row>
    <row r="44" spans="1:46" x14ac:dyDescent="0.2">
      <c r="A44">
        <v>16.5</v>
      </c>
      <c r="C44">
        <v>103.19999999999999</v>
      </c>
      <c r="D44">
        <v>0.89</v>
      </c>
      <c r="E44" t="s">
        <v>43</v>
      </c>
      <c r="F44">
        <v>70</v>
      </c>
      <c r="G44" t="s">
        <v>43</v>
      </c>
      <c r="J44">
        <v>16.5</v>
      </c>
      <c r="K44">
        <v>103.19999999999999</v>
      </c>
      <c r="L44">
        <v>0.89</v>
      </c>
      <c r="M44">
        <v>70</v>
      </c>
      <c r="O44">
        <f t="shared" si="0"/>
        <v>91.847999999999985</v>
      </c>
      <c r="Q44">
        <v>22</v>
      </c>
      <c r="R44">
        <v>5</v>
      </c>
      <c r="S44">
        <v>1.8863999999999999</v>
      </c>
      <c r="T44">
        <v>62.318840579710141</v>
      </c>
      <c r="Y44">
        <v>17</v>
      </c>
      <c r="Z44">
        <v>5.5</v>
      </c>
      <c r="AA44">
        <v>2.474181818181818</v>
      </c>
      <c r="AB44">
        <v>69.135802469135797</v>
      </c>
      <c r="AE44">
        <v>28.5</v>
      </c>
      <c r="AF44">
        <v>8</v>
      </c>
      <c r="AG44">
        <v>1.5</v>
      </c>
      <c r="AH44">
        <v>69</v>
      </c>
      <c r="AK44">
        <v>19</v>
      </c>
      <c r="AM44">
        <v>61</v>
      </c>
      <c r="AQ44">
        <v>2.548</v>
      </c>
      <c r="AS44">
        <v>61</v>
      </c>
    </row>
    <row r="45" spans="1:46" x14ac:dyDescent="0.2">
      <c r="A45">
        <v>17</v>
      </c>
      <c r="B45" t="s">
        <v>43</v>
      </c>
      <c r="C45">
        <v>5.5</v>
      </c>
      <c r="D45">
        <v>2.474181818181818</v>
      </c>
      <c r="E45">
        <v>42.214532871972317</v>
      </c>
      <c r="F45">
        <v>69.135802469135797</v>
      </c>
      <c r="G45" t="s">
        <v>43</v>
      </c>
      <c r="J45">
        <v>17</v>
      </c>
      <c r="K45">
        <v>5.5</v>
      </c>
      <c r="L45">
        <v>2.474181818181818</v>
      </c>
      <c r="M45">
        <v>69.135802469135797</v>
      </c>
      <c r="O45">
        <f t="shared" si="0"/>
        <v>13.607999999999999</v>
      </c>
      <c r="Q45">
        <v>22</v>
      </c>
      <c r="R45">
        <v>5</v>
      </c>
      <c r="S45">
        <v>3</v>
      </c>
      <c r="T45">
        <v>35</v>
      </c>
      <c r="Y45">
        <v>17</v>
      </c>
      <c r="Z45">
        <v>5.5</v>
      </c>
      <c r="AA45">
        <v>2.474181818181818</v>
      </c>
      <c r="AB45">
        <v>72.663139329805986</v>
      </c>
      <c r="AE45">
        <v>22.7</v>
      </c>
      <c r="AF45">
        <v>8</v>
      </c>
      <c r="AG45">
        <v>1.1099999999999997</v>
      </c>
      <c r="AH45">
        <v>62</v>
      </c>
      <c r="AK45">
        <v>19</v>
      </c>
      <c r="AM45">
        <v>38.356164383561641</v>
      </c>
      <c r="AQ45">
        <v>3.3</v>
      </c>
      <c r="AS45">
        <v>38.356164383561641</v>
      </c>
    </row>
    <row r="46" spans="1:46" x14ac:dyDescent="0.2">
      <c r="A46">
        <v>17</v>
      </c>
      <c r="B46" t="s">
        <v>43</v>
      </c>
      <c r="C46">
        <v>5.5</v>
      </c>
      <c r="D46">
        <v>2.474181818181818</v>
      </c>
      <c r="E46">
        <v>43.944636678200695</v>
      </c>
      <c r="F46">
        <v>72.663139329805986</v>
      </c>
      <c r="G46" t="s">
        <v>43</v>
      </c>
      <c r="J46">
        <v>17</v>
      </c>
      <c r="K46">
        <v>5.5</v>
      </c>
      <c r="L46">
        <v>2.474181818181818</v>
      </c>
      <c r="M46">
        <v>72.663139329805986</v>
      </c>
      <c r="O46">
        <f t="shared" si="0"/>
        <v>13.607999999999999</v>
      </c>
      <c r="Q46">
        <v>22</v>
      </c>
      <c r="R46">
        <v>7</v>
      </c>
      <c r="S46">
        <v>1.2822857142857143</v>
      </c>
      <c r="T46">
        <v>76.5625</v>
      </c>
      <c r="Y46">
        <v>25</v>
      </c>
      <c r="Z46">
        <v>5.5</v>
      </c>
      <c r="AA46" t="s">
        <v>43</v>
      </c>
      <c r="AB46">
        <v>65</v>
      </c>
      <c r="AK46">
        <v>20</v>
      </c>
      <c r="AM46">
        <v>70</v>
      </c>
      <c r="AQ46">
        <v>1.2</v>
      </c>
      <c r="AS46">
        <v>70</v>
      </c>
    </row>
    <row r="47" spans="1:46" x14ac:dyDescent="0.2">
      <c r="A47">
        <v>17</v>
      </c>
      <c r="B47" t="s">
        <v>307</v>
      </c>
      <c r="C47">
        <v>10</v>
      </c>
      <c r="D47">
        <v>1.5288000000000002</v>
      </c>
      <c r="E47" t="s">
        <v>43</v>
      </c>
      <c r="F47">
        <v>60</v>
      </c>
      <c r="G47" t="s">
        <v>43</v>
      </c>
      <c r="J47">
        <v>17</v>
      </c>
      <c r="K47">
        <v>10</v>
      </c>
      <c r="L47">
        <v>1.5288000000000002</v>
      </c>
      <c r="M47">
        <v>60</v>
      </c>
      <c r="O47">
        <f t="shared" si="0"/>
        <v>15.288000000000002</v>
      </c>
      <c r="Q47">
        <v>22</v>
      </c>
      <c r="R47">
        <v>7.2</v>
      </c>
      <c r="S47">
        <v>1.5300000000000002</v>
      </c>
      <c r="T47">
        <v>66.210045662100455</v>
      </c>
      <c r="Y47">
        <v>22.5</v>
      </c>
      <c r="Z47">
        <v>5.7</v>
      </c>
      <c r="AA47">
        <v>2.3284210526315783</v>
      </c>
      <c r="AB47">
        <v>56</v>
      </c>
      <c r="AE47">
        <v>15</v>
      </c>
      <c r="AF47">
        <v>6</v>
      </c>
      <c r="AG47">
        <v>2.8839999999999999</v>
      </c>
      <c r="AH47">
        <v>45.908460471567267</v>
      </c>
      <c r="AK47">
        <v>20</v>
      </c>
      <c r="AM47">
        <v>70</v>
      </c>
      <c r="AQ47">
        <v>1.83</v>
      </c>
      <c r="AS47">
        <v>70</v>
      </c>
    </row>
    <row r="48" spans="1:46" x14ac:dyDescent="0.2">
      <c r="A48">
        <v>17</v>
      </c>
      <c r="B48" t="s">
        <v>307</v>
      </c>
      <c r="C48">
        <v>14</v>
      </c>
      <c r="D48">
        <v>1.0919999999999999</v>
      </c>
      <c r="E48" t="s">
        <v>43</v>
      </c>
      <c r="F48">
        <v>72</v>
      </c>
      <c r="G48" t="s">
        <v>43</v>
      </c>
      <c r="J48">
        <v>17</v>
      </c>
      <c r="K48">
        <v>14</v>
      </c>
      <c r="L48">
        <v>1.0919999999999999</v>
      </c>
      <c r="M48">
        <v>72</v>
      </c>
      <c r="O48">
        <f t="shared" si="0"/>
        <v>15.287999999999998</v>
      </c>
      <c r="Q48">
        <v>22</v>
      </c>
      <c r="R48">
        <v>10.327272727272726</v>
      </c>
      <c r="S48">
        <v>0.8668309859154929</v>
      </c>
      <c r="T48">
        <v>62</v>
      </c>
      <c r="Y48">
        <v>22.7</v>
      </c>
      <c r="Z48">
        <v>5.7</v>
      </c>
      <c r="AA48">
        <v>2.1</v>
      </c>
      <c r="AB48">
        <v>48</v>
      </c>
      <c r="AE48">
        <v>15.75</v>
      </c>
      <c r="AF48">
        <v>6</v>
      </c>
      <c r="AG48">
        <v>3.4840000000000004</v>
      </c>
      <c r="AH48">
        <v>70.493685419058551</v>
      </c>
      <c r="AK48">
        <v>20</v>
      </c>
      <c r="AM48">
        <v>70</v>
      </c>
      <c r="AQ48">
        <v>2</v>
      </c>
      <c r="AS48">
        <v>70</v>
      </c>
    </row>
    <row r="49" spans="1:45" x14ac:dyDescent="0.2">
      <c r="A49">
        <v>17</v>
      </c>
      <c r="C49">
        <v>18</v>
      </c>
      <c r="D49">
        <v>1</v>
      </c>
      <c r="E49">
        <v>66.268656716417908</v>
      </c>
      <c r="F49">
        <v>56.8</v>
      </c>
      <c r="G49" t="s">
        <v>43</v>
      </c>
      <c r="J49">
        <v>17</v>
      </c>
      <c r="K49">
        <v>18</v>
      </c>
      <c r="L49">
        <v>0.84933333333333338</v>
      </c>
      <c r="M49">
        <v>74</v>
      </c>
      <c r="O49">
        <f t="shared" si="0"/>
        <v>15.288</v>
      </c>
      <c r="Q49">
        <v>22</v>
      </c>
      <c r="R49">
        <v>21.6</v>
      </c>
      <c r="S49">
        <v>0.45999999999999996</v>
      </c>
      <c r="T49">
        <v>83</v>
      </c>
      <c r="Y49">
        <v>23</v>
      </c>
      <c r="Z49">
        <v>5.7</v>
      </c>
      <c r="AA49">
        <v>2.1431578947368419</v>
      </c>
      <c r="AB49">
        <v>49</v>
      </c>
      <c r="AE49">
        <v>19</v>
      </c>
      <c r="AF49">
        <v>6</v>
      </c>
      <c r="AG49">
        <v>2.548</v>
      </c>
      <c r="AH49">
        <v>61</v>
      </c>
      <c r="AK49">
        <v>20</v>
      </c>
      <c r="AM49">
        <v>75</v>
      </c>
      <c r="AQ49">
        <v>2</v>
      </c>
      <c r="AS49">
        <v>75</v>
      </c>
    </row>
    <row r="50" spans="1:45" x14ac:dyDescent="0.2">
      <c r="A50">
        <v>17</v>
      </c>
      <c r="B50" t="s">
        <v>307</v>
      </c>
      <c r="C50">
        <v>18</v>
      </c>
      <c r="D50">
        <v>0.84933333333333338</v>
      </c>
      <c r="E50" t="s">
        <v>43</v>
      </c>
      <c r="F50">
        <v>74</v>
      </c>
      <c r="G50" t="s">
        <v>43</v>
      </c>
      <c r="J50">
        <v>17</v>
      </c>
      <c r="K50">
        <v>18</v>
      </c>
      <c r="L50">
        <v>1</v>
      </c>
      <c r="M50">
        <v>56.8</v>
      </c>
      <c r="O50">
        <f t="shared" si="0"/>
        <v>18</v>
      </c>
      <c r="Q50">
        <v>22</v>
      </c>
      <c r="R50">
        <v>25</v>
      </c>
      <c r="S50" t="s">
        <v>356</v>
      </c>
      <c r="T50">
        <v>62</v>
      </c>
      <c r="Y50">
        <v>23</v>
      </c>
      <c r="Z50">
        <v>5.7</v>
      </c>
      <c r="AA50">
        <v>2.1431578947368419</v>
      </c>
      <c r="AB50">
        <v>53</v>
      </c>
      <c r="AE50">
        <v>19</v>
      </c>
      <c r="AF50">
        <v>6</v>
      </c>
      <c r="AG50">
        <v>3.3</v>
      </c>
      <c r="AH50">
        <v>38.356164383561641</v>
      </c>
      <c r="AK50">
        <v>20</v>
      </c>
      <c r="AM50">
        <v>75</v>
      </c>
      <c r="AQ50">
        <v>2</v>
      </c>
      <c r="AS50">
        <v>75</v>
      </c>
    </row>
    <row r="51" spans="1:45" x14ac:dyDescent="0.2">
      <c r="A51">
        <v>17</v>
      </c>
      <c r="B51">
        <v>5.2133575433907335E-2</v>
      </c>
      <c r="C51">
        <v>48</v>
      </c>
      <c r="D51">
        <v>0.45</v>
      </c>
      <c r="E51">
        <v>74</v>
      </c>
      <c r="F51">
        <v>51</v>
      </c>
      <c r="G51">
        <v>5.7500000000000002E-2</v>
      </c>
      <c r="J51">
        <v>17</v>
      </c>
      <c r="K51">
        <v>48</v>
      </c>
      <c r="L51">
        <v>0.45</v>
      </c>
      <c r="M51">
        <v>51</v>
      </c>
      <c r="O51">
        <f t="shared" si="0"/>
        <v>21.6</v>
      </c>
      <c r="Q51">
        <v>22.7</v>
      </c>
      <c r="R51">
        <v>5.7</v>
      </c>
      <c r="S51">
        <v>2.1</v>
      </c>
      <c r="T51">
        <v>46</v>
      </c>
      <c r="Y51">
        <v>24.3</v>
      </c>
      <c r="Z51">
        <v>5.9</v>
      </c>
      <c r="AA51">
        <v>1.7</v>
      </c>
      <c r="AB51">
        <v>49</v>
      </c>
      <c r="AE51">
        <v>20</v>
      </c>
      <c r="AF51">
        <v>6</v>
      </c>
      <c r="AG51">
        <v>1.2</v>
      </c>
      <c r="AH51">
        <v>70</v>
      </c>
      <c r="AK51">
        <v>20.5</v>
      </c>
      <c r="AM51">
        <v>62.2</v>
      </c>
      <c r="AQ51">
        <v>2.4</v>
      </c>
      <c r="AS51">
        <v>62.2</v>
      </c>
    </row>
    <row r="52" spans="1:45" x14ac:dyDescent="0.2">
      <c r="A52">
        <v>17</v>
      </c>
      <c r="B52">
        <v>2.6066787716953668E-2</v>
      </c>
      <c r="C52">
        <v>96</v>
      </c>
      <c r="D52">
        <v>0.23</v>
      </c>
      <c r="E52">
        <v>78</v>
      </c>
      <c r="F52">
        <v>54</v>
      </c>
      <c r="G52">
        <v>3.5700000000000003E-2</v>
      </c>
      <c r="J52">
        <v>17</v>
      </c>
      <c r="K52">
        <v>96</v>
      </c>
      <c r="L52">
        <v>0.23</v>
      </c>
      <c r="M52">
        <v>54</v>
      </c>
      <c r="O52">
        <f t="shared" si="0"/>
        <v>22.080000000000002</v>
      </c>
      <c r="Q52">
        <v>22.7</v>
      </c>
      <c r="R52">
        <v>9.1</v>
      </c>
      <c r="S52">
        <v>3.4285714285714293</v>
      </c>
      <c r="T52">
        <v>31.692677070828328</v>
      </c>
      <c r="AE52">
        <v>20</v>
      </c>
      <c r="AF52">
        <v>6</v>
      </c>
      <c r="AG52">
        <v>1.83</v>
      </c>
      <c r="AH52">
        <v>70</v>
      </c>
      <c r="AK52">
        <v>21</v>
      </c>
      <c r="AM52">
        <v>31</v>
      </c>
      <c r="AQ52">
        <v>0.97199999999999998</v>
      </c>
      <c r="AS52">
        <v>31</v>
      </c>
    </row>
    <row r="53" spans="1:45" x14ac:dyDescent="0.2">
      <c r="A53">
        <v>18</v>
      </c>
      <c r="C53">
        <v>4.4000000000000004</v>
      </c>
      <c r="D53">
        <v>1.5545454545454545</v>
      </c>
      <c r="E53">
        <v>55.508474576271183</v>
      </c>
      <c r="F53">
        <v>33.684210526315788</v>
      </c>
      <c r="G53" t="s">
        <v>43</v>
      </c>
      <c r="J53">
        <v>18</v>
      </c>
      <c r="K53">
        <v>4.4000000000000004</v>
      </c>
      <c r="L53">
        <v>1.5545454545454545</v>
      </c>
      <c r="M53">
        <v>33.684210526315788</v>
      </c>
      <c r="O53">
        <f t="shared" si="0"/>
        <v>6.84</v>
      </c>
      <c r="Q53">
        <v>23</v>
      </c>
      <c r="R53">
        <v>4</v>
      </c>
      <c r="S53">
        <v>2.4359999999999999</v>
      </c>
      <c r="T53">
        <v>68.586387434554979</v>
      </c>
      <c r="AE53">
        <v>20</v>
      </c>
      <c r="AF53">
        <v>6</v>
      </c>
      <c r="AG53">
        <v>2</v>
      </c>
      <c r="AH53">
        <v>70</v>
      </c>
      <c r="AK53">
        <v>21</v>
      </c>
      <c r="AM53">
        <v>71</v>
      </c>
      <c r="AQ53">
        <v>2.2759999999999998</v>
      </c>
      <c r="AS53">
        <v>71</v>
      </c>
    </row>
    <row r="54" spans="1:45" x14ac:dyDescent="0.2">
      <c r="A54">
        <v>18</v>
      </c>
      <c r="C54">
        <v>11</v>
      </c>
      <c r="D54">
        <v>0.87927272727272721</v>
      </c>
      <c r="E54">
        <v>75.27472527472527</v>
      </c>
      <c r="F54">
        <v>63.027295285359799</v>
      </c>
      <c r="G54" t="s">
        <v>43</v>
      </c>
      <c r="J54">
        <v>18</v>
      </c>
      <c r="K54">
        <v>11</v>
      </c>
      <c r="L54">
        <v>0.87927272727272721</v>
      </c>
      <c r="M54">
        <v>63.027295285359799</v>
      </c>
      <c r="O54">
        <f t="shared" si="0"/>
        <v>9.6719999999999988</v>
      </c>
      <c r="Q54">
        <v>23</v>
      </c>
      <c r="R54">
        <v>4</v>
      </c>
      <c r="S54">
        <v>3.7619999999999996</v>
      </c>
      <c r="T54">
        <v>71</v>
      </c>
      <c r="AE54">
        <v>20</v>
      </c>
      <c r="AF54">
        <v>6</v>
      </c>
      <c r="AG54">
        <v>2</v>
      </c>
      <c r="AH54">
        <v>75</v>
      </c>
      <c r="AK54">
        <v>22.5</v>
      </c>
      <c r="AM54">
        <v>63</v>
      </c>
      <c r="AQ54">
        <v>2.1280000000000001</v>
      </c>
      <c r="AS54">
        <v>63</v>
      </c>
    </row>
    <row r="55" spans="1:45" x14ac:dyDescent="0.2">
      <c r="A55">
        <v>18</v>
      </c>
      <c r="B55" t="s">
        <v>355</v>
      </c>
      <c r="C55">
        <v>25</v>
      </c>
      <c r="D55" t="s">
        <v>356</v>
      </c>
      <c r="E55">
        <v>55</v>
      </c>
      <c r="F55">
        <v>51</v>
      </c>
      <c r="G55" t="s">
        <v>43</v>
      </c>
      <c r="J55">
        <v>18</v>
      </c>
      <c r="K55">
        <v>25</v>
      </c>
      <c r="L55" t="s">
        <v>356</v>
      </c>
      <c r="M55">
        <v>51</v>
      </c>
      <c r="O55" t="e">
        <f t="shared" si="0"/>
        <v>#VALUE!</v>
      </c>
      <c r="Q55">
        <v>23</v>
      </c>
      <c r="R55">
        <v>4.9000000000000004</v>
      </c>
      <c r="S55">
        <v>2.7379591836734689</v>
      </c>
      <c r="T55">
        <v>35</v>
      </c>
      <c r="AE55">
        <v>20</v>
      </c>
      <c r="AF55">
        <v>6</v>
      </c>
      <c r="AG55">
        <v>2</v>
      </c>
      <c r="AH55">
        <v>75</v>
      </c>
      <c r="AK55">
        <v>25</v>
      </c>
      <c r="AM55">
        <v>55.227882037533519</v>
      </c>
      <c r="AQ55">
        <v>1.4920000000000002</v>
      </c>
      <c r="AS55">
        <v>55.227882037533519</v>
      </c>
    </row>
    <row r="56" spans="1:45" x14ac:dyDescent="0.2">
      <c r="A56">
        <v>18</v>
      </c>
      <c r="B56" t="s">
        <v>43</v>
      </c>
      <c r="C56">
        <v>60</v>
      </c>
      <c r="D56">
        <v>1.6015999999999999</v>
      </c>
      <c r="E56" t="s">
        <v>43</v>
      </c>
      <c r="F56">
        <v>93.9</v>
      </c>
      <c r="G56" t="s">
        <v>43</v>
      </c>
      <c r="J56">
        <v>18</v>
      </c>
      <c r="K56">
        <v>60</v>
      </c>
      <c r="L56">
        <v>1.6015999999999999</v>
      </c>
      <c r="M56">
        <v>93.9</v>
      </c>
      <c r="O56">
        <f t="shared" si="0"/>
        <v>96.095999999999989</v>
      </c>
      <c r="Q56">
        <v>23</v>
      </c>
      <c r="R56">
        <v>5.0999999999999996</v>
      </c>
      <c r="S56">
        <v>2.6305882352941179</v>
      </c>
      <c r="T56">
        <v>39</v>
      </c>
      <c r="AE56">
        <v>20.5</v>
      </c>
      <c r="AF56">
        <v>6</v>
      </c>
      <c r="AG56">
        <v>2.4</v>
      </c>
      <c r="AH56">
        <v>62.2</v>
      </c>
      <c r="AK56">
        <v>25</v>
      </c>
      <c r="AM56">
        <v>58</v>
      </c>
      <c r="AQ56">
        <v>1.5719999999999998</v>
      </c>
      <c r="AS56">
        <v>58</v>
      </c>
    </row>
    <row r="57" spans="1:45" x14ac:dyDescent="0.2">
      <c r="A57">
        <v>18.5</v>
      </c>
      <c r="B57">
        <v>7.1999999999999998E-3</v>
      </c>
      <c r="C57">
        <v>3.6</v>
      </c>
      <c r="D57">
        <v>3.1666666666666665</v>
      </c>
      <c r="E57">
        <v>76.31578947368422</v>
      </c>
      <c r="F57">
        <v>65.26315789473685</v>
      </c>
      <c r="G57" t="s">
        <v>43</v>
      </c>
      <c r="J57">
        <v>18.5</v>
      </c>
      <c r="K57">
        <v>3.6</v>
      </c>
      <c r="L57">
        <v>3.1666666666666665</v>
      </c>
      <c r="M57">
        <v>65.26315789473685</v>
      </c>
      <c r="O57">
        <f t="shared" si="0"/>
        <v>11.4</v>
      </c>
      <c r="Q57">
        <v>23</v>
      </c>
      <c r="R57">
        <v>5.7</v>
      </c>
      <c r="S57">
        <v>2.1431578947368419</v>
      </c>
      <c r="T57">
        <v>61</v>
      </c>
      <c r="AE57">
        <v>21</v>
      </c>
      <c r="AF57">
        <v>6</v>
      </c>
      <c r="AG57">
        <v>0.97199999999999998</v>
      </c>
      <c r="AH57">
        <v>31</v>
      </c>
      <c r="AK57">
        <v>25</v>
      </c>
      <c r="AM57">
        <v>68.383658969804614</v>
      </c>
      <c r="AQ57">
        <v>2.2520000000000002</v>
      </c>
      <c r="AS57">
        <v>68.383658969804614</v>
      </c>
    </row>
    <row r="58" spans="1:45" x14ac:dyDescent="0.2">
      <c r="A58">
        <v>19</v>
      </c>
      <c r="B58" t="s">
        <v>43</v>
      </c>
      <c r="C58">
        <v>4.7</v>
      </c>
      <c r="D58">
        <v>1.5931914893617023</v>
      </c>
      <c r="E58" t="s">
        <v>43</v>
      </c>
      <c r="F58">
        <v>72</v>
      </c>
      <c r="G58" t="s">
        <v>43</v>
      </c>
      <c r="J58">
        <v>19</v>
      </c>
      <c r="K58">
        <v>4.7</v>
      </c>
      <c r="L58">
        <v>1.5931914893617023</v>
      </c>
      <c r="M58">
        <v>72</v>
      </c>
      <c r="O58">
        <f t="shared" si="0"/>
        <v>7.4880000000000013</v>
      </c>
      <c r="Q58">
        <v>23</v>
      </c>
      <c r="R58">
        <v>5.7</v>
      </c>
      <c r="S58">
        <v>2.1431578947368419</v>
      </c>
      <c r="T58">
        <v>61</v>
      </c>
      <c r="AE58">
        <v>21</v>
      </c>
      <c r="AF58">
        <v>6</v>
      </c>
      <c r="AG58">
        <v>2.2759999999999998</v>
      </c>
      <c r="AH58">
        <v>71</v>
      </c>
      <c r="AK58">
        <v>25</v>
      </c>
      <c r="AM58">
        <v>69.982238010657198</v>
      </c>
      <c r="AQ58">
        <v>2.2520000000000002</v>
      </c>
      <c r="AS58">
        <v>69.982238010657198</v>
      </c>
    </row>
    <row r="59" spans="1:45" x14ac:dyDescent="0.2">
      <c r="A59">
        <v>19</v>
      </c>
      <c r="C59">
        <v>6</v>
      </c>
      <c r="D59">
        <v>3.3</v>
      </c>
      <c r="E59">
        <v>41.982507288629741</v>
      </c>
      <c r="F59">
        <v>38.356164383561641</v>
      </c>
      <c r="G59" t="s">
        <v>43</v>
      </c>
      <c r="J59">
        <v>19</v>
      </c>
      <c r="K59">
        <v>6</v>
      </c>
      <c r="L59">
        <v>2.548</v>
      </c>
      <c r="M59">
        <v>61</v>
      </c>
      <c r="O59">
        <f t="shared" si="0"/>
        <v>15.288</v>
      </c>
      <c r="Q59">
        <v>23</v>
      </c>
      <c r="R59">
        <v>7.7</v>
      </c>
      <c r="S59">
        <v>1.5335064935064935</v>
      </c>
      <c r="T59">
        <v>63.302752293577981</v>
      </c>
      <c r="AE59">
        <v>22.5</v>
      </c>
      <c r="AF59">
        <v>6</v>
      </c>
      <c r="AG59">
        <v>2.1280000000000001</v>
      </c>
      <c r="AH59">
        <v>63</v>
      </c>
      <c r="AK59">
        <v>25</v>
      </c>
      <c r="AM59">
        <v>73.53463587921847</v>
      </c>
      <c r="AQ59">
        <v>2.2520000000000002</v>
      </c>
      <c r="AS59">
        <v>73.53463587921847</v>
      </c>
    </row>
    <row r="60" spans="1:45" x14ac:dyDescent="0.2">
      <c r="A60">
        <v>19</v>
      </c>
      <c r="B60" t="s">
        <v>307</v>
      </c>
      <c r="C60">
        <v>6</v>
      </c>
      <c r="D60">
        <v>2.548</v>
      </c>
      <c r="E60" t="s">
        <v>43</v>
      </c>
      <c r="F60">
        <v>61</v>
      </c>
      <c r="G60" t="s">
        <v>43</v>
      </c>
      <c r="J60">
        <v>19</v>
      </c>
      <c r="K60">
        <v>6</v>
      </c>
      <c r="L60">
        <v>3.3</v>
      </c>
      <c r="M60">
        <v>38.356164383561641</v>
      </c>
      <c r="O60">
        <f t="shared" si="0"/>
        <v>19.799999999999997</v>
      </c>
      <c r="Q60">
        <v>23</v>
      </c>
      <c r="R60">
        <v>7.8</v>
      </c>
      <c r="S60">
        <v>1.2184615384615383</v>
      </c>
      <c r="T60">
        <v>65</v>
      </c>
      <c r="AE60">
        <v>25</v>
      </c>
      <c r="AF60">
        <v>6</v>
      </c>
      <c r="AG60">
        <v>1.4920000000000002</v>
      </c>
      <c r="AH60">
        <v>55.227882037533519</v>
      </c>
      <c r="AK60">
        <v>25</v>
      </c>
      <c r="AM60">
        <v>71.633237822349571</v>
      </c>
      <c r="AQ60">
        <v>2.7919999999999998</v>
      </c>
      <c r="AS60">
        <v>71.633237822349571</v>
      </c>
    </row>
    <row r="61" spans="1:45" x14ac:dyDescent="0.2">
      <c r="A61">
        <v>19</v>
      </c>
      <c r="B61" t="s">
        <v>307</v>
      </c>
      <c r="C61">
        <v>8</v>
      </c>
      <c r="D61">
        <v>1.911</v>
      </c>
      <c r="E61" t="s">
        <v>43</v>
      </c>
      <c r="F61">
        <v>65</v>
      </c>
      <c r="G61" t="s">
        <v>43</v>
      </c>
      <c r="J61">
        <v>19</v>
      </c>
      <c r="K61">
        <v>8</v>
      </c>
      <c r="L61">
        <v>1.911</v>
      </c>
      <c r="M61">
        <v>65</v>
      </c>
      <c r="O61">
        <f t="shared" si="0"/>
        <v>15.288</v>
      </c>
      <c r="Q61">
        <v>23</v>
      </c>
      <c r="R61">
        <v>7.9</v>
      </c>
      <c r="S61">
        <v>1.2030379746835442</v>
      </c>
      <c r="T61">
        <v>36</v>
      </c>
      <c r="AE61">
        <v>25</v>
      </c>
      <c r="AF61">
        <v>6</v>
      </c>
      <c r="AG61">
        <v>1.5719999999999998</v>
      </c>
      <c r="AH61">
        <v>58</v>
      </c>
      <c r="AK61">
        <v>26</v>
      </c>
      <c r="AM61">
        <v>47</v>
      </c>
      <c r="AQ61">
        <v>0.53</v>
      </c>
      <c r="AS61">
        <v>47</v>
      </c>
    </row>
    <row r="62" spans="1:45" x14ac:dyDescent="0.2">
      <c r="A62">
        <v>19</v>
      </c>
      <c r="B62" t="s">
        <v>307</v>
      </c>
      <c r="C62">
        <v>10</v>
      </c>
      <c r="D62">
        <v>1.5288000000000002</v>
      </c>
      <c r="E62" t="s">
        <v>43</v>
      </c>
      <c r="F62">
        <v>64</v>
      </c>
      <c r="G62" t="s">
        <v>43</v>
      </c>
      <c r="J62">
        <v>19</v>
      </c>
      <c r="K62">
        <v>10</v>
      </c>
      <c r="L62">
        <v>1.5288000000000002</v>
      </c>
      <c r="M62">
        <v>64</v>
      </c>
      <c r="O62">
        <f t="shared" si="0"/>
        <v>15.288000000000002</v>
      </c>
      <c r="Q62">
        <v>23</v>
      </c>
      <c r="R62">
        <v>9.9</v>
      </c>
      <c r="S62">
        <v>0.96484848484848473</v>
      </c>
      <c r="T62">
        <v>57.2</v>
      </c>
      <c r="AE62">
        <v>25</v>
      </c>
      <c r="AF62">
        <v>6</v>
      </c>
      <c r="AG62">
        <v>2.2520000000000002</v>
      </c>
      <c r="AH62">
        <v>68.383658969804614</v>
      </c>
      <c r="AK62">
        <v>26</v>
      </c>
      <c r="AM62">
        <v>47</v>
      </c>
      <c r="AQ62">
        <v>0.53</v>
      </c>
      <c r="AS62">
        <v>47</v>
      </c>
    </row>
    <row r="63" spans="1:45" x14ac:dyDescent="0.2">
      <c r="A63">
        <v>19</v>
      </c>
      <c r="B63">
        <v>8.3333333333333329E-2</v>
      </c>
      <c r="C63">
        <v>12</v>
      </c>
      <c r="D63">
        <v>0.48599999999999999</v>
      </c>
      <c r="E63">
        <v>67</v>
      </c>
      <c r="F63">
        <v>67</v>
      </c>
      <c r="G63" t="s">
        <v>43</v>
      </c>
      <c r="J63">
        <v>19</v>
      </c>
      <c r="K63">
        <v>12</v>
      </c>
      <c r="L63">
        <v>0.48599999999999999</v>
      </c>
      <c r="M63">
        <v>67</v>
      </c>
      <c r="O63">
        <f t="shared" si="0"/>
        <v>5.8319999999999999</v>
      </c>
      <c r="Q63">
        <v>23</v>
      </c>
      <c r="R63">
        <v>10.6</v>
      </c>
      <c r="S63">
        <v>0.90113207547169805</v>
      </c>
      <c r="T63">
        <v>55.8</v>
      </c>
      <c r="AE63">
        <v>25</v>
      </c>
      <c r="AF63">
        <v>6</v>
      </c>
      <c r="AG63">
        <v>2.2520000000000002</v>
      </c>
      <c r="AH63">
        <v>69.982238010657198</v>
      </c>
      <c r="AK63">
        <v>26</v>
      </c>
      <c r="AM63">
        <v>62</v>
      </c>
      <c r="AQ63">
        <v>0.53</v>
      </c>
      <c r="AS63">
        <v>62</v>
      </c>
    </row>
    <row r="64" spans="1:45" x14ac:dyDescent="0.2">
      <c r="A64">
        <v>19</v>
      </c>
      <c r="B64" t="s">
        <v>307</v>
      </c>
      <c r="C64">
        <v>14</v>
      </c>
      <c r="D64">
        <v>1.0919999999999999</v>
      </c>
      <c r="E64" t="s">
        <v>43</v>
      </c>
      <c r="F64">
        <v>73</v>
      </c>
      <c r="G64" t="s">
        <v>43</v>
      </c>
      <c r="J64">
        <v>19</v>
      </c>
      <c r="K64">
        <v>14</v>
      </c>
      <c r="L64">
        <v>1.0919999999999999</v>
      </c>
      <c r="M64">
        <v>73</v>
      </c>
      <c r="O64">
        <f t="shared" si="0"/>
        <v>15.287999999999998</v>
      </c>
      <c r="Q64">
        <v>23</v>
      </c>
      <c r="R64">
        <v>24</v>
      </c>
      <c r="S64">
        <v>0.53900000000000003</v>
      </c>
      <c r="T64">
        <v>73</v>
      </c>
      <c r="AE64">
        <v>25</v>
      </c>
      <c r="AF64">
        <v>6</v>
      </c>
      <c r="AG64">
        <v>2.2520000000000002</v>
      </c>
      <c r="AH64">
        <v>73.53463587921847</v>
      </c>
      <c r="AK64">
        <v>26.5</v>
      </c>
      <c r="AM64">
        <v>70</v>
      </c>
      <c r="AQ64">
        <v>0.87</v>
      </c>
      <c r="AS64">
        <v>70</v>
      </c>
    </row>
    <row r="65" spans="1:47" x14ac:dyDescent="0.2">
      <c r="A65">
        <v>19</v>
      </c>
      <c r="B65" t="s">
        <v>327</v>
      </c>
      <c r="C65">
        <v>14.5</v>
      </c>
      <c r="D65">
        <v>0.66206896551724137</v>
      </c>
      <c r="E65" t="s">
        <v>43</v>
      </c>
      <c r="F65">
        <v>64.5</v>
      </c>
      <c r="G65" t="s">
        <v>43</v>
      </c>
      <c r="J65">
        <v>19</v>
      </c>
      <c r="K65">
        <v>14.5</v>
      </c>
      <c r="L65">
        <v>0.66206896551724137</v>
      </c>
      <c r="M65">
        <v>64.5</v>
      </c>
      <c r="O65">
        <f t="shared" si="0"/>
        <v>9.6</v>
      </c>
      <c r="Q65">
        <v>23</v>
      </c>
      <c r="R65">
        <v>36</v>
      </c>
      <c r="S65">
        <v>0.35933333333333328</v>
      </c>
      <c r="T65">
        <v>78</v>
      </c>
      <c r="AE65">
        <v>25</v>
      </c>
      <c r="AF65">
        <v>6</v>
      </c>
      <c r="AG65">
        <v>2.7919999999999998</v>
      </c>
      <c r="AH65">
        <v>71.633237822349571</v>
      </c>
      <c r="AK65">
        <v>26.5</v>
      </c>
      <c r="AM65">
        <v>82</v>
      </c>
      <c r="AQ65">
        <v>0.87</v>
      </c>
      <c r="AS65">
        <v>82</v>
      </c>
    </row>
    <row r="66" spans="1:47" x14ac:dyDescent="0.2">
      <c r="A66">
        <v>19</v>
      </c>
      <c r="B66" t="s">
        <v>307</v>
      </c>
      <c r="C66">
        <v>18</v>
      </c>
      <c r="D66">
        <v>0.84933333333333338</v>
      </c>
      <c r="E66" t="s">
        <v>43</v>
      </c>
      <c r="F66">
        <v>73</v>
      </c>
      <c r="G66" t="s">
        <v>43</v>
      </c>
      <c r="J66">
        <v>19</v>
      </c>
      <c r="K66">
        <v>18</v>
      </c>
      <c r="L66">
        <v>0.84933333333333338</v>
      </c>
      <c r="M66">
        <v>73</v>
      </c>
      <c r="O66">
        <f t="shared" si="0"/>
        <v>15.288</v>
      </c>
      <c r="Q66">
        <v>23</v>
      </c>
      <c r="R66">
        <v>48</v>
      </c>
      <c r="S66">
        <v>0.26950000000000002</v>
      </c>
      <c r="T66">
        <v>80</v>
      </c>
      <c r="AE66">
        <v>26</v>
      </c>
      <c r="AF66">
        <v>6</v>
      </c>
      <c r="AG66">
        <v>0.53</v>
      </c>
      <c r="AH66">
        <v>47</v>
      </c>
      <c r="AK66">
        <v>27</v>
      </c>
      <c r="AM66">
        <v>53.260869565217398</v>
      </c>
      <c r="AQ66">
        <v>0.36800000000000005</v>
      </c>
      <c r="AS66">
        <v>53.260869565217398</v>
      </c>
    </row>
    <row r="67" spans="1:47" x14ac:dyDescent="0.2">
      <c r="A67">
        <v>19</v>
      </c>
      <c r="B67" t="s">
        <v>307</v>
      </c>
      <c r="C67">
        <v>24</v>
      </c>
      <c r="D67">
        <v>0.63700000000000001</v>
      </c>
      <c r="E67" t="s">
        <v>43</v>
      </c>
      <c r="F67">
        <v>64</v>
      </c>
      <c r="G67" t="s">
        <v>43</v>
      </c>
      <c r="J67">
        <v>19</v>
      </c>
      <c r="K67">
        <v>24</v>
      </c>
      <c r="L67">
        <v>0.63700000000000001</v>
      </c>
      <c r="M67">
        <v>64</v>
      </c>
      <c r="O67">
        <f t="shared" ref="O67:O130" si="1">L67*K67</f>
        <v>15.288</v>
      </c>
      <c r="Q67">
        <v>24</v>
      </c>
      <c r="R67">
        <v>48</v>
      </c>
      <c r="S67">
        <v>0.63349999999999995</v>
      </c>
      <c r="T67">
        <v>81</v>
      </c>
      <c r="AE67">
        <v>26</v>
      </c>
      <c r="AF67">
        <v>6</v>
      </c>
      <c r="AG67">
        <v>0.53</v>
      </c>
      <c r="AH67">
        <v>47</v>
      </c>
      <c r="AK67">
        <v>27</v>
      </c>
      <c r="AM67">
        <v>54.358974358974358</v>
      </c>
      <c r="AQ67">
        <v>0.77999999999999992</v>
      </c>
      <c r="AS67">
        <v>54.358974358974358</v>
      </c>
    </row>
    <row r="68" spans="1:47" x14ac:dyDescent="0.2">
      <c r="A68">
        <v>19</v>
      </c>
      <c r="B68" t="s">
        <v>307</v>
      </c>
      <c r="C68">
        <v>36</v>
      </c>
      <c r="D68">
        <v>0.42466666666666669</v>
      </c>
      <c r="E68" t="s">
        <v>43</v>
      </c>
      <c r="F68">
        <v>68</v>
      </c>
      <c r="G68" t="s">
        <v>43</v>
      </c>
      <c r="J68">
        <v>19</v>
      </c>
      <c r="K68">
        <v>36</v>
      </c>
      <c r="L68">
        <v>0.42466666666666669</v>
      </c>
      <c r="M68">
        <v>68</v>
      </c>
      <c r="O68">
        <f t="shared" si="1"/>
        <v>15.288</v>
      </c>
      <c r="Q68">
        <v>24</v>
      </c>
      <c r="R68">
        <v>96</v>
      </c>
      <c r="S68">
        <v>0.31674999999999998</v>
      </c>
      <c r="T68">
        <v>82</v>
      </c>
      <c r="AE68">
        <v>26</v>
      </c>
      <c r="AF68">
        <v>6</v>
      </c>
      <c r="AG68">
        <v>0.53</v>
      </c>
      <c r="AH68">
        <v>62</v>
      </c>
      <c r="AK68">
        <v>27</v>
      </c>
      <c r="AM68">
        <v>65.100671140939596</v>
      </c>
      <c r="AQ68">
        <v>1.1919999999999999</v>
      </c>
      <c r="AS68">
        <v>65.100671140939596</v>
      </c>
    </row>
    <row r="69" spans="1:47" x14ac:dyDescent="0.2">
      <c r="A69">
        <v>19.149999999999999</v>
      </c>
      <c r="B69" t="s">
        <v>43</v>
      </c>
      <c r="C69">
        <v>8</v>
      </c>
      <c r="D69">
        <v>1.026</v>
      </c>
      <c r="E69">
        <v>66</v>
      </c>
      <c r="F69">
        <v>66</v>
      </c>
      <c r="G69" t="s">
        <v>43</v>
      </c>
      <c r="J69">
        <v>19.149999999999999</v>
      </c>
      <c r="K69">
        <v>8</v>
      </c>
      <c r="L69">
        <v>1.026</v>
      </c>
      <c r="M69">
        <v>66</v>
      </c>
      <c r="O69">
        <f t="shared" si="1"/>
        <v>8.2080000000000002</v>
      </c>
      <c r="Q69">
        <v>24.3</v>
      </c>
      <c r="R69">
        <v>5.9</v>
      </c>
      <c r="S69">
        <v>1.7</v>
      </c>
      <c r="T69">
        <v>54</v>
      </c>
      <c r="AE69">
        <v>26.5</v>
      </c>
      <c r="AF69">
        <v>6</v>
      </c>
      <c r="AG69">
        <v>0.87</v>
      </c>
      <c r="AH69">
        <v>70</v>
      </c>
      <c r="AK69">
        <v>27</v>
      </c>
      <c r="AM69">
        <v>61.621621621621628</v>
      </c>
      <c r="AQ69">
        <v>2.2199999999999998</v>
      </c>
      <c r="AS69">
        <v>61.621621621621628</v>
      </c>
    </row>
    <row r="70" spans="1:47" x14ac:dyDescent="0.2">
      <c r="A70">
        <v>19.5</v>
      </c>
      <c r="B70">
        <v>1.25</v>
      </c>
      <c r="C70">
        <v>7</v>
      </c>
      <c r="D70">
        <v>1.3782857142857143</v>
      </c>
      <c r="E70">
        <v>87</v>
      </c>
      <c r="F70">
        <v>72</v>
      </c>
      <c r="G70" t="s">
        <v>43</v>
      </c>
      <c r="J70">
        <v>19.5</v>
      </c>
      <c r="K70">
        <v>7</v>
      </c>
      <c r="L70">
        <v>1.3782857142857143</v>
      </c>
      <c r="M70">
        <v>72</v>
      </c>
      <c r="O70">
        <f t="shared" si="1"/>
        <v>9.6479999999999997</v>
      </c>
      <c r="Q70">
        <v>24.3</v>
      </c>
      <c r="R70">
        <v>13.6</v>
      </c>
      <c r="S70">
        <v>1.54</v>
      </c>
      <c r="T70">
        <v>65.012406947890824</v>
      </c>
      <c r="AE70">
        <v>26.5</v>
      </c>
      <c r="AF70">
        <v>6</v>
      </c>
      <c r="AG70">
        <v>0.87</v>
      </c>
      <c r="AH70">
        <v>82</v>
      </c>
      <c r="AK70">
        <v>27</v>
      </c>
      <c r="AM70">
        <v>57.965686274509807</v>
      </c>
      <c r="AQ70">
        <v>3.2640000000000002</v>
      </c>
      <c r="AS70">
        <v>57.965686274509807</v>
      </c>
    </row>
    <row r="71" spans="1:47" x14ac:dyDescent="0.2">
      <c r="A71">
        <v>19.5</v>
      </c>
      <c r="B71" t="s">
        <v>43</v>
      </c>
      <c r="C71">
        <v>9.6999999999999993</v>
      </c>
      <c r="D71">
        <v>0.99463917525773216</v>
      </c>
      <c r="E71">
        <v>68</v>
      </c>
      <c r="F71">
        <v>64</v>
      </c>
      <c r="G71" t="s">
        <v>43</v>
      </c>
      <c r="J71">
        <v>19.5</v>
      </c>
      <c r="K71">
        <v>9.6999999999999993</v>
      </c>
      <c r="L71">
        <v>0.99463917525773216</v>
      </c>
      <c r="M71">
        <v>64</v>
      </c>
      <c r="O71">
        <f t="shared" si="1"/>
        <v>9.6480000000000015</v>
      </c>
      <c r="Q71">
        <v>25</v>
      </c>
      <c r="R71">
        <v>4</v>
      </c>
      <c r="S71">
        <v>2.238</v>
      </c>
      <c r="T71">
        <v>44.029850746268657</v>
      </c>
      <c r="AE71">
        <v>27</v>
      </c>
      <c r="AF71">
        <v>6</v>
      </c>
      <c r="AG71">
        <v>0.36800000000000005</v>
      </c>
      <c r="AH71">
        <v>53.260869565217398</v>
      </c>
      <c r="AK71">
        <v>28</v>
      </c>
      <c r="AM71">
        <v>79.839786381842458</v>
      </c>
      <c r="AQ71">
        <v>2.9960000000000004</v>
      </c>
      <c r="AS71">
        <v>79.839786381842458</v>
      </c>
    </row>
    <row r="72" spans="1:47" x14ac:dyDescent="0.2">
      <c r="A72">
        <v>20</v>
      </c>
      <c r="B72" t="s">
        <v>43</v>
      </c>
      <c r="C72">
        <v>3.2</v>
      </c>
      <c r="D72">
        <v>2.6</v>
      </c>
      <c r="E72">
        <v>34</v>
      </c>
      <c r="F72">
        <v>19.941348973607038</v>
      </c>
      <c r="G72" t="s">
        <v>43</v>
      </c>
      <c r="J72">
        <v>20</v>
      </c>
      <c r="K72">
        <v>3.2</v>
      </c>
      <c r="L72">
        <v>2.6</v>
      </c>
      <c r="M72">
        <v>19.941348973607038</v>
      </c>
      <c r="O72">
        <f t="shared" si="1"/>
        <v>8.32</v>
      </c>
      <c r="Q72">
        <v>25</v>
      </c>
      <c r="R72">
        <v>4</v>
      </c>
      <c r="S72">
        <v>3.516</v>
      </c>
      <c r="T72">
        <v>44.573643410852718</v>
      </c>
      <c r="AE72">
        <v>27</v>
      </c>
      <c r="AF72">
        <v>6</v>
      </c>
      <c r="AG72">
        <v>0.77999999999999992</v>
      </c>
      <c r="AH72">
        <v>54.358974358974358</v>
      </c>
      <c r="AK72">
        <v>28.5</v>
      </c>
      <c r="AM72">
        <v>64</v>
      </c>
      <c r="AQ72">
        <v>2.4</v>
      </c>
      <c r="AS72">
        <v>64</v>
      </c>
    </row>
    <row r="73" spans="1:47" x14ac:dyDescent="0.2">
      <c r="A73">
        <v>20</v>
      </c>
      <c r="B73">
        <v>0.7</v>
      </c>
      <c r="C73">
        <v>4</v>
      </c>
      <c r="D73">
        <v>2.544</v>
      </c>
      <c r="E73">
        <v>69.148936170212778</v>
      </c>
      <c r="F73">
        <v>60.141509433962256</v>
      </c>
      <c r="G73" t="s">
        <v>43</v>
      </c>
      <c r="J73">
        <v>20</v>
      </c>
      <c r="K73">
        <v>4</v>
      </c>
      <c r="L73">
        <v>2.544</v>
      </c>
      <c r="M73">
        <v>60.141509433962256</v>
      </c>
      <c r="O73">
        <f t="shared" si="1"/>
        <v>10.176</v>
      </c>
      <c r="Q73">
        <v>25</v>
      </c>
      <c r="R73">
        <v>4</v>
      </c>
      <c r="S73">
        <v>3.516</v>
      </c>
      <c r="T73">
        <v>44.961240310077521</v>
      </c>
      <c r="AE73">
        <v>27</v>
      </c>
      <c r="AF73">
        <v>6</v>
      </c>
      <c r="AG73">
        <v>1.1919999999999999</v>
      </c>
      <c r="AH73">
        <v>65.100671140939596</v>
      </c>
      <c r="AK73">
        <v>19</v>
      </c>
      <c r="AM73">
        <v>51.530035335689043</v>
      </c>
      <c r="AQ73">
        <v>0.6</v>
      </c>
      <c r="AS73">
        <v>51.530035335689043</v>
      </c>
    </row>
    <row r="74" spans="1:47" x14ac:dyDescent="0.2">
      <c r="A74">
        <v>20</v>
      </c>
      <c r="B74" t="s">
        <v>43</v>
      </c>
      <c r="C74">
        <v>6</v>
      </c>
      <c r="D74">
        <v>1.83</v>
      </c>
      <c r="E74" t="s">
        <v>43</v>
      </c>
      <c r="F74">
        <v>70</v>
      </c>
      <c r="G74" t="s">
        <v>43</v>
      </c>
      <c r="J74">
        <v>20</v>
      </c>
      <c r="K74">
        <v>6</v>
      </c>
      <c r="L74">
        <v>1.2</v>
      </c>
      <c r="M74">
        <v>70</v>
      </c>
      <c r="O74">
        <f t="shared" si="1"/>
        <v>7.1999999999999993</v>
      </c>
      <c r="Q74">
        <v>25</v>
      </c>
      <c r="R74">
        <v>5.5</v>
      </c>
      <c r="S74" t="s">
        <v>43</v>
      </c>
      <c r="T74">
        <v>74</v>
      </c>
      <c r="AE74">
        <v>27</v>
      </c>
      <c r="AF74">
        <v>6</v>
      </c>
      <c r="AG74">
        <v>2.2199999999999998</v>
      </c>
      <c r="AH74">
        <v>61.621621621621628</v>
      </c>
      <c r="AK74">
        <v>16.399999999999999</v>
      </c>
      <c r="AO74">
        <v>38</v>
      </c>
      <c r="AQ74">
        <v>1.51</v>
      </c>
      <c r="AU74">
        <v>38</v>
      </c>
    </row>
    <row r="75" spans="1:47" x14ac:dyDescent="0.2">
      <c r="A75">
        <v>20</v>
      </c>
      <c r="B75" t="s">
        <v>43</v>
      </c>
      <c r="C75">
        <v>6</v>
      </c>
      <c r="D75">
        <v>2</v>
      </c>
      <c r="E75" t="s">
        <v>43</v>
      </c>
      <c r="F75">
        <v>75</v>
      </c>
      <c r="G75" t="s">
        <v>43</v>
      </c>
      <c r="J75">
        <v>20</v>
      </c>
      <c r="K75">
        <v>6</v>
      </c>
      <c r="L75">
        <v>1.83</v>
      </c>
      <c r="M75">
        <v>70</v>
      </c>
      <c r="O75">
        <f t="shared" si="1"/>
        <v>10.98</v>
      </c>
      <c r="Q75">
        <v>25</v>
      </c>
      <c r="R75">
        <v>6</v>
      </c>
      <c r="S75">
        <v>1.4920000000000002</v>
      </c>
      <c r="T75">
        <v>47.014925373134332</v>
      </c>
      <c r="AE75">
        <v>27</v>
      </c>
      <c r="AF75">
        <v>6</v>
      </c>
      <c r="AG75">
        <v>3.2640000000000002</v>
      </c>
      <c r="AH75">
        <v>57.965686274509807</v>
      </c>
      <c r="AK75">
        <v>23</v>
      </c>
      <c r="AO75">
        <v>50</v>
      </c>
      <c r="AQ75">
        <v>1.4</v>
      </c>
      <c r="AU75">
        <v>50</v>
      </c>
    </row>
    <row r="76" spans="1:47" x14ac:dyDescent="0.2">
      <c r="A76">
        <v>20</v>
      </c>
      <c r="B76" t="s">
        <v>43</v>
      </c>
      <c r="C76">
        <v>6</v>
      </c>
      <c r="D76">
        <v>2</v>
      </c>
      <c r="E76" t="s">
        <v>43</v>
      </c>
      <c r="F76">
        <v>70</v>
      </c>
      <c r="G76" t="s">
        <v>43</v>
      </c>
      <c r="J76">
        <v>20</v>
      </c>
      <c r="K76">
        <v>6</v>
      </c>
      <c r="L76">
        <v>2</v>
      </c>
      <c r="M76">
        <v>70</v>
      </c>
      <c r="O76">
        <f t="shared" si="1"/>
        <v>12</v>
      </c>
      <c r="Q76">
        <v>25</v>
      </c>
      <c r="R76">
        <v>6</v>
      </c>
      <c r="S76">
        <v>1.5719999999999998</v>
      </c>
      <c r="T76">
        <v>61</v>
      </c>
      <c r="AE76">
        <v>28</v>
      </c>
      <c r="AF76">
        <v>6</v>
      </c>
      <c r="AG76">
        <v>2.9960000000000004</v>
      </c>
      <c r="AH76">
        <v>79.839786381842458</v>
      </c>
      <c r="AK76">
        <v>15</v>
      </c>
      <c r="AO76">
        <v>82.5</v>
      </c>
      <c r="AQ76">
        <v>0.41</v>
      </c>
      <c r="AU76">
        <v>82.5</v>
      </c>
    </row>
    <row r="77" spans="1:47" x14ac:dyDescent="0.2">
      <c r="A77">
        <v>20</v>
      </c>
      <c r="B77" t="s">
        <v>43</v>
      </c>
      <c r="C77">
        <v>6</v>
      </c>
      <c r="D77">
        <v>2</v>
      </c>
      <c r="E77" t="s">
        <v>43</v>
      </c>
      <c r="F77">
        <v>75</v>
      </c>
      <c r="G77" t="s">
        <v>43</v>
      </c>
      <c r="J77">
        <v>20</v>
      </c>
      <c r="K77">
        <v>6</v>
      </c>
      <c r="L77">
        <v>2</v>
      </c>
      <c r="M77">
        <v>75</v>
      </c>
      <c r="O77">
        <f t="shared" si="1"/>
        <v>12</v>
      </c>
      <c r="Q77">
        <v>25</v>
      </c>
      <c r="R77">
        <v>6</v>
      </c>
      <c r="S77">
        <v>2.2520000000000002</v>
      </c>
      <c r="T77">
        <v>67.942583732057415</v>
      </c>
      <c r="AE77">
        <v>28.5</v>
      </c>
      <c r="AF77">
        <v>6</v>
      </c>
      <c r="AG77">
        <v>2.4</v>
      </c>
      <c r="AH77">
        <v>64</v>
      </c>
      <c r="AK77">
        <v>15</v>
      </c>
      <c r="AO77">
        <v>26</v>
      </c>
      <c r="AQ77">
        <v>1.38</v>
      </c>
      <c r="AU77">
        <v>26</v>
      </c>
    </row>
    <row r="78" spans="1:47" x14ac:dyDescent="0.2">
      <c r="A78">
        <v>20</v>
      </c>
      <c r="B78" t="s">
        <v>43</v>
      </c>
      <c r="C78">
        <v>6</v>
      </c>
      <c r="D78">
        <v>1.2</v>
      </c>
      <c r="E78" t="s">
        <v>43</v>
      </c>
      <c r="F78">
        <v>70</v>
      </c>
      <c r="G78" t="s">
        <v>43</v>
      </c>
      <c r="J78">
        <v>20</v>
      </c>
      <c r="K78">
        <v>6</v>
      </c>
      <c r="L78">
        <v>2</v>
      </c>
      <c r="M78">
        <v>75</v>
      </c>
      <c r="O78">
        <f t="shared" si="1"/>
        <v>12</v>
      </c>
      <c r="Q78">
        <v>25</v>
      </c>
      <c r="R78">
        <v>6</v>
      </c>
      <c r="S78">
        <v>2.2520000000000002</v>
      </c>
      <c r="T78">
        <v>68.899521531100476</v>
      </c>
      <c r="AE78">
        <v>19</v>
      </c>
      <c r="AF78">
        <v>6</v>
      </c>
      <c r="AG78">
        <v>0.6</v>
      </c>
      <c r="AH78">
        <v>51.530035335689043</v>
      </c>
      <c r="AK78">
        <v>16.399999999999999</v>
      </c>
      <c r="AO78">
        <v>41</v>
      </c>
      <c r="AQ78">
        <v>1.45</v>
      </c>
      <c r="AU78">
        <v>41</v>
      </c>
    </row>
    <row r="79" spans="1:47" x14ac:dyDescent="0.2">
      <c r="A79">
        <v>20</v>
      </c>
      <c r="B79" t="s">
        <v>43</v>
      </c>
      <c r="C79">
        <v>6.6</v>
      </c>
      <c r="D79">
        <v>1.8</v>
      </c>
      <c r="E79" t="s">
        <v>43</v>
      </c>
      <c r="F79">
        <v>95</v>
      </c>
      <c r="G79" t="s">
        <v>43</v>
      </c>
      <c r="J79">
        <v>20</v>
      </c>
      <c r="K79">
        <v>6.6</v>
      </c>
      <c r="L79">
        <v>1.8</v>
      </c>
      <c r="M79">
        <v>95</v>
      </c>
      <c r="O79">
        <f t="shared" si="1"/>
        <v>11.879999999999999</v>
      </c>
      <c r="Q79">
        <v>25</v>
      </c>
      <c r="R79">
        <v>6</v>
      </c>
      <c r="S79">
        <v>2.2520000000000002</v>
      </c>
      <c r="T79">
        <v>74.401913875598098</v>
      </c>
      <c r="AK79">
        <v>19</v>
      </c>
      <c r="AO79">
        <v>64</v>
      </c>
      <c r="AQ79">
        <v>0.63700000000000001</v>
      </c>
      <c r="AU79">
        <v>64</v>
      </c>
    </row>
    <row r="80" spans="1:47" x14ac:dyDescent="0.2">
      <c r="A80">
        <v>20</v>
      </c>
      <c r="B80" t="s">
        <v>43</v>
      </c>
      <c r="C80">
        <v>7</v>
      </c>
      <c r="D80">
        <v>2.04</v>
      </c>
      <c r="E80" t="s">
        <v>43</v>
      </c>
      <c r="F80">
        <v>90</v>
      </c>
      <c r="G80" t="s">
        <v>43</v>
      </c>
      <c r="J80">
        <v>20</v>
      </c>
      <c r="K80">
        <v>7</v>
      </c>
      <c r="L80">
        <v>2.04</v>
      </c>
      <c r="M80">
        <v>90</v>
      </c>
      <c r="O80">
        <f t="shared" si="1"/>
        <v>14.280000000000001</v>
      </c>
      <c r="Q80">
        <v>25</v>
      </c>
      <c r="R80">
        <v>6.2</v>
      </c>
      <c r="S80">
        <v>0.9987096774193549</v>
      </c>
      <c r="T80">
        <v>67.256637168141594</v>
      </c>
      <c r="AK80">
        <v>23</v>
      </c>
      <c r="AO80">
        <v>70</v>
      </c>
      <c r="AQ80">
        <v>0.53900000000000003</v>
      </c>
      <c r="AU80">
        <v>70</v>
      </c>
    </row>
    <row r="81" spans="1:47" x14ac:dyDescent="0.2">
      <c r="A81">
        <v>20</v>
      </c>
      <c r="B81" t="s">
        <v>43</v>
      </c>
      <c r="C81">
        <v>8</v>
      </c>
      <c r="D81">
        <v>0.8</v>
      </c>
      <c r="E81" t="s">
        <v>43</v>
      </c>
      <c r="F81">
        <v>70</v>
      </c>
      <c r="G81" t="s">
        <v>43</v>
      </c>
      <c r="J81">
        <v>20</v>
      </c>
      <c r="K81">
        <v>8</v>
      </c>
      <c r="L81">
        <v>0.75</v>
      </c>
      <c r="M81">
        <v>70</v>
      </c>
      <c r="O81">
        <f t="shared" si="1"/>
        <v>6</v>
      </c>
      <c r="Q81">
        <v>25</v>
      </c>
      <c r="R81">
        <v>7.5</v>
      </c>
      <c r="S81">
        <v>0.62079999999999991</v>
      </c>
      <c r="T81">
        <v>62.637362637362635</v>
      </c>
      <c r="AE81">
        <v>16.399999999999999</v>
      </c>
      <c r="AF81">
        <v>23</v>
      </c>
      <c r="AG81">
        <v>1.51</v>
      </c>
      <c r="AH81">
        <v>38</v>
      </c>
      <c r="AK81">
        <v>25</v>
      </c>
      <c r="AO81">
        <v>30</v>
      </c>
      <c r="AQ81">
        <v>0.14000000000000001</v>
      </c>
      <c r="AU81">
        <v>30</v>
      </c>
    </row>
    <row r="82" spans="1:47" x14ac:dyDescent="0.2">
      <c r="A82">
        <v>20</v>
      </c>
      <c r="B82" t="s">
        <v>43</v>
      </c>
      <c r="C82">
        <v>8</v>
      </c>
      <c r="D82">
        <v>0.8</v>
      </c>
      <c r="E82" t="s">
        <v>43</v>
      </c>
      <c r="F82">
        <v>70</v>
      </c>
      <c r="G82" t="s">
        <v>43</v>
      </c>
      <c r="J82">
        <v>20</v>
      </c>
      <c r="K82">
        <v>8</v>
      </c>
      <c r="L82">
        <v>0.8</v>
      </c>
      <c r="M82">
        <v>70</v>
      </c>
      <c r="O82">
        <f t="shared" si="1"/>
        <v>6.4</v>
      </c>
      <c r="Q82">
        <v>25</v>
      </c>
      <c r="R82">
        <v>8.8000000000000007</v>
      </c>
      <c r="S82">
        <v>1.780909090909091</v>
      </c>
      <c r="T82">
        <v>27</v>
      </c>
      <c r="AE82">
        <v>23</v>
      </c>
      <c r="AF82">
        <v>23</v>
      </c>
      <c r="AG82">
        <v>1.4</v>
      </c>
      <c r="AH82">
        <v>50</v>
      </c>
      <c r="AK82">
        <v>26</v>
      </c>
      <c r="AO82">
        <v>77</v>
      </c>
      <c r="AQ82">
        <v>0.24299999999999999</v>
      </c>
      <c r="AU82">
        <v>77</v>
      </c>
    </row>
    <row r="83" spans="1:47" x14ac:dyDescent="0.2">
      <c r="A83">
        <v>20</v>
      </c>
      <c r="B83" t="s">
        <v>43</v>
      </c>
      <c r="C83">
        <v>8</v>
      </c>
      <c r="D83">
        <v>0.8</v>
      </c>
      <c r="E83" t="s">
        <v>43</v>
      </c>
      <c r="F83">
        <v>70</v>
      </c>
      <c r="G83" t="s">
        <v>43</v>
      </c>
      <c r="J83">
        <v>20</v>
      </c>
      <c r="K83">
        <v>8</v>
      </c>
      <c r="L83">
        <v>0.8</v>
      </c>
      <c r="M83">
        <v>70</v>
      </c>
      <c r="O83">
        <f t="shared" si="1"/>
        <v>6.4</v>
      </c>
      <c r="Q83">
        <v>25</v>
      </c>
      <c r="R83">
        <v>9.5</v>
      </c>
      <c r="S83">
        <v>2.0715789473684212</v>
      </c>
      <c r="T83">
        <v>8.1999999999999993</v>
      </c>
      <c r="AE83">
        <v>15</v>
      </c>
      <c r="AF83">
        <v>24</v>
      </c>
      <c r="AG83">
        <v>0.41</v>
      </c>
      <c r="AH83">
        <v>82.5</v>
      </c>
      <c r="AK83">
        <v>32</v>
      </c>
      <c r="AO83">
        <v>57</v>
      </c>
      <c r="AQ83">
        <v>0.31799999999999995</v>
      </c>
      <c r="AU83">
        <v>57</v>
      </c>
    </row>
    <row r="84" spans="1:47" x14ac:dyDescent="0.2">
      <c r="A84">
        <v>20</v>
      </c>
      <c r="B84" t="s">
        <v>43</v>
      </c>
      <c r="C84">
        <v>8</v>
      </c>
      <c r="D84">
        <v>0.75</v>
      </c>
      <c r="E84" t="s">
        <v>43</v>
      </c>
      <c r="F84">
        <v>70</v>
      </c>
      <c r="G84" t="s">
        <v>43</v>
      </c>
      <c r="J84">
        <v>20</v>
      </c>
      <c r="K84">
        <v>8</v>
      </c>
      <c r="L84">
        <v>0.8</v>
      </c>
      <c r="M84">
        <v>70</v>
      </c>
      <c r="O84">
        <f t="shared" si="1"/>
        <v>6.4</v>
      </c>
      <c r="Q84">
        <v>25</v>
      </c>
      <c r="R84">
        <v>10.5</v>
      </c>
      <c r="S84">
        <v>1.7028571428571431</v>
      </c>
      <c r="T84">
        <v>55</v>
      </c>
      <c r="Y84">
        <v>28</v>
      </c>
      <c r="Z84">
        <v>6.1</v>
      </c>
      <c r="AA84">
        <v>0.73967213114754105</v>
      </c>
      <c r="AB84">
        <v>55.851063829787229</v>
      </c>
      <c r="AE84">
        <v>15</v>
      </c>
      <c r="AF84">
        <v>24</v>
      </c>
      <c r="AG84">
        <v>1.38</v>
      </c>
      <c r="AH84">
        <v>26</v>
      </c>
      <c r="AK84">
        <v>32</v>
      </c>
      <c r="AO84">
        <v>57.9</v>
      </c>
      <c r="AQ84">
        <v>0.31799999999999995</v>
      </c>
      <c r="AU84">
        <v>57.9</v>
      </c>
    </row>
    <row r="85" spans="1:47" x14ac:dyDescent="0.2">
      <c r="A85">
        <v>20</v>
      </c>
      <c r="C85">
        <v>9.1</v>
      </c>
      <c r="D85">
        <v>0.92</v>
      </c>
      <c r="E85">
        <v>78</v>
      </c>
      <c r="F85">
        <v>54.700854700854705</v>
      </c>
      <c r="G85" t="s">
        <v>43</v>
      </c>
      <c r="J85">
        <v>20</v>
      </c>
      <c r="K85">
        <v>9.1</v>
      </c>
      <c r="L85">
        <v>0.92</v>
      </c>
      <c r="M85">
        <v>54.700854700854705</v>
      </c>
      <c r="O85">
        <f t="shared" si="1"/>
        <v>8.3719999999999999</v>
      </c>
      <c r="Q85">
        <v>25</v>
      </c>
      <c r="R85">
        <v>11.2</v>
      </c>
      <c r="S85">
        <v>1.4121428571428571</v>
      </c>
      <c r="T85">
        <v>42</v>
      </c>
      <c r="Y85">
        <v>25</v>
      </c>
      <c r="Z85">
        <v>6.2</v>
      </c>
      <c r="AA85">
        <v>0.9987096774193549</v>
      </c>
      <c r="AB85">
        <v>60.077519379844958</v>
      </c>
      <c r="AE85">
        <v>16.399999999999999</v>
      </c>
      <c r="AF85">
        <v>24</v>
      </c>
      <c r="AG85">
        <v>1.45</v>
      </c>
      <c r="AH85">
        <v>41</v>
      </c>
      <c r="AK85">
        <v>18</v>
      </c>
      <c r="AO85">
        <v>51</v>
      </c>
      <c r="AQ85">
        <v>1.5</v>
      </c>
      <c r="AU85">
        <v>51</v>
      </c>
    </row>
    <row r="86" spans="1:47" x14ac:dyDescent="0.2">
      <c r="A86">
        <v>20</v>
      </c>
      <c r="C86">
        <v>9.5</v>
      </c>
      <c r="D86">
        <v>0.92</v>
      </c>
      <c r="E86">
        <v>74</v>
      </c>
      <c r="F86">
        <v>58.677685950413228</v>
      </c>
      <c r="G86" t="s">
        <v>43</v>
      </c>
      <c r="J86">
        <v>20</v>
      </c>
      <c r="K86">
        <v>9.5</v>
      </c>
      <c r="L86">
        <v>0.92</v>
      </c>
      <c r="M86">
        <v>58.677685950413228</v>
      </c>
      <c r="O86">
        <f t="shared" si="1"/>
        <v>8.74</v>
      </c>
      <c r="Q86">
        <v>25</v>
      </c>
      <c r="R86">
        <v>13</v>
      </c>
      <c r="S86">
        <v>1.3956923076923078</v>
      </c>
      <c r="T86">
        <v>67</v>
      </c>
      <c r="Y86">
        <v>20</v>
      </c>
      <c r="Z86">
        <v>6.6</v>
      </c>
      <c r="AA86">
        <v>1.8</v>
      </c>
      <c r="AB86">
        <v>95</v>
      </c>
      <c r="AE86">
        <v>19</v>
      </c>
      <c r="AF86">
        <v>24</v>
      </c>
      <c r="AG86">
        <v>0.63700000000000001</v>
      </c>
      <c r="AH86">
        <v>64</v>
      </c>
      <c r="AK86">
        <v>20</v>
      </c>
      <c r="AO86">
        <v>75.161290322580655</v>
      </c>
      <c r="AQ86">
        <v>0.38</v>
      </c>
      <c r="AU86">
        <v>75.161290322580655</v>
      </c>
    </row>
    <row r="87" spans="1:47" x14ac:dyDescent="0.2">
      <c r="A87">
        <v>20</v>
      </c>
      <c r="C87">
        <v>9.6</v>
      </c>
      <c r="D87">
        <v>1.1100000000000001</v>
      </c>
      <c r="E87">
        <v>71</v>
      </c>
      <c r="F87">
        <v>48.648648648648653</v>
      </c>
      <c r="G87" t="s">
        <v>43</v>
      </c>
      <c r="J87">
        <v>20</v>
      </c>
      <c r="K87">
        <v>9.6</v>
      </c>
      <c r="L87">
        <v>1.1100000000000001</v>
      </c>
      <c r="M87">
        <v>48.648648648648653</v>
      </c>
      <c r="O87">
        <f t="shared" si="1"/>
        <v>10.656000000000001</v>
      </c>
      <c r="Q87">
        <v>25</v>
      </c>
      <c r="R87">
        <v>16</v>
      </c>
      <c r="S87">
        <v>1.3884000000000001</v>
      </c>
      <c r="T87">
        <v>76</v>
      </c>
      <c r="Y87">
        <v>12</v>
      </c>
      <c r="Z87">
        <v>7</v>
      </c>
      <c r="AA87">
        <v>2.4000000000000004</v>
      </c>
      <c r="AB87">
        <v>70.428571428571431</v>
      </c>
      <c r="AE87">
        <v>23</v>
      </c>
      <c r="AF87">
        <v>24</v>
      </c>
      <c r="AG87">
        <v>0.53900000000000003</v>
      </c>
      <c r="AH87">
        <v>70</v>
      </c>
      <c r="AK87">
        <v>22</v>
      </c>
      <c r="AO87">
        <v>58</v>
      </c>
      <c r="AQ87">
        <v>1.5</v>
      </c>
      <c r="AU87">
        <v>58</v>
      </c>
    </row>
    <row r="88" spans="1:47" x14ac:dyDescent="0.2">
      <c r="A88">
        <v>20</v>
      </c>
      <c r="B88" t="s">
        <v>43</v>
      </c>
      <c r="C88">
        <v>10</v>
      </c>
      <c r="D88">
        <v>1.05</v>
      </c>
      <c r="E88" t="s">
        <v>43</v>
      </c>
      <c r="F88">
        <v>84.352941176470594</v>
      </c>
      <c r="G88" t="s">
        <v>43</v>
      </c>
      <c r="J88">
        <v>20</v>
      </c>
      <c r="K88">
        <v>10</v>
      </c>
      <c r="L88">
        <v>1.05</v>
      </c>
      <c r="M88">
        <v>84.352941176470594</v>
      </c>
      <c r="O88">
        <f t="shared" si="1"/>
        <v>10.5</v>
      </c>
      <c r="Q88">
        <v>25</v>
      </c>
      <c r="R88">
        <v>16</v>
      </c>
      <c r="S88">
        <v>1.3884000000000001</v>
      </c>
      <c r="T88">
        <v>79</v>
      </c>
      <c r="Y88">
        <v>12</v>
      </c>
      <c r="Z88">
        <v>7</v>
      </c>
      <c r="AA88">
        <v>2.4000000000000004</v>
      </c>
      <c r="AB88">
        <v>71.142857142857139</v>
      </c>
      <c r="AE88">
        <v>25</v>
      </c>
      <c r="AF88">
        <v>24</v>
      </c>
      <c r="AG88">
        <v>0.14000000000000001</v>
      </c>
      <c r="AH88">
        <v>30</v>
      </c>
      <c r="AK88">
        <v>25</v>
      </c>
      <c r="AO88">
        <v>62</v>
      </c>
      <c r="AQ88">
        <v>1.5</v>
      </c>
      <c r="AU88">
        <v>62</v>
      </c>
    </row>
    <row r="89" spans="1:47" x14ac:dyDescent="0.2">
      <c r="A89">
        <v>20</v>
      </c>
      <c r="C89">
        <v>10.4</v>
      </c>
      <c r="D89">
        <v>0.9</v>
      </c>
      <c r="E89">
        <v>9</v>
      </c>
      <c r="F89">
        <v>61.989795918367349</v>
      </c>
      <c r="G89" t="s">
        <v>43</v>
      </c>
      <c r="J89">
        <v>20</v>
      </c>
      <c r="K89">
        <v>10.4</v>
      </c>
      <c r="L89">
        <v>0.9</v>
      </c>
      <c r="M89">
        <v>61.989795918367349</v>
      </c>
      <c r="O89">
        <f t="shared" si="1"/>
        <v>9.3600000000000012</v>
      </c>
      <c r="Q89">
        <v>25</v>
      </c>
      <c r="R89">
        <v>25</v>
      </c>
      <c r="S89" t="s">
        <v>356</v>
      </c>
      <c r="T89">
        <v>60</v>
      </c>
      <c r="Y89">
        <v>19.5</v>
      </c>
      <c r="Z89">
        <v>7</v>
      </c>
      <c r="AA89">
        <v>1.3782857142857143</v>
      </c>
      <c r="AB89">
        <v>72</v>
      </c>
      <c r="AE89">
        <v>26</v>
      </c>
      <c r="AF89">
        <v>24</v>
      </c>
      <c r="AG89">
        <v>0.24299999999999999</v>
      </c>
      <c r="AH89">
        <v>77</v>
      </c>
      <c r="AK89">
        <v>28.1</v>
      </c>
      <c r="AO89">
        <v>59.574468085106382</v>
      </c>
      <c r="AQ89">
        <v>0.18</v>
      </c>
      <c r="AU89">
        <v>59.574468085106382</v>
      </c>
    </row>
    <row r="90" spans="1:47" x14ac:dyDescent="0.2">
      <c r="A90">
        <v>20</v>
      </c>
      <c r="B90" t="s">
        <v>43</v>
      </c>
      <c r="C90">
        <v>12</v>
      </c>
      <c r="D90">
        <v>0.4</v>
      </c>
      <c r="E90" t="s">
        <v>43</v>
      </c>
      <c r="F90" t="s">
        <v>208</v>
      </c>
      <c r="G90" t="s">
        <v>43</v>
      </c>
      <c r="J90">
        <v>20</v>
      </c>
      <c r="K90">
        <v>12.3</v>
      </c>
      <c r="L90">
        <v>0.43</v>
      </c>
      <c r="M90">
        <v>45.662100456621005</v>
      </c>
      <c r="O90">
        <f t="shared" si="1"/>
        <v>5.2890000000000006</v>
      </c>
      <c r="Q90">
        <v>25.5</v>
      </c>
      <c r="R90">
        <v>8</v>
      </c>
      <c r="S90">
        <v>2</v>
      </c>
      <c r="T90">
        <v>68.646864686468646</v>
      </c>
      <c r="Y90">
        <v>20</v>
      </c>
      <c r="Z90">
        <v>7</v>
      </c>
      <c r="AA90">
        <v>2.04</v>
      </c>
      <c r="AB90">
        <v>90</v>
      </c>
      <c r="AE90">
        <v>32</v>
      </c>
      <c r="AF90">
        <v>24</v>
      </c>
      <c r="AG90">
        <v>0.31799999999999995</v>
      </c>
      <c r="AH90">
        <v>57</v>
      </c>
    </row>
    <row r="91" spans="1:47" x14ac:dyDescent="0.2">
      <c r="A91">
        <v>20</v>
      </c>
      <c r="C91">
        <v>12.3</v>
      </c>
      <c r="D91">
        <v>0.43</v>
      </c>
      <c r="E91">
        <v>61</v>
      </c>
      <c r="F91">
        <v>45.662100456621005</v>
      </c>
      <c r="G91" t="s">
        <v>43</v>
      </c>
      <c r="J91">
        <v>20</v>
      </c>
      <c r="K91">
        <v>16</v>
      </c>
      <c r="L91">
        <v>0.6</v>
      </c>
      <c r="M91">
        <v>82.608695652173907</v>
      </c>
      <c r="O91">
        <f t="shared" si="1"/>
        <v>9.6</v>
      </c>
      <c r="Q91">
        <v>25.5</v>
      </c>
      <c r="R91">
        <v>13.7</v>
      </c>
      <c r="S91">
        <v>0.26</v>
      </c>
      <c r="T91">
        <v>88.965517241379317</v>
      </c>
      <c r="Y91">
        <v>22</v>
      </c>
      <c r="Z91">
        <v>7</v>
      </c>
      <c r="AA91">
        <v>1.2822857142857143</v>
      </c>
      <c r="AB91">
        <v>59.358288770053477</v>
      </c>
      <c r="AE91">
        <v>32</v>
      </c>
      <c r="AF91">
        <v>24</v>
      </c>
      <c r="AG91">
        <v>0.31799999999999995</v>
      </c>
      <c r="AH91">
        <v>57.9</v>
      </c>
    </row>
    <row r="92" spans="1:47" x14ac:dyDescent="0.2">
      <c r="A92">
        <v>20</v>
      </c>
      <c r="B92" t="s">
        <v>43</v>
      </c>
      <c r="C92">
        <v>16</v>
      </c>
      <c r="D92">
        <v>0.6</v>
      </c>
      <c r="E92" t="s">
        <v>43</v>
      </c>
      <c r="F92">
        <v>82.608695652173907</v>
      </c>
      <c r="G92" t="s">
        <v>43</v>
      </c>
      <c r="J92">
        <v>20</v>
      </c>
      <c r="K92">
        <v>20</v>
      </c>
      <c r="L92">
        <v>0.46</v>
      </c>
      <c r="M92">
        <v>80.810810810810821</v>
      </c>
      <c r="O92">
        <f t="shared" si="1"/>
        <v>9.2000000000000011</v>
      </c>
      <c r="Q92">
        <v>25.5</v>
      </c>
      <c r="R92">
        <v>72</v>
      </c>
      <c r="S92">
        <v>0.14466666666666669</v>
      </c>
      <c r="T92">
        <v>50.936329588014985</v>
      </c>
      <c r="Y92">
        <v>22</v>
      </c>
      <c r="Z92">
        <v>7.2</v>
      </c>
      <c r="AA92">
        <v>1.5300000000000002</v>
      </c>
      <c r="AB92">
        <v>55.119825708061001</v>
      </c>
      <c r="AE92">
        <v>18</v>
      </c>
      <c r="AF92">
        <v>25</v>
      </c>
      <c r="AG92" t="s">
        <v>356</v>
      </c>
      <c r="AH92">
        <v>51</v>
      </c>
    </row>
    <row r="93" spans="1:47" x14ac:dyDescent="0.2">
      <c r="A93">
        <v>20</v>
      </c>
      <c r="B93" t="s">
        <v>43</v>
      </c>
      <c r="C93">
        <v>20</v>
      </c>
      <c r="D93">
        <v>0.46</v>
      </c>
      <c r="E93" t="s">
        <v>43</v>
      </c>
      <c r="F93">
        <v>80.810810810810821</v>
      </c>
      <c r="G93" t="s">
        <v>43</v>
      </c>
      <c r="J93">
        <v>20</v>
      </c>
      <c r="K93">
        <v>25</v>
      </c>
      <c r="L93">
        <v>0.38</v>
      </c>
      <c r="M93">
        <v>75.161290322580655</v>
      </c>
      <c r="O93">
        <f t="shared" si="1"/>
        <v>9.5</v>
      </c>
      <c r="Q93">
        <v>26</v>
      </c>
      <c r="R93">
        <v>2.7</v>
      </c>
      <c r="S93">
        <v>5.0844444444444434</v>
      </c>
      <c r="T93">
        <v>46.428571428571431</v>
      </c>
      <c r="Y93">
        <v>33</v>
      </c>
      <c r="Z93">
        <v>7.2</v>
      </c>
      <c r="AA93">
        <v>0.77</v>
      </c>
      <c r="AB93">
        <v>77</v>
      </c>
      <c r="AE93">
        <v>20</v>
      </c>
      <c r="AF93">
        <v>25</v>
      </c>
      <c r="AG93">
        <v>0.38</v>
      </c>
      <c r="AH93">
        <v>75.161290322580655</v>
      </c>
    </row>
    <row r="94" spans="1:47" x14ac:dyDescent="0.2">
      <c r="A94">
        <v>20</v>
      </c>
      <c r="B94" t="s">
        <v>43</v>
      </c>
      <c r="C94">
        <v>20.3</v>
      </c>
      <c r="D94">
        <v>0.7</v>
      </c>
      <c r="E94" t="s">
        <v>43</v>
      </c>
      <c r="F94" t="s">
        <v>206</v>
      </c>
      <c r="G94" t="s">
        <v>43</v>
      </c>
      <c r="J94">
        <v>20</v>
      </c>
      <c r="K94">
        <v>30</v>
      </c>
      <c r="L94">
        <v>0.43</v>
      </c>
      <c r="M94">
        <v>70</v>
      </c>
      <c r="O94">
        <f t="shared" si="1"/>
        <v>12.9</v>
      </c>
      <c r="Q94">
        <v>26</v>
      </c>
      <c r="R94">
        <v>2.7</v>
      </c>
      <c r="S94">
        <v>5.0844444444444434</v>
      </c>
      <c r="T94">
        <v>47.5</v>
      </c>
      <c r="Y94">
        <v>25</v>
      </c>
      <c r="Z94">
        <v>7.5</v>
      </c>
      <c r="AA94">
        <v>0.62079999999999991</v>
      </c>
      <c r="AB94">
        <v>54.123711340206185</v>
      </c>
      <c r="AE94">
        <v>22</v>
      </c>
      <c r="AF94">
        <v>25</v>
      </c>
      <c r="AG94" t="s">
        <v>356</v>
      </c>
      <c r="AH94">
        <v>58</v>
      </c>
    </row>
    <row r="95" spans="1:47" x14ac:dyDescent="0.2">
      <c r="A95">
        <v>20</v>
      </c>
      <c r="B95" t="s">
        <v>43</v>
      </c>
      <c r="C95">
        <v>20.3</v>
      </c>
      <c r="D95">
        <v>0.7</v>
      </c>
      <c r="E95" t="s">
        <v>43</v>
      </c>
      <c r="F95" t="s">
        <v>206</v>
      </c>
      <c r="G95" t="s">
        <v>43</v>
      </c>
      <c r="J95">
        <v>20</v>
      </c>
      <c r="K95">
        <v>40</v>
      </c>
      <c r="L95">
        <v>0.3</v>
      </c>
      <c r="M95">
        <v>75.238095238095241</v>
      </c>
      <c r="O95">
        <f t="shared" si="1"/>
        <v>12</v>
      </c>
      <c r="Q95">
        <v>26</v>
      </c>
      <c r="R95">
        <v>4</v>
      </c>
      <c r="S95">
        <v>1.9259999999999997</v>
      </c>
      <c r="T95">
        <v>62</v>
      </c>
      <c r="Y95">
        <v>27.4</v>
      </c>
      <c r="Z95">
        <v>7.5</v>
      </c>
      <c r="AA95">
        <v>1.9903999999999997</v>
      </c>
      <c r="AB95">
        <v>83.60128617363344</v>
      </c>
      <c r="AE95">
        <v>25</v>
      </c>
      <c r="AF95">
        <v>25</v>
      </c>
      <c r="AG95" t="s">
        <v>356</v>
      </c>
      <c r="AH95">
        <v>62</v>
      </c>
    </row>
    <row r="96" spans="1:47" x14ac:dyDescent="0.2">
      <c r="A96">
        <v>20</v>
      </c>
      <c r="B96" t="s">
        <v>43</v>
      </c>
      <c r="C96">
        <v>25</v>
      </c>
      <c r="D96">
        <v>0.38</v>
      </c>
      <c r="E96" t="s">
        <v>43</v>
      </c>
      <c r="F96">
        <v>75.161290322580655</v>
      </c>
      <c r="G96" t="s">
        <v>43</v>
      </c>
      <c r="J96">
        <v>20</v>
      </c>
      <c r="M96">
        <v>88.956397426733375</v>
      </c>
      <c r="O96">
        <f t="shared" si="1"/>
        <v>0</v>
      </c>
      <c r="Q96">
        <v>26</v>
      </c>
      <c r="R96">
        <v>24</v>
      </c>
      <c r="S96">
        <v>0.24299999999999999</v>
      </c>
      <c r="T96">
        <v>86</v>
      </c>
      <c r="Y96">
        <v>27.4</v>
      </c>
      <c r="Z96">
        <v>7.5</v>
      </c>
      <c r="AA96">
        <v>2.0608000000000004</v>
      </c>
      <c r="AB96">
        <v>79.968944099378874</v>
      </c>
      <c r="AE96">
        <v>28.1</v>
      </c>
      <c r="AF96">
        <v>25</v>
      </c>
      <c r="AG96">
        <v>0.18</v>
      </c>
      <c r="AH96">
        <v>59.574468085106382</v>
      </c>
    </row>
    <row r="97" spans="1:28" x14ac:dyDescent="0.2">
      <c r="A97">
        <v>20</v>
      </c>
      <c r="B97" t="s">
        <v>43</v>
      </c>
      <c r="C97">
        <v>30</v>
      </c>
      <c r="D97">
        <v>0.43</v>
      </c>
      <c r="E97" t="s">
        <v>43</v>
      </c>
      <c r="F97">
        <v>70</v>
      </c>
      <c r="G97" t="s">
        <v>43</v>
      </c>
      <c r="J97">
        <v>20.5</v>
      </c>
      <c r="K97">
        <v>6</v>
      </c>
      <c r="L97">
        <v>2.4</v>
      </c>
      <c r="M97">
        <v>62.2</v>
      </c>
      <c r="O97">
        <f t="shared" si="1"/>
        <v>14.399999999999999</v>
      </c>
      <c r="Q97">
        <v>27</v>
      </c>
      <c r="R97">
        <v>48</v>
      </c>
      <c r="S97">
        <v>0.5704999999999999</v>
      </c>
      <c r="T97">
        <v>45</v>
      </c>
      <c r="Y97">
        <v>27.4</v>
      </c>
      <c r="Z97">
        <v>7.5</v>
      </c>
      <c r="AA97">
        <v>2.5888</v>
      </c>
      <c r="AB97">
        <v>88.627935723114959</v>
      </c>
    </row>
    <row r="98" spans="1:28" x14ac:dyDescent="0.2">
      <c r="A98">
        <v>20</v>
      </c>
      <c r="B98" t="s">
        <v>43</v>
      </c>
      <c r="C98">
        <v>40</v>
      </c>
      <c r="D98">
        <v>0.3</v>
      </c>
      <c r="E98" t="s">
        <v>43</v>
      </c>
      <c r="F98">
        <v>75.238095238095241</v>
      </c>
      <c r="G98" t="s">
        <v>43</v>
      </c>
      <c r="J98">
        <v>20.5</v>
      </c>
      <c r="K98">
        <v>10.199999999999999</v>
      </c>
      <c r="L98">
        <v>1.331764705882353</v>
      </c>
      <c r="M98">
        <v>51.060070671378085</v>
      </c>
      <c r="O98">
        <f t="shared" si="1"/>
        <v>13.584</v>
      </c>
      <c r="Q98">
        <v>27.3</v>
      </c>
      <c r="R98">
        <v>10</v>
      </c>
      <c r="S98">
        <v>0.47</v>
      </c>
      <c r="T98">
        <v>65.217391304347828</v>
      </c>
      <c r="Y98">
        <v>33</v>
      </c>
      <c r="Z98">
        <v>7.5</v>
      </c>
      <c r="AA98">
        <v>0.61</v>
      </c>
      <c r="AB98">
        <v>73</v>
      </c>
    </row>
    <row r="99" spans="1:28" x14ac:dyDescent="0.2">
      <c r="A99">
        <v>20</v>
      </c>
      <c r="B99">
        <v>0.18</v>
      </c>
      <c r="E99">
        <v>58</v>
      </c>
      <c r="F99">
        <v>88.956397426733375</v>
      </c>
      <c r="G99" t="s">
        <v>43</v>
      </c>
      <c r="J99">
        <v>20.5</v>
      </c>
      <c r="K99">
        <v>10.9</v>
      </c>
      <c r="L99">
        <v>1.664587155963303</v>
      </c>
      <c r="M99">
        <v>40.476190476190474</v>
      </c>
      <c r="O99">
        <f t="shared" si="1"/>
        <v>18.144000000000002</v>
      </c>
      <c r="Q99">
        <v>27.4</v>
      </c>
      <c r="R99">
        <v>7.5</v>
      </c>
      <c r="S99">
        <v>1.9903999999999997</v>
      </c>
      <c r="T99">
        <v>91.545189504373184</v>
      </c>
      <c r="Y99">
        <v>15</v>
      </c>
      <c r="Z99">
        <v>7.68</v>
      </c>
      <c r="AA99">
        <v>1.2</v>
      </c>
      <c r="AB99">
        <v>79.3</v>
      </c>
    </row>
    <row r="100" spans="1:28" x14ac:dyDescent="0.2">
      <c r="A100">
        <v>20.5</v>
      </c>
      <c r="B100" t="s">
        <v>43</v>
      </c>
      <c r="C100">
        <v>6</v>
      </c>
      <c r="D100">
        <v>2.4</v>
      </c>
      <c r="E100" t="s">
        <v>43</v>
      </c>
      <c r="F100">
        <v>62.2</v>
      </c>
      <c r="G100" t="s">
        <v>43</v>
      </c>
      <c r="J100">
        <v>20.5</v>
      </c>
      <c r="K100">
        <v>14.3</v>
      </c>
      <c r="L100">
        <v>1.1563636363636363</v>
      </c>
      <c r="M100">
        <v>41.509433962264154</v>
      </c>
      <c r="O100">
        <f t="shared" si="1"/>
        <v>16.535999999999998</v>
      </c>
      <c r="Q100">
        <v>27.4</v>
      </c>
      <c r="R100">
        <v>7.5</v>
      </c>
      <c r="S100">
        <v>2.0608000000000004</v>
      </c>
      <c r="T100">
        <v>88.020833333333343</v>
      </c>
      <c r="Y100">
        <v>15</v>
      </c>
      <c r="Z100">
        <v>7.68</v>
      </c>
      <c r="AA100">
        <v>1.51</v>
      </c>
      <c r="AB100">
        <v>68.099999999999994</v>
      </c>
    </row>
    <row r="101" spans="1:28" x14ac:dyDescent="0.2">
      <c r="A101">
        <v>20.5</v>
      </c>
      <c r="B101">
        <v>0.6166666666666667</v>
      </c>
      <c r="C101">
        <v>10.199999999999999</v>
      </c>
      <c r="D101">
        <v>1.331764705882353</v>
      </c>
      <c r="E101">
        <v>53.284671532846716</v>
      </c>
      <c r="F101">
        <v>51.060070671378085</v>
      </c>
      <c r="G101" t="s">
        <v>43</v>
      </c>
      <c r="J101">
        <v>21</v>
      </c>
      <c r="K101">
        <v>5.0999999999999996</v>
      </c>
      <c r="L101">
        <v>1.4447058823529413</v>
      </c>
      <c r="M101">
        <v>61.88925081433225</v>
      </c>
      <c r="O101">
        <f t="shared" si="1"/>
        <v>7.3680000000000003</v>
      </c>
      <c r="Q101">
        <v>27.4</v>
      </c>
      <c r="R101">
        <v>7.5</v>
      </c>
      <c r="S101">
        <v>2.5888</v>
      </c>
      <c r="T101">
        <v>97.398843930635834</v>
      </c>
      <c r="Y101">
        <v>15</v>
      </c>
      <c r="Z101">
        <v>7.68</v>
      </c>
      <c r="AA101">
        <v>1.6</v>
      </c>
      <c r="AB101">
        <v>68.5</v>
      </c>
    </row>
    <row r="102" spans="1:28" x14ac:dyDescent="0.2">
      <c r="A102">
        <v>20.5</v>
      </c>
      <c r="B102">
        <v>0.55833333333333335</v>
      </c>
      <c r="C102">
        <v>10.9</v>
      </c>
      <c r="D102">
        <v>1.664587155963303</v>
      </c>
      <c r="E102">
        <v>59.556786703601105</v>
      </c>
      <c r="F102">
        <v>40.476190476190474</v>
      </c>
      <c r="G102" t="s">
        <v>43</v>
      </c>
      <c r="J102">
        <v>21</v>
      </c>
      <c r="K102">
        <v>6</v>
      </c>
      <c r="L102">
        <v>0.97199999999999998</v>
      </c>
      <c r="M102">
        <v>31</v>
      </c>
      <c r="O102">
        <f t="shared" si="1"/>
        <v>5.8319999999999999</v>
      </c>
      <c r="Q102">
        <v>27.5</v>
      </c>
      <c r="R102">
        <v>8.5</v>
      </c>
      <c r="S102">
        <v>1.5981176470588239</v>
      </c>
      <c r="T102">
        <v>70.466321243523311</v>
      </c>
      <c r="Y102">
        <v>13.6</v>
      </c>
      <c r="Z102">
        <v>7.7</v>
      </c>
      <c r="AA102">
        <v>0.85</v>
      </c>
      <c r="AB102">
        <v>26.642335766423358</v>
      </c>
    </row>
    <row r="103" spans="1:28" x14ac:dyDescent="0.2">
      <c r="A103">
        <v>20.5</v>
      </c>
      <c r="B103">
        <v>0.52083333333333337</v>
      </c>
      <c r="C103">
        <v>14.3</v>
      </c>
      <c r="D103">
        <v>1.1563636363636363</v>
      </c>
      <c r="E103">
        <v>39.83050847457627</v>
      </c>
      <c r="F103">
        <v>41.509433962264154</v>
      </c>
      <c r="G103" t="s">
        <v>43</v>
      </c>
      <c r="J103">
        <v>21</v>
      </c>
      <c r="K103">
        <v>6</v>
      </c>
      <c r="L103">
        <v>2.2759999999999998</v>
      </c>
      <c r="M103">
        <v>71</v>
      </c>
      <c r="O103">
        <f t="shared" si="1"/>
        <v>13.655999999999999</v>
      </c>
      <c r="Q103">
        <v>27.5</v>
      </c>
      <c r="R103">
        <v>8.8000000000000007</v>
      </c>
      <c r="S103">
        <v>0.80727272727272714</v>
      </c>
      <c r="T103">
        <v>61.589403973509938</v>
      </c>
      <c r="Y103">
        <v>23</v>
      </c>
      <c r="Z103">
        <v>7.7</v>
      </c>
      <c r="AA103">
        <v>1.5335064935064935</v>
      </c>
      <c r="AB103">
        <v>58.943089430894311</v>
      </c>
    </row>
    <row r="104" spans="1:28" x14ac:dyDescent="0.2">
      <c r="A104">
        <v>21</v>
      </c>
      <c r="C104">
        <v>5.0999999999999996</v>
      </c>
      <c r="D104">
        <v>1.4447058823529413</v>
      </c>
      <c r="E104">
        <v>67.114093959731548</v>
      </c>
      <c r="F104">
        <v>61.88925081433225</v>
      </c>
      <c r="G104" t="s">
        <v>43</v>
      </c>
      <c r="J104">
        <v>21</v>
      </c>
      <c r="K104">
        <v>8.8000000000000007</v>
      </c>
      <c r="L104">
        <v>1.1099999999999997</v>
      </c>
      <c r="M104">
        <v>65.110565110565105</v>
      </c>
      <c r="O104">
        <f t="shared" si="1"/>
        <v>9.7679999999999971</v>
      </c>
      <c r="Q104">
        <v>27.5</v>
      </c>
      <c r="R104">
        <v>9.3000000000000007</v>
      </c>
      <c r="S104">
        <v>0.65032258064516124</v>
      </c>
      <c r="T104">
        <v>40.495867768595041</v>
      </c>
      <c r="Y104">
        <v>23</v>
      </c>
      <c r="Z104">
        <v>7.8</v>
      </c>
      <c r="AA104">
        <v>1.2184615384615383</v>
      </c>
      <c r="AB104">
        <v>58</v>
      </c>
    </row>
    <row r="105" spans="1:28" x14ac:dyDescent="0.2">
      <c r="A105">
        <v>21</v>
      </c>
      <c r="B105">
        <v>0.16666666666666666</v>
      </c>
      <c r="C105">
        <v>6</v>
      </c>
      <c r="D105">
        <v>0.97199999999999998</v>
      </c>
      <c r="E105">
        <v>33</v>
      </c>
      <c r="F105">
        <v>31</v>
      </c>
      <c r="G105" t="s">
        <v>43</v>
      </c>
      <c r="J105">
        <v>22</v>
      </c>
      <c r="K105">
        <v>4</v>
      </c>
      <c r="L105">
        <v>4</v>
      </c>
      <c r="M105">
        <v>15</v>
      </c>
      <c r="O105">
        <f t="shared" si="1"/>
        <v>16</v>
      </c>
      <c r="Q105">
        <v>27.5</v>
      </c>
      <c r="R105">
        <v>9.5</v>
      </c>
      <c r="S105">
        <v>0.9701052631578948</v>
      </c>
      <c r="T105">
        <v>17.123287671232877</v>
      </c>
      <c r="Y105">
        <v>23</v>
      </c>
      <c r="Z105">
        <v>7.9</v>
      </c>
      <c r="AA105">
        <v>1.2030379746835442</v>
      </c>
      <c r="AB105">
        <v>53</v>
      </c>
    </row>
    <row r="106" spans="1:28" x14ac:dyDescent="0.2">
      <c r="A106">
        <v>21</v>
      </c>
      <c r="B106" t="s">
        <v>43</v>
      </c>
      <c r="C106">
        <v>6</v>
      </c>
      <c r="D106">
        <v>2.2759999999999998</v>
      </c>
      <c r="E106">
        <v>62</v>
      </c>
      <c r="F106">
        <v>71</v>
      </c>
      <c r="G106" t="s">
        <v>43</v>
      </c>
      <c r="J106">
        <v>22</v>
      </c>
      <c r="K106">
        <v>4.7</v>
      </c>
      <c r="L106">
        <v>1.5931914893617023</v>
      </c>
      <c r="M106">
        <v>70</v>
      </c>
      <c r="O106">
        <f t="shared" si="1"/>
        <v>7.4880000000000013</v>
      </c>
      <c r="Q106">
        <v>27.5</v>
      </c>
      <c r="R106">
        <v>9.8000000000000007</v>
      </c>
      <c r="S106">
        <v>1.9493877551020407</v>
      </c>
      <c r="T106">
        <v>51.201011378002526</v>
      </c>
    </row>
    <row r="107" spans="1:28" x14ac:dyDescent="0.2">
      <c r="A107">
        <v>21</v>
      </c>
      <c r="C107">
        <v>8.8000000000000007</v>
      </c>
      <c r="D107">
        <v>1.1099999999999997</v>
      </c>
      <c r="E107">
        <v>74.871794871794876</v>
      </c>
      <c r="F107">
        <v>65.110565110565105</v>
      </c>
      <c r="G107" t="s">
        <v>43</v>
      </c>
      <c r="J107">
        <v>22</v>
      </c>
      <c r="K107">
        <v>5</v>
      </c>
      <c r="L107">
        <v>1.8863999999999999</v>
      </c>
      <c r="M107">
        <v>28.753180661577609</v>
      </c>
      <c r="O107">
        <f t="shared" si="1"/>
        <v>9.4319999999999986</v>
      </c>
      <c r="Q107">
        <v>27.5</v>
      </c>
      <c r="R107">
        <v>10.199999999999999</v>
      </c>
      <c r="S107">
        <v>1.2682352941176471</v>
      </c>
      <c r="T107">
        <v>66.834170854271363</v>
      </c>
    </row>
    <row r="108" spans="1:28" x14ac:dyDescent="0.2">
      <c r="A108">
        <v>22</v>
      </c>
      <c r="C108">
        <v>4</v>
      </c>
      <c r="D108">
        <v>4</v>
      </c>
      <c r="E108">
        <v>20</v>
      </c>
      <c r="F108">
        <v>15</v>
      </c>
      <c r="G108" t="s">
        <v>43</v>
      </c>
      <c r="J108">
        <v>22</v>
      </c>
      <c r="K108">
        <v>5</v>
      </c>
      <c r="L108">
        <v>3</v>
      </c>
      <c r="M108">
        <v>39</v>
      </c>
      <c r="O108">
        <f t="shared" si="1"/>
        <v>15</v>
      </c>
      <c r="Q108">
        <v>27.5</v>
      </c>
      <c r="R108">
        <v>10.4</v>
      </c>
      <c r="S108">
        <v>0.87461538461538446</v>
      </c>
      <c r="T108">
        <v>56.748466257668717</v>
      </c>
    </row>
    <row r="109" spans="1:28" x14ac:dyDescent="0.2">
      <c r="A109">
        <v>22</v>
      </c>
      <c r="B109" t="s">
        <v>43</v>
      </c>
      <c r="C109">
        <v>4.7</v>
      </c>
      <c r="D109">
        <v>1.5931914893617023</v>
      </c>
      <c r="E109" t="s">
        <v>43</v>
      </c>
      <c r="F109">
        <v>70</v>
      </c>
      <c r="G109" t="s">
        <v>43</v>
      </c>
      <c r="J109">
        <v>22</v>
      </c>
      <c r="K109">
        <v>7</v>
      </c>
      <c r="L109">
        <v>1.2822857142857143</v>
      </c>
      <c r="M109">
        <v>59.358288770053477</v>
      </c>
      <c r="O109">
        <f t="shared" si="1"/>
        <v>8.9759999999999991</v>
      </c>
      <c r="Q109">
        <v>27.5</v>
      </c>
      <c r="R109">
        <v>11.8</v>
      </c>
      <c r="S109">
        <v>1.1125423728813557</v>
      </c>
      <c r="T109">
        <v>49.440715883668908</v>
      </c>
    </row>
    <row r="110" spans="1:28" x14ac:dyDescent="0.2">
      <c r="A110">
        <v>22</v>
      </c>
      <c r="C110">
        <v>5</v>
      </c>
      <c r="D110">
        <v>3</v>
      </c>
      <c r="E110">
        <v>35</v>
      </c>
      <c r="F110">
        <v>39</v>
      </c>
      <c r="G110" t="s">
        <v>43</v>
      </c>
      <c r="J110">
        <v>22</v>
      </c>
      <c r="K110">
        <v>7.2</v>
      </c>
      <c r="L110">
        <v>1.5300000000000002</v>
      </c>
      <c r="M110">
        <v>55.119825708061001</v>
      </c>
      <c r="O110">
        <f t="shared" si="1"/>
        <v>11.016000000000002</v>
      </c>
      <c r="Q110">
        <v>27.9</v>
      </c>
      <c r="R110">
        <v>16.7</v>
      </c>
      <c r="S110">
        <v>0.23</v>
      </c>
      <c r="T110">
        <v>85.492957746478879</v>
      </c>
    </row>
    <row r="111" spans="1:28" x14ac:dyDescent="0.2">
      <c r="A111">
        <v>22</v>
      </c>
      <c r="C111">
        <v>5</v>
      </c>
      <c r="D111">
        <v>1.8863999999999999</v>
      </c>
      <c r="E111">
        <v>62.318840579710141</v>
      </c>
      <c r="F111">
        <v>28.753180661577609</v>
      </c>
      <c r="G111" t="s">
        <v>43</v>
      </c>
      <c r="J111">
        <v>22</v>
      </c>
      <c r="K111">
        <v>10.327272727272726</v>
      </c>
      <c r="L111">
        <v>0.8668309859154929</v>
      </c>
      <c r="M111">
        <v>57</v>
      </c>
      <c r="O111">
        <f t="shared" si="1"/>
        <v>8.9519999999999982</v>
      </c>
      <c r="Q111">
        <v>28</v>
      </c>
      <c r="R111">
        <v>6</v>
      </c>
      <c r="S111">
        <v>2.9960000000000004</v>
      </c>
      <c r="T111">
        <v>84.73684210526315</v>
      </c>
    </row>
    <row r="112" spans="1:28" x14ac:dyDescent="0.2">
      <c r="A112">
        <v>22</v>
      </c>
      <c r="C112">
        <v>7</v>
      </c>
      <c r="D112">
        <v>1.2822857142857143</v>
      </c>
      <c r="E112">
        <v>76.5625</v>
      </c>
      <c r="F112">
        <v>59.358288770053477</v>
      </c>
      <c r="G112" t="s">
        <v>43</v>
      </c>
      <c r="J112">
        <v>22</v>
      </c>
      <c r="K112">
        <v>21.6</v>
      </c>
      <c r="L112">
        <v>0.45999999999999996</v>
      </c>
      <c r="M112">
        <v>57</v>
      </c>
      <c r="O112">
        <f t="shared" si="1"/>
        <v>9.9359999999999999</v>
      </c>
      <c r="Q112">
        <v>28</v>
      </c>
      <c r="R112">
        <v>6.1</v>
      </c>
      <c r="S112">
        <v>0.73967213114754105</v>
      </c>
      <c r="T112">
        <v>64.179104477611943</v>
      </c>
    </row>
    <row r="113" spans="1:28" x14ac:dyDescent="0.2">
      <c r="A113">
        <v>22</v>
      </c>
      <c r="C113">
        <v>7.2</v>
      </c>
      <c r="D113">
        <v>1.5300000000000002</v>
      </c>
      <c r="E113">
        <v>66.210045662100455</v>
      </c>
      <c r="F113">
        <v>55.119825708061001</v>
      </c>
      <c r="G113" t="s">
        <v>43</v>
      </c>
      <c r="J113">
        <v>22</v>
      </c>
      <c r="K113">
        <v>25</v>
      </c>
      <c r="L113" t="s">
        <v>356</v>
      </c>
      <c r="M113">
        <v>58</v>
      </c>
      <c r="O113" t="e">
        <f t="shared" si="1"/>
        <v>#VALUE!</v>
      </c>
      <c r="Q113">
        <v>28.1</v>
      </c>
      <c r="R113">
        <v>25</v>
      </c>
      <c r="S113">
        <v>0.18</v>
      </c>
      <c r="T113">
        <v>78.870967741935488</v>
      </c>
    </row>
    <row r="114" spans="1:28" x14ac:dyDescent="0.2">
      <c r="A114">
        <v>22</v>
      </c>
      <c r="B114" t="s">
        <v>43</v>
      </c>
      <c r="C114">
        <v>10.327272727272726</v>
      </c>
      <c r="D114">
        <v>0.8668309859154929</v>
      </c>
      <c r="E114">
        <v>62</v>
      </c>
      <c r="F114">
        <v>57</v>
      </c>
      <c r="G114" t="s">
        <v>43</v>
      </c>
      <c r="J114">
        <v>22.5</v>
      </c>
      <c r="K114">
        <v>2.8</v>
      </c>
      <c r="L114">
        <v>4.74</v>
      </c>
      <c r="M114">
        <v>50</v>
      </c>
      <c r="O114">
        <f t="shared" si="1"/>
        <v>13.272</v>
      </c>
      <c r="Q114">
        <v>30</v>
      </c>
      <c r="R114">
        <v>4</v>
      </c>
      <c r="S114">
        <v>1.1000000000000001</v>
      </c>
      <c r="T114">
        <v>47</v>
      </c>
    </row>
    <row r="115" spans="1:28" x14ac:dyDescent="0.2">
      <c r="A115">
        <v>22</v>
      </c>
      <c r="B115" t="s">
        <v>43</v>
      </c>
      <c r="C115">
        <v>21.6</v>
      </c>
      <c r="D115">
        <v>0.45999999999999996</v>
      </c>
      <c r="E115">
        <v>83</v>
      </c>
      <c r="F115">
        <v>57</v>
      </c>
      <c r="G115" t="s">
        <v>43</v>
      </c>
      <c r="J115">
        <v>22.5</v>
      </c>
      <c r="K115">
        <v>4.4000000000000004</v>
      </c>
      <c r="L115">
        <v>3.0163636363636361</v>
      </c>
      <c r="M115">
        <v>47</v>
      </c>
      <c r="O115">
        <f t="shared" si="1"/>
        <v>13.272</v>
      </c>
      <c r="Q115">
        <v>30</v>
      </c>
      <c r="R115">
        <v>4</v>
      </c>
      <c r="S115">
        <v>1.1000000000000001</v>
      </c>
      <c r="T115">
        <v>76</v>
      </c>
    </row>
    <row r="116" spans="1:28" x14ac:dyDescent="0.2">
      <c r="A116">
        <v>22</v>
      </c>
      <c r="B116" t="s">
        <v>355</v>
      </c>
      <c r="C116">
        <v>25</v>
      </c>
      <c r="D116" t="s">
        <v>356</v>
      </c>
      <c r="E116">
        <v>62</v>
      </c>
      <c r="F116">
        <v>58</v>
      </c>
      <c r="G116" t="s">
        <v>43</v>
      </c>
      <c r="J116">
        <v>22.5</v>
      </c>
      <c r="K116">
        <v>5.7</v>
      </c>
      <c r="L116">
        <v>2.3284210526315783</v>
      </c>
      <c r="M116">
        <v>56</v>
      </c>
      <c r="O116">
        <f t="shared" si="1"/>
        <v>13.271999999999997</v>
      </c>
      <c r="Q116">
        <v>30</v>
      </c>
      <c r="R116">
        <v>9.6999999999999993</v>
      </c>
      <c r="S116">
        <v>1.3929896907216497</v>
      </c>
      <c r="T116">
        <v>60.784313725490193</v>
      </c>
    </row>
    <row r="117" spans="1:28" x14ac:dyDescent="0.2">
      <c r="A117">
        <v>22.5</v>
      </c>
      <c r="B117" t="s">
        <v>43</v>
      </c>
      <c r="C117">
        <v>2.8</v>
      </c>
      <c r="D117">
        <v>4.74</v>
      </c>
      <c r="E117" t="s">
        <v>43</v>
      </c>
      <c r="F117">
        <v>50</v>
      </c>
      <c r="G117" t="s">
        <v>43</v>
      </c>
      <c r="J117">
        <v>22.5</v>
      </c>
      <c r="K117">
        <v>6</v>
      </c>
      <c r="L117">
        <v>2.1280000000000001</v>
      </c>
      <c r="M117">
        <v>63</v>
      </c>
      <c r="O117">
        <f t="shared" si="1"/>
        <v>12.768000000000001</v>
      </c>
      <c r="Q117">
        <v>30</v>
      </c>
      <c r="R117">
        <v>32</v>
      </c>
      <c r="S117">
        <v>1.52</v>
      </c>
      <c r="T117">
        <v>75.883575883575887</v>
      </c>
    </row>
    <row r="118" spans="1:28" x14ac:dyDescent="0.2">
      <c r="A118">
        <v>22.5</v>
      </c>
      <c r="B118" t="s">
        <v>43</v>
      </c>
      <c r="C118">
        <v>4.4000000000000004</v>
      </c>
      <c r="D118">
        <v>3.0163636363636361</v>
      </c>
      <c r="E118" t="s">
        <v>43</v>
      </c>
      <c r="F118">
        <v>47</v>
      </c>
      <c r="G118" t="s">
        <v>43</v>
      </c>
      <c r="J118">
        <v>22.7</v>
      </c>
      <c r="K118">
        <v>5.7</v>
      </c>
      <c r="L118">
        <v>2.1</v>
      </c>
      <c r="M118">
        <v>48</v>
      </c>
      <c r="O118">
        <f t="shared" si="1"/>
        <v>11.97</v>
      </c>
      <c r="Q118">
        <v>31</v>
      </c>
      <c r="R118">
        <v>1.4</v>
      </c>
      <c r="S118">
        <v>10.491428571428571</v>
      </c>
      <c r="T118">
        <v>48.986486486486484</v>
      </c>
    </row>
    <row r="119" spans="1:28" x14ac:dyDescent="0.2">
      <c r="A119">
        <v>22.5</v>
      </c>
      <c r="B119" t="s">
        <v>43</v>
      </c>
      <c r="C119">
        <v>5.7</v>
      </c>
      <c r="D119">
        <v>2.3284210526315783</v>
      </c>
      <c r="E119" t="s">
        <v>43</v>
      </c>
      <c r="F119">
        <v>56</v>
      </c>
      <c r="G119" t="s">
        <v>43</v>
      </c>
      <c r="J119">
        <v>22.7</v>
      </c>
      <c r="K119">
        <v>9.1</v>
      </c>
      <c r="L119">
        <v>3.4285714285714293</v>
      </c>
      <c r="M119">
        <v>42.153846153846153</v>
      </c>
      <c r="O119">
        <f t="shared" si="1"/>
        <v>31.200000000000006</v>
      </c>
      <c r="Q119">
        <v>31</v>
      </c>
      <c r="R119">
        <v>1.4</v>
      </c>
      <c r="S119">
        <v>10.491428571428571</v>
      </c>
      <c r="T119">
        <v>50.675675675675677</v>
      </c>
    </row>
    <row r="120" spans="1:28" x14ac:dyDescent="0.2">
      <c r="A120">
        <v>22.5</v>
      </c>
      <c r="B120" t="s">
        <v>43</v>
      </c>
      <c r="C120">
        <v>6</v>
      </c>
      <c r="D120">
        <v>2.1280000000000001</v>
      </c>
      <c r="E120" t="s">
        <v>43</v>
      </c>
      <c r="F120">
        <v>63</v>
      </c>
      <c r="G120" t="s">
        <v>43</v>
      </c>
      <c r="J120">
        <v>23</v>
      </c>
      <c r="K120">
        <v>4</v>
      </c>
      <c r="L120">
        <v>2.4359999999999999</v>
      </c>
      <c r="M120">
        <v>65.024630541871915</v>
      </c>
      <c r="O120">
        <f t="shared" si="1"/>
        <v>9.7439999999999998</v>
      </c>
      <c r="Q120">
        <v>31</v>
      </c>
      <c r="R120">
        <v>8.8000000000000007</v>
      </c>
      <c r="S120">
        <v>0.79090909090909089</v>
      </c>
      <c r="T120">
        <v>53.956834532374096</v>
      </c>
    </row>
    <row r="121" spans="1:28" x14ac:dyDescent="0.2">
      <c r="A121">
        <v>22.7</v>
      </c>
      <c r="B121" t="s">
        <v>43</v>
      </c>
      <c r="C121">
        <v>5.7</v>
      </c>
      <c r="D121">
        <v>2.1</v>
      </c>
      <c r="E121">
        <v>46</v>
      </c>
      <c r="F121">
        <v>48</v>
      </c>
      <c r="G121">
        <v>2.3896196011084149E-2</v>
      </c>
      <c r="J121">
        <v>23</v>
      </c>
      <c r="K121">
        <v>4</v>
      </c>
      <c r="L121">
        <v>3.7619999999999996</v>
      </c>
      <c r="M121">
        <v>74</v>
      </c>
      <c r="O121">
        <f t="shared" si="1"/>
        <v>15.047999999999998</v>
      </c>
      <c r="Q121">
        <v>31</v>
      </c>
      <c r="R121">
        <v>9.4</v>
      </c>
      <c r="S121">
        <v>1.4017021276595745</v>
      </c>
      <c r="T121">
        <v>51.020408163265309</v>
      </c>
    </row>
    <row r="122" spans="1:28" x14ac:dyDescent="0.2">
      <c r="A122">
        <v>22.7</v>
      </c>
      <c r="B122">
        <v>0.16</v>
      </c>
      <c r="C122">
        <v>9.1</v>
      </c>
      <c r="D122">
        <v>3.4285714285714293</v>
      </c>
      <c r="E122">
        <v>31.692677070828328</v>
      </c>
      <c r="F122">
        <v>42.153846153846153</v>
      </c>
      <c r="G122" t="s">
        <v>43</v>
      </c>
      <c r="J122">
        <v>23</v>
      </c>
      <c r="K122">
        <v>4.9000000000000004</v>
      </c>
      <c r="L122">
        <v>2.7379591836734689</v>
      </c>
      <c r="M122">
        <v>51</v>
      </c>
      <c r="O122">
        <f t="shared" si="1"/>
        <v>13.415999999999999</v>
      </c>
      <c r="Q122">
        <v>31.5</v>
      </c>
      <c r="R122">
        <v>33.5</v>
      </c>
      <c r="S122">
        <v>0.13</v>
      </c>
      <c r="T122">
        <v>79.558823529411768</v>
      </c>
    </row>
    <row r="123" spans="1:28" x14ac:dyDescent="0.2">
      <c r="A123">
        <v>23</v>
      </c>
      <c r="B123">
        <v>0.7</v>
      </c>
      <c r="C123">
        <v>4</v>
      </c>
      <c r="D123">
        <v>2.4359999999999999</v>
      </c>
      <c r="E123">
        <v>68.586387434554979</v>
      </c>
      <c r="F123">
        <v>65.024630541871915</v>
      </c>
      <c r="G123" t="s">
        <v>43</v>
      </c>
      <c r="J123">
        <v>23</v>
      </c>
      <c r="K123">
        <v>5.0999999999999996</v>
      </c>
      <c r="L123">
        <v>2.6305882352941179</v>
      </c>
      <c r="M123">
        <v>49</v>
      </c>
      <c r="O123">
        <f t="shared" si="1"/>
        <v>13.416</v>
      </c>
      <c r="Q123">
        <v>34</v>
      </c>
      <c r="R123">
        <v>37.700000000000003</v>
      </c>
      <c r="S123">
        <v>0.11</v>
      </c>
      <c r="T123">
        <v>79.436619718309856</v>
      </c>
    </row>
    <row r="124" spans="1:28" x14ac:dyDescent="0.2">
      <c r="A124">
        <v>23</v>
      </c>
      <c r="B124" t="s">
        <v>43</v>
      </c>
      <c r="C124">
        <v>4</v>
      </c>
      <c r="D124">
        <v>3.7619999999999996</v>
      </c>
      <c r="E124">
        <v>71</v>
      </c>
      <c r="F124">
        <v>74</v>
      </c>
      <c r="G124" t="s">
        <v>43</v>
      </c>
      <c r="J124">
        <v>23</v>
      </c>
      <c r="K124">
        <v>5.7</v>
      </c>
      <c r="L124">
        <v>2.1431578947368419</v>
      </c>
      <c r="M124">
        <v>49</v>
      </c>
      <c r="O124">
        <f t="shared" si="1"/>
        <v>12.215999999999999</v>
      </c>
      <c r="Q124">
        <v>35</v>
      </c>
      <c r="R124">
        <v>4</v>
      </c>
      <c r="S124">
        <v>2.0460000000000003</v>
      </c>
      <c r="T124">
        <v>61.363636363636367</v>
      </c>
    </row>
    <row r="125" spans="1:28" x14ac:dyDescent="0.2">
      <c r="A125">
        <v>23</v>
      </c>
      <c r="B125" t="s">
        <v>43</v>
      </c>
      <c r="C125">
        <v>4.9000000000000004</v>
      </c>
      <c r="D125">
        <v>2.7379591836734689</v>
      </c>
      <c r="E125">
        <v>35</v>
      </c>
      <c r="F125">
        <v>51</v>
      </c>
      <c r="G125" t="s">
        <v>43</v>
      </c>
      <c r="J125">
        <v>23</v>
      </c>
      <c r="K125">
        <v>5.7</v>
      </c>
      <c r="L125">
        <v>2.1431578947368419</v>
      </c>
      <c r="M125">
        <v>53</v>
      </c>
      <c r="O125">
        <f t="shared" si="1"/>
        <v>12.215999999999999</v>
      </c>
    </row>
    <row r="126" spans="1:28" x14ac:dyDescent="0.2">
      <c r="A126">
        <v>23</v>
      </c>
      <c r="B126" t="s">
        <v>43</v>
      </c>
      <c r="C126">
        <v>5.0999999999999996</v>
      </c>
      <c r="D126">
        <v>2.6305882352941179</v>
      </c>
      <c r="E126">
        <v>39</v>
      </c>
      <c r="F126">
        <v>49</v>
      </c>
      <c r="G126" t="s">
        <v>43</v>
      </c>
      <c r="J126">
        <v>23</v>
      </c>
      <c r="K126">
        <v>7.7</v>
      </c>
      <c r="L126">
        <v>1.5335064935064935</v>
      </c>
      <c r="M126">
        <v>58.943089430894311</v>
      </c>
      <c r="O126">
        <f t="shared" si="1"/>
        <v>11.808</v>
      </c>
    </row>
    <row r="127" spans="1:28" x14ac:dyDescent="0.2">
      <c r="A127">
        <v>23</v>
      </c>
      <c r="B127" t="s">
        <v>43</v>
      </c>
      <c r="C127">
        <v>5.7</v>
      </c>
      <c r="D127">
        <v>2.1431578947368419</v>
      </c>
      <c r="E127">
        <v>61</v>
      </c>
      <c r="F127">
        <v>49</v>
      </c>
      <c r="G127" t="s">
        <v>43</v>
      </c>
      <c r="J127">
        <v>23</v>
      </c>
      <c r="K127">
        <v>7.8</v>
      </c>
      <c r="L127">
        <v>1.2184615384615383</v>
      </c>
      <c r="M127">
        <v>58</v>
      </c>
      <c r="O127">
        <f t="shared" si="1"/>
        <v>9.5039999999999978</v>
      </c>
      <c r="Y127">
        <v>27.5</v>
      </c>
      <c r="Z127">
        <v>8.5</v>
      </c>
      <c r="AA127">
        <v>1.5981176470588239</v>
      </c>
      <c r="AB127">
        <v>75.441696113074215</v>
      </c>
    </row>
    <row r="128" spans="1:28" x14ac:dyDescent="0.2">
      <c r="A128">
        <v>23</v>
      </c>
      <c r="B128" t="s">
        <v>43</v>
      </c>
      <c r="C128">
        <v>5.7</v>
      </c>
      <c r="D128">
        <v>2.1431578947368419</v>
      </c>
      <c r="E128">
        <v>61</v>
      </c>
      <c r="F128">
        <v>53</v>
      </c>
      <c r="G128" t="s">
        <v>43</v>
      </c>
      <c r="J128">
        <v>23</v>
      </c>
      <c r="K128">
        <v>7.9</v>
      </c>
      <c r="L128">
        <v>1.2030379746835442</v>
      </c>
      <c r="M128">
        <v>53</v>
      </c>
      <c r="O128">
        <f t="shared" si="1"/>
        <v>9.5039999999999996</v>
      </c>
      <c r="Y128">
        <v>25</v>
      </c>
      <c r="Z128">
        <v>8.6</v>
      </c>
      <c r="AA128">
        <v>0.52</v>
      </c>
      <c r="AB128">
        <v>70</v>
      </c>
    </row>
    <row r="129" spans="1:28" x14ac:dyDescent="0.2">
      <c r="A129">
        <v>23</v>
      </c>
      <c r="B129">
        <v>0.59</v>
      </c>
      <c r="C129">
        <v>7.7</v>
      </c>
      <c r="D129">
        <v>1.5335064935064935</v>
      </c>
      <c r="E129">
        <v>63.302752293577981</v>
      </c>
      <c r="F129">
        <v>58.943089430894311</v>
      </c>
      <c r="G129" t="s">
        <v>43</v>
      </c>
      <c r="J129">
        <v>23</v>
      </c>
      <c r="K129">
        <v>9.9</v>
      </c>
      <c r="L129">
        <v>0.96484848484848473</v>
      </c>
      <c r="M129">
        <v>65</v>
      </c>
      <c r="O129">
        <f t="shared" si="1"/>
        <v>9.5519999999999996</v>
      </c>
      <c r="Y129">
        <v>21</v>
      </c>
      <c r="Z129">
        <v>8.8000000000000007</v>
      </c>
      <c r="AA129">
        <v>1.1099999999999997</v>
      </c>
      <c r="AB129">
        <v>65.110565110565105</v>
      </c>
    </row>
    <row r="130" spans="1:28" x14ac:dyDescent="0.2">
      <c r="A130">
        <v>23</v>
      </c>
      <c r="B130" t="s">
        <v>43</v>
      </c>
      <c r="C130">
        <v>7.8</v>
      </c>
      <c r="D130">
        <v>1.2184615384615383</v>
      </c>
      <c r="E130">
        <v>65</v>
      </c>
      <c r="F130">
        <v>58</v>
      </c>
      <c r="G130" t="s">
        <v>43</v>
      </c>
      <c r="J130">
        <v>23</v>
      </c>
      <c r="K130">
        <v>10.6</v>
      </c>
      <c r="L130">
        <v>0.90113207547169805</v>
      </c>
      <c r="M130">
        <v>52</v>
      </c>
      <c r="O130">
        <f t="shared" si="1"/>
        <v>9.5519999999999996</v>
      </c>
      <c r="Y130">
        <v>25</v>
      </c>
      <c r="Z130">
        <v>8.8000000000000007</v>
      </c>
      <c r="AA130">
        <v>1.780909090909091</v>
      </c>
      <c r="AB130">
        <v>22</v>
      </c>
    </row>
    <row r="131" spans="1:28" x14ac:dyDescent="0.2">
      <c r="A131">
        <v>23</v>
      </c>
      <c r="B131" t="s">
        <v>43</v>
      </c>
      <c r="C131">
        <v>7.9</v>
      </c>
      <c r="D131">
        <v>1.2030379746835442</v>
      </c>
      <c r="E131">
        <v>36</v>
      </c>
      <c r="F131">
        <v>53</v>
      </c>
      <c r="G131" t="s">
        <v>43</v>
      </c>
      <c r="J131">
        <v>23</v>
      </c>
      <c r="K131">
        <v>23</v>
      </c>
      <c r="L131">
        <v>1.4</v>
      </c>
      <c r="M131">
        <v>50</v>
      </c>
      <c r="O131">
        <f t="shared" ref="O131:O194" si="2">L131*K131</f>
        <v>32.199999999999996</v>
      </c>
      <c r="Y131">
        <v>27.5</v>
      </c>
      <c r="Z131">
        <v>8.8000000000000007</v>
      </c>
      <c r="AA131">
        <v>0.80727272727272714</v>
      </c>
      <c r="AB131">
        <v>62.5</v>
      </c>
    </row>
    <row r="132" spans="1:28" x14ac:dyDescent="0.2">
      <c r="A132">
        <v>23</v>
      </c>
      <c r="B132" t="s">
        <v>43</v>
      </c>
      <c r="C132">
        <v>9.9</v>
      </c>
      <c r="D132">
        <v>0.96484848484848473</v>
      </c>
      <c r="E132">
        <v>57.2</v>
      </c>
      <c r="F132">
        <v>65</v>
      </c>
      <c r="G132" t="s">
        <v>43</v>
      </c>
      <c r="J132">
        <v>23</v>
      </c>
      <c r="K132">
        <v>24</v>
      </c>
      <c r="L132">
        <v>0.53900000000000003</v>
      </c>
      <c r="M132">
        <v>70</v>
      </c>
      <c r="O132">
        <f t="shared" si="2"/>
        <v>12.936</v>
      </c>
      <c r="Y132">
        <v>31</v>
      </c>
      <c r="Z132">
        <v>8.8000000000000007</v>
      </c>
      <c r="AA132">
        <v>0.79090909090909089</v>
      </c>
      <c r="AB132">
        <v>56.896551724137936</v>
      </c>
    </row>
    <row r="133" spans="1:28" x14ac:dyDescent="0.2">
      <c r="A133">
        <v>23</v>
      </c>
      <c r="B133" t="s">
        <v>43</v>
      </c>
      <c r="C133">
        <v>10.6</v>
      </c>
      <c r="D133">
        <v>0.90113207547169805</v>
      </c>
      <c r="E133">
        <v>55.8</v>
      </c>
      <c r="F133">
        <v>52</v>
      </c>
      <c r="G133" t="s">
        <v>43</v>
      </c>
      <c r="J133">
        <v>23</v>
      </c>
      <c r="K133">
        <v>36</v>
      </c>
      <c r="L133">
        <v>0.35933333333333328</v>
      </c>
      <c r="M133">
        <v>63</v>
      </c>
      <c r="O133">
        <f t="shared" si="2"/>
        <v>12.935999999999998</v>
      </c>
      <c r="Y133">
        <v>20</v>
      </c>
      <c r="Z133">
        <v>9.1</v>
      </c>
      <c r="AA133">
        <v>0.92</v>
      </c>
      <c r="AB133">
        <v>54.700854700854705</v>
      </c>
    </row>
    <row r="134" spans="1:28" x14ac:dyDescent="0.2">
      <c r="A134">
        <v>23</v>
      </c>
      <c r="B134">
        <v>0.21</v>
      </c>
      <c r="C134">
        <v>23</v>
      </c>
      <c r="D134">
        <v>1.4</v>
      </c>
      <c r="E134" t="s">
        <v>43</v>
      </c>
      <c r="F134">
        <v>50</v>
      </c>
      <c r="G134" t="s">
        <v>43</v>
      </c>
      <c r="J134">
        <v>23</v>
      </c>
      <c r="K134">
        <v>48</v>
      </c>
      <c r="L134">
        <v>0.26950000000000002</v>
      </c>
      <c r="M134">
        <v>63</v>
      </c>
      <c r="O134">
        <f t="shared" si="2"/>
        <v>12.936</v>
      </c>
      <c r="Y134">
        <v>22.7</v>
      </c>
      <c r="Z134">
        <v>9.1</v>
      </c>
      <c r="AA134">
        <v>3.4285714285714293</v>
      </c>
      <c r="AB134">
        <v>42.153846153846153</v>
      </c>
    </row>
    <row r="135" spans="1:28" x14ac:dyDescent="0.2">
      <c r="A135">
        <v>23</v>
      </c>
      <c r="B135">
        <v>5.8946275219220495E-2</v>
      </c>
      <c r="C135">
        <v>24</v>
      </c>
      <c r="D135">
        <v>0.53900000000000003</v>
      </c>
      <c r="E135">
        <v>73</v>
      </c>
      <c r="F135">
        <v>70</v>
      </c>
      <c r="G135" t="s">
        <v>43</v>
      </c>
      <c r="J135">
        <v>24</v>
      </c>
      <c r="K135">
        <v>48</v>
      </c>
      <c r="L135">
        <v>0.63349999999999995</v>
      </c>
      <c r="M135">
        <v>56</v>
      </c>
      <c r="O135">
        <f t="shared" si="2"/>
        <v>30.407999999999998</v>
      </c>
      <c r="Y135">
        <v>25</v>
      </c>
      <c r="Z135">
        <v>9.1</v>
      </c>
      <c r="AA135">
        <v>0.48</v>
      </c>
      <c r="AB135">
        <v>63</v>
      </c>
    </row>
    <row r="136" spans="1:28" x14ac:dyDescent="0.2">
      <c r="A136">
        <v>23</v>
      </c>
      <c r="B136">
        <v>4.4209706414415371E-2</v>
      </c>
      <c r="C136">
        <v>36</v>
      </c>
      <c r="D136">
        <v>0.35933333333333328</v>
      </c>
      <c r="E136">
        <v>78</v>
      </c>
      <c r="F136">
        <v>63</v>
      </c>
      <c r="G136" t="s">
        <v>43</v>
      </c>
      <c r="J136">
        <v>24</v>
      </c>
      <c r="K136">
        <v>96</v>
      </c>
      <c r="L136">
        <v>0.31674999999999998</v>
      </c>
      <c r="M136">
        <v>58</v>
      </c>
      <c r="O136">
        <f t="shared" si="2"/>
        <v>30.407999999999998</v>
      </c>
      <c r="Y136">
        <v>27.5</v>
      </c>
      <c r="Z136">
        <v>9.3000000000000007</v>
      </c>
      <c r="AA136">
        <v>0.65032258064516124</v>
      </c>
      <c r="AB136">
        <v>43.253968253968253</v>
      </c>
    </row>
    <row r="137" spans="1:28" x14ac:dyDescent="0.2">
      <c r="A137">
        <v>23</v>
      </c>
      <c r="B137">
        <v>2.9473137609610248E-2</v>
      </c>
      <c r="C137">
        <v>48</v>
      </c>
      <c r="D137">
        <v>0.26950000000000002</v>
      </c>
      <c r="E137">
        <v>80</v>
      </c>
      <c r="F137">
        <v>63</v>
      </c>
      <c r="G137" t="s">
        <v>43</v>
      </c>
      <c r="J137">
        <v>24.3</v>
      </c>
      <c r="K137">
        <v>5.9</v>
      </c>
      <c r="L137">
        <v>1.7</v>
      </c>
      <c r="M137">
        <v>49</v>
      </c>
      <c r="O137">
        <f t="shared" si="2"/>
        <v>10.030000000000001</v>
      </c>
      <c r="Y137">
        <v>31</v>
      </c>
      <c r="Z137">
        <v>9.4</v>
      </c>
      <c r="AA137">
        <v>1.4017021276595745</v>
      </c>
      <c r="AB137">
        <v>75.045537340619305</v>
      </c>
    </row>
    <row r="138" spans="1:28" x14ac:dyDescent="0.2">
      <c r="A138">
        <v>24</v>
      </c>
      <c r="B138">
        <v>5.2133575433907335E-2</v>
      </c>
      <c r="C138">
        <v>48</v>
      </c>
      <c r="D138">
        <v>0.63349999999999995</v>
      </c>
      <c r="E138">
        <v>81</v>
      </c>
      <c r="F138">
        <v>56</v>
      </c>
      <c r="G138" t="s">
        <v>43</v>
      </c>
      <c r="J138">
        <v>24.3</v>
      </c>
      <c r="K138">
        <v>13.6</v>
      </c>
      <c r="L138">
        <v>1.54</v>
      </c>
      <c r="M138">
        <v>71.085714285714289</v>
      </c>
      <c r="O138">
        <f t="shared" si="2"/>
        <v>20.943999999999999</v>
      </c>
      <c r="Y138">
        <v>20</v>
      </c>
      <c r="Z138">
        <v>9.5</v>
      </c>
      <c r="AA138">
        <v>0.92</v>
      </c>
      <c r="AB138">
        <v>58.677685950413228</v>
      </c>
    </row>
    <row r="139" spans="1:28" x14ac:dyDescent="0.2">
      <c r="A139">
        <v>24</v>
      </c>
      <c r="B139">
        <v>2.6066787716953668E-2</v>
      </c>
      <c r="C139">
        <v>96</v>
      </c>
      <c r="D139">
        <v>0.31674999999999998</v>
      </c>
      <c r="E139">
        <v>82</v>
      </c>
      <c r="F139">
        <v>58</v>
      </c>
      <c r="G139" t="s">
        <v>43</v>
      </c>
      <c r="J139">
        <v>25</v>
      </c>
      <c r="K139">
        <v>2.4</v>
      </c>
      <c r="L139">
        <v>7.76</v>
      </c>
      <c r="M139">
        <v>48.711340206185568</v>
      </c>
      <c r="O139">
        <f t="shared" si="2"/>
        <v>18.623999999999999</v>
      </c>
      <c r="Y139">
        <v>25</v>
      </c>
      <c r="Z139">
        <v>9.5</v>
      </c>
      <c r="AA139">
        <v>2.0715789473684212</v>
      </c>
      <c r="AB139">
        <v>23</v>
      </c>
    </row>
    <row r="140" spans="1:28" x14ac:dyDescent="0.2">
      <c r="A140">
        <v>24.3</v>
      </c>
      <c r="B140" t="s">
        <v>43</v>
      </c>
      <c r="C140">
        <v>5.9</v>
      </c>
      <c r="D140">
        <v>1.7</v>
      </c>
      <c r="E140">
        <v>54</v>
      </c>
      <c r="F140">
        <v>49</v>
      </c>
      <c r="G140" t="s">
        <v>43</v>
      </c>
      <c r="J140">
        <v>25</v>
      </c>
      <c r="K140">
        <v>3</v>
      </c>
      <c r="L140">
        <v>5.9999999999999991</v>
      </c>
      <c r="M140">
        <v>42.4</v>
      </c>
      <c r="O140">
        <f t="shared" si="2"/>
        <v>17.999999999999996</v>
      </c>
      <c r="Y140">
        <v>27.5</v>
      </c>
      <c r="Z140">
        <v>9.5</v>
      </c>
      <c r="AA140">
        <v>0.9701052631578948</v>
      </c>
      <c r="AB140">
        <v>46.354166666666671</v>
      </c>
    </row>
    <row r="141" spans="1:28" x14ac:dyDescent="0.2">
      <c r="A141">
        <v>24.3</v>
      </c>
      <c r="B141">
        <v>0.37</v>
      </c>
      <c r="C141">
        <v>13.6</v>
      </c>
      <c r="D141">
        <v>1.54</v>
      </c>
      <c r="E141">
        <v>65.012406947890824</v>
      </c>
      <c r="F141">
        <v>71.085714285714289</v>
      </c>
      <c r="G141" t="s">
        <v>43</v>
      </c>
      <c r="J141">
        <v>25</v>
      </c>
      <c r="K141">
        <v>4</v>
      </c>
      <c r="L141">
        <v>2.238</v>
      </c>
      <c r="M141">
        <v>53.619302949061662</v>
      </c>
      <c r="O141">
        <f t="shared" si="2"/>
        <v>8.952</v>
      </c>
      <c r="Y141">
        <v>20</v>
      </c>
      <c r="Z141">
        <v>9.6</v>
      </c>
      <c r="AA141">
        <v>1.1100000000000001</v>
      </c>
      <c r="AB141">
        <v>48.648648648648653</v>
      </c>
    </row>
    <row r="142" spans="1:28" x14ac:dyDescent="0.2">
      <c r="A142">
        <v>25</v>
      </c>
      <c r="B142">
        <v>0.58946275219220501</v>
      </c>
      <c r="C142">
        <v>2.4</v>
      </c>
      <c r="D142">
        <v>7.76</v>
      </c>
      <c r="E142" t="s">
        <v>43</v>
      </c>
      <c r="F142">
        <v>48.711340206185568</v>
      </c>
      <c r="G142" t="s">
        <v>43</v>
      </c>
      <c r="J142">
        <v>25</v>
      </c>
      <c r="K142">
        <v>4</v>
      </c>
      <c r="L142">
        <v>3.516</v>
      </c>
      <c r="M142">
        <v>66.723549488054616</v>
      </c>
      <c r="O142">
        <f t="shared" si="2"/>
        <v>14.064</v>
      </c>
      <c r="Y142">
        <v>14.4</v>
      </c>
      <c r="Z142">
        <v>9.6999999999999993</v>
      </c>
      <c r="AA142">
        <v>0.53</v>
      </c>
      <c r="AB142">
        <v>39.814814814814817</v>
      </c>
    </row>
    <row r="143" spans="1:28" x14ac:dyDescent="0.2">
      <c r="A143">
        <v>25</v>
      </c>
      <c r="B143">
        <v>0.47157020175376396</v>
      </c>
      <c r="C143">
        <v>3</v>
      </c>
      <c r="D143">
        <v>5.9999999999999991</v>
      </c>
      <c r="E143" t="s">
        <v>43</v>
      </c>
      <c r="F143">
        <v>42.4</v>
      </c>
      <c r="G143" t="s">
        <v>43</v>
      </c>
      <c r="J143">
        <v>25</v>
      </c>
      <c r="K143">
        <v>4</v>
      </c>
      <c r="L143">
        <v>3.516</v>
      </c>
      <c r="M143">
        <v>68.600682593856661</v>
      </c>
      <c r="O143">
        <f t="shared" si="2"/>
        <v>14.064</v>
      </c>
      <c r="Y143">
        <v>19.5</v>
      </c>
      <c r="Z143">
        <v>9.6999999999999993</v>
      </c>
      <c r="AA143">
        <v>0.99463917525773216</v>
      </c>
      <c r="AB143">
        <v>64</v>
      </c>
    </row>
    <row r="144" spans="1:28" x14ac:dyDescent="0.2">
      <c r="A144">
        <v>25</v>
      </c>
      <c r="B144" t="s">
        <v>43</v>
      </c>
      <c r="C144">
        <v>4</v>
      </c>
      <c r="D144">
        <v>3.516</v>
      </c>
      <c r="E144">
        <v>44.573643410852718</v>
      </c>
      <c r="F144">
        <v>66.723549488054616</v>
      </c>
      <c r="G144" t="s">
        <v>43</v>
      </c>
      <c r="J144">
        <v>25</v>
      </c>
      <c r="K144">
        <v>4</v>
      </c>
      <c r="L144">
        <v>4.032</v>
      </c>
      <c r="M144">
        <v>64.583333333333343</v>
      </c>
      <c r="O144">
        <f t="shared" si="2"/>
        <v>16.128</v>
      </c>
      <c r="Y144">
        <v>30</v>
      </c>
      <c r="Z144">
        <v>9.6999999999999993</v>
      </c>
      <c r="AA144">
        <v>1.3929896907216497</v>
      </c>
      <c r="AB144">
        <v>64.120781527531079</v>
      </c>
    </row>
    <row r="145" spans="1:28" x14ac:dyDescent="0.2">
      <c r="A145">
        <v>25</v>
      </c>
      <c r="B145" t="s">
        <v>43</v>
      </c>
      <c r="C145">
        <v>4</v>
      </c>
      <c r="D145">
        <v>3.516</v>
      </c>
      <c r="E145">
        <v>44.961240310077521</v>
      </c>
      <c r="F145">
        <v>68.600682593856661</v>
      </c>
      <c r="G145" t="s">
        <v>43</v>
      </c>
      <c r="J145">
        <v>25</v>
      </c>
      <c r="K145">
        <v>4.7</v>
      </c>
      <c r="L145">
        <v>1.5931914893617023</v>
      </c>
      <c r="M145">
        <v>70</v>
      </c>
      <c r="O145">
        <f t="shared" si="2"/>
        <v>7.4880000000000013</v>
      </c>
      <c r="Y145">
        <v>27.5</v>
      </c>
      <c r="Z145">
        <v>9.8000000000000007</v>
      </c>
      <c r="AA145">
        <v>1.9493877551020407</v>
      </c>
      <c r="AB145">
        <v>16.206030150753769</v>
      </c>
    </row>
    <row r="146" spans="1:28" x14ac:dyDescent="0.2">
      <c r="A146">
        <v>25</v>
      </c>
      <c r="B146">
        <v>0.35367765131532297</v>
      </c>
      <c r="C146">
        <v>4</v>
      </c>
      <c r="D146">
        <v>4.032</v>
      </c>
      <c r="E146" t="s">
        <v>43</v>
      </c>
      <c r="F146">
        <v>64.583333333333343</v>
      </c>
      <c r="G146" t="s">
        <v>43</v>
      </c>
      <c r="J146">
        <v>25</v>
      </c>
      <c r="K146">
        <v>5.5</v>
      </c>
      <c r="L146" t="s">
        <v>43</v>
      </c>
      <c r="M146">
        <v>65</v>
      </c>
      <c r="O146" t="e">
        <f t="shared" si="2"/>
        <v>#VALUE!</v>
      </c>
      <c r="Y146">
        <v>23</v>
      </c>
      <c r="Z146">
        <v>9.9</v>
      </c>
      <c r="AA146">
        <v>0.96484848484848473</v>
      </c>
      <c r="AB146">
        <v>65</v>
      </c>
    </row>
    <row r="147" spans="1:28" x14ac:dyDescent="0.2">
      <c r="A147">
        <v>25</v>
      </c>
      <c r="B147" t="s">
        <v>43</v>
      </c>
      <c r="C147">
        <v>4</v>
      </c>
      <c r="D147">
        <v>2.238</v>
      </c>
      <c r="E147">
        <v>44.029850746268657</v>
      </c>
      <c r="F147">
        <v>53.619302949061662</v>
      </c>
      <c r="G147" t="s">
        <v>43</v>
      </c>
      <c r="J147">
        <v>25</v>
      </c>
      <c r="K147">
        <v>6</v>
      </c>
      <c r="L147">
        <v>1.4920000000000002</v>
      </c>
      <c r="M147">
        <v>55.227882037533519</v>
      </c>
      <c r="O147">
        <f t="shared" si="2"/>
        <v>8.9520000000000017</v>
      </c>
      <c r="Y147">
        <v>16</v>
      </c>
      <c r="Z147">
        <v>10</v>
      </c>
      <c r="AA147">
        <v>0.7</v>
      </c>
      <c r="AB147">
        <v>70</v>
      </c>
    </row>
    <row r="148" spans="1:28" x14ac:dyDescent="0.2">
      <c r="A148">
        <v>25</v>
      </c>
      <c r="B148" t="s">
        <v>43</v>
      </c>
      <c r="C148">
        <v>4.7</v>
      </c>
      <c r="D148">
        <v>1.5931914893617023</v>
      </c>
      <c r="E148" t="s">
        <v>43</v>
      </c>
      <c r="F148">
        <v>70</v>
      </c>
      <c r="G148" t="s">
        <v>43</v>
      </c>
      <c r="J148">
        <v>25</v>
      </c>
      <c r="K148">
        <v>6</v>
      </c>
      <c r="L148">
        <v>1.5719999999999998</v>
      </c>
      <c r="M148">
        <v>58</v>
      </c>
      <c r="O148">
        <f t="shared" si="2"/>
        <v>9.4319999999999986</v>
      </c>
      <c r="Y148">
        <v>17</v>
      </c>
      <c r="Z148">
        <v>10</v>
      </c>
      <c r="AA148">
        <v>1.5288000000000002</v>
      </c>
      <c r="AB148">
        <v>60</v>
      </c>
    </row>
    <row r="149" spans="1:28" x14ac:dyDescent="0.2">
      <c r="A149">
        <v>25</v>
      </c>
      <c r="B149" t="s">
        <v>43</v>
      </c>
      <c r="C149">
        <v>5.5</v>
      </c>
      <c r="D149" t="s">
        <v>43</v>
      </c>
      <c r="E149" t="s">
        <v>334</v>
      </c>
      <c r="F149" t="s">
        <v>335</v>
      </c>
      <c r="J149">
        <v>25</v>
      </c>
      <c r="K149">
        <v>6</v>
      </c>
      <c r="L149">
        <v>2.2520000000000002</v>
      </c>
      <c r="M149">
        <v>68.383658969804614</v>
      </c>
      <c r="O149">
        <f t="shared" si="2"/>
        <v>13.512</v>
      </c>
      <c r="Y149">
        <v>19</v>
      </c>
      <c r="Z149">
        <v>10</v>
      </c>
      <c r="AA149">
        <v>1.5288000000000002</v>
      </c>
      <c r="AB149">
        <v>64</v>
      </c>
    </row>
    <row r="150" spans="1:28" x14ac:dyDescent="0.2">
      <c r="A150">
        <v>25</v>
      </c>
      <c r="B150">
        <v>0.23578510087688198</v>
      </c>
      <c r="C150">
        <v>6</v>
      </c>
      <c r="D150">
        <v>2.7919999999999998</v>
      </c>
      <c r="E150" t="s">
        <v>43</v>
      </c>
      <c r="F150">
        <v>71.633237822349571</v>
      </c>
      <c r="G150" t="s">
        <v>43</v>
      </c>
      <c r="J150">
        <v>25</v>
      </c>
      <c r="K150">
        <v>6</v>
      </c>
      <c r="L150">
        <v>2.2520000000000002</v>
      </c>
      <c r="M150">
        <v>69.982238010657198</v>
      </c>
      <c r="O150">
        <f t="shared" si="2"/>
        <v>13.512</v>
      </c>
      <c r="Y150">
        <v>20</v>
      </c>
      <c r="Z150">
        <v>10</v>
      </c>
      <c r="AA150">
        <v>1.05</v>
      </c>
      <c r="AB150">
        <v>84.352941176470594</v>
      </c>
    </row>
    <row r="151" spans="1:28" x14ac:dyDescent="0.2">
      <c r="A151">
        <v>25</v>
      </c>
      <c r="B151" t="s">
        <v>43</v>
      </c>
      <c r="C151">
        <v>6</v>
      </c>
      <c r="D151">
        <v>1.5719999999999998</v>
      </c>
      <c r="E151">
        <v>61</v>
      </c>
      <c r="F151">
        <v>58</v>
      </c>
      <c r="G151" t="s">
        <v>43</v>
      </c>
      <c r="J151">
        <v>25</v>
      </c>
      <c r="K151">
        <v>6</v>
      </c>
      <c r="L151">
        <v>2.2520000000000002</v>
      </c>
      <c r="M151">
        <v>73.53463587921847</v>
      </c>
      <c r="O151">
        <f t="shared" si="2"/>
        <v>13.512</v>
      </c>
      <c r="Y151">
        <v>27.3</v>
      </c>
      <c r="Z151">
        <v>10</v>
      </c>
      <c r="AA151">
        <v>0.47</v>
      </c>
      <c r="AB151">
        <v>68.341708542713562</v>
      </c>
    </row>
    <row r="152" spans="1:28" x14ac:dyDescent="0.2">
      <c r="A152">
        <v>25</v>
      </c>
      <c r="B152" t="s">
        <v>43</v>
      </c>
      <c r="C152">
        <v>6</v>
      </c>
      <c r="D152">
        <v>1.4920000000000002</v>
      </c>
      <c r="E152">
        <v>47.014925373134332</v>
      </c>
      <c r="F152">
        <v>55.227882037533519</v>
      </c>
      <c r="G152" t="s">
        <v>43</v>
      </c>
      <c r="J152">
        <v>25</v>
      </c>
      <c r="K152">
        <v>6</v>
      </c>
      <c r="L152">
        <v>2.7919999999999998</v>
      </c>
      <c r="M152">
        <v>71.633237822349571</v>
      </c>
      <c r="O152">
        <f t="shared" si="2"/>
        <v>16.751999999999999</v>
      </c>
      <c r="Y152">
        <v>20.5</v>
      </c>
      <c r="Z152">
        <v>10.199999999999999</v>
      </c>
      <c r="AA152">
        <v>1.331764705882353</v>
      </c>
      <c r="AB152">
        <v>51.060070671378085</v>
      </c>
    </row>
    <row r="153" spans="1:28" x14ac:dyDescent="0.2">
      <c r="A153">
        <v>25</v>
      </c>
      <c r="B153" t="s">
        <v>43</v>
      </c>
      <c r="C153">
        <v>6</v>
      </c>
      <c r="D153">
        <v>2.2520000000000002</v>
      </c>
      <c r="E153">
        <v>68.899521531100476</v>
      </c>
      <c r="F153">
        <v>68.383658969804614</v>
      </c>
      <c r="G153" t="s">
        <v>43</v>
      </c>
      <c r="J153">
        <v>25</v>
      </c>
      <c r="K153">
        <v>6.2</v>
      </c>
      <c r="L153">
        <v>0.9987096774193549</v>
      </c>
      <c r="M153">
        <v>60.077519379844958</v>
      </c>
      <c r="O153">
        <f t="shared" si="2"/>
        <v>6.1920000000000002</v>
      </c>
      <c r="Y153">
        <v>27.5</v>
      </c>
      <c r="Z153">
        <v>10.199999999999999</v>
      </c>
      <c r="AA153">
        <v>1.2682352941176471</v>
      </c>
      <c r="AB153">
        <v>49.165120593692023</v>
      </c>
    </row>
    <row r="154" spans="1:28" x14ac:dyDescent="0.2">
      <c r="A154">
        <v>25</v>
      </c>
      <c r="B154" t="s">
        <v>43</v>
      </c>
      <c r="C154">
        <v>6</v>
      </c>
      <c r="D154">
        <v>2.2520000000000002</v>
      </c>
      <c r="E154">
        <v>74.401913875598098</v>
      </c>
      <c r="F154">
        <v>73.53463587921847</v>
      </c>
      <c r="G154" t="s">
        <v>43</v>
      </c>
      <c r="J154">
        <v>25</v>
      </c>
      <c r="K154">
        <v>7.5</v>
      </c>
      <c r="L154">
        <v>0.62079999999999991</v>
      </c>
      <c r="M154">
        <v>54.123711340206185</v>
      </c>
      <c r="O154">
        <f t="shared" si="2"/>
        <v>4.6559999999999997</v>
      </c>
      <c r="Y154">
        <v>15</v>
      </c>
      <c r="Z154">
        <v>10.32</v>
      </c>
      <c r="AA154">
        <v>0.79</v>
      </c>
      <c r="AB154">
        <v>70.3</v>
      </c>
    </row>
    <row r="155" spans="1:28" x14ac:dyDescent="0.2">
      <c r="A155">
        <v>25</v>
      </c>
      <c r="B155" t="s">
        <v>43</v>
      </c>
      <c r="C155">
        <v>6</v>
      </c>
      <c r="D155">
        <v>2.2520000000000002</v>
      </c>
      <c r="E155">
        <v>67.942583732057415</v>
      </c>
      <c r="F155">
        <v>69.982238010657198</v>
      </c>
      <c r="G155" t="s">
        <v>43</v>
      </c>
      <c r="J155">
        <v>25</v>
      </c>
      <c r="K155">
        <v>8</v>
      </c>
      <c r="L155">
        <v>0.6</v>
      </c>
      <c r="M155">
        <v>72</v>
      </c>
      <c r="O155">
        <f t="shared" si="2"/>
        <v>4.8</v>
      </c>
      <c r="Y155">
        <v>22</v>
      </c>
      <c r="Z155">
        <v>10.327272727272726</v>
      </c>
      <c r="AA155">
        <v>0.8668309859154929</v>
      </c>
      <c r="AB155">
        <v>57</v>
      </c>
    </row>
    <row r="156" spans="1:28" x14ac:dyDescent="0.2">
      <c r="A156">
        <v>25</v>
      </c>
      <c r="C156">
        <v>6.2</v>
      </c>
      <c r="D156">
        <v>0.9987096774193549</v>
      </c>
      <c r="E156">
        <v>67.256637168141594</v>
      </c>
      <c r="F156">
        <v>60.077519379844958</v>
      </c>
      <c r="G156" t="s">
        <v>43</v>
      </c>
      <c r="J156">
        <v>25</v>
      </c>
      <c r="K156">
        <v>8.6</v>
      </c>
      <c r="L156">
        <v>0.52</v>
      </c>
      <c r="M156">
        <v>70</v>
      </c>
      <c r="O156">
        <f t="shared" si="2"/>
        <v>4.4719999999999995</v>
      </c>
      <c r="Y156">
        <v>20</v>
      </c>
      <c r="Z156">
        <v>10.4</v>
      </c>
      <c r="AA156">
        <v>0.9</v>
      </c>
      <c r="AB156">
        <v>61.989795918367349</v>
      </c>
    </row>
    <row r="157" spans="1:28" x14ac:dyDescent="0.2">
      <c r="A157">
        <v>25</v>
      </c>
      <c r="C157">
        <v>7.5</v>
      </c>
      <c r="D157">
        <v>0.62079999999999991</v>
      </c>
      <c r="E157">
        <v>62.637362637362635</v>
      </c>
      <c r="F157">
        <v>54.123711340206185</v>
      </c>
      <c r="G157" t="s">
        <v>43</v>
      </c>
      <c r="J157">
        <v>25</v>
      </c>
      <c r="K157">
        <v>8.8000000000000007</v>
      </c>
      <c r="L157">
        <v>1.780909090909091</v>
      </c>
      <c r="M157">
        <v>22</v>
      </c>
      <c r="O157">
        <f t="shared" si="2"/>
        <v>15.672000000000002</v>
      </c>
      <c r="Y157">
        <v>27.5</v>
      </c>
      <c r="Z157">
        <v>10.4</v>
      </c>
      <c r="AA157">
        <v>0.87461538461538446</v>
      </c>
      <c r="AB157">
        <v>58.311345646437992</v>
      </c>
    </row>
    <row r="158" spans="1:28" x14ac:dyDescent="0.2">
      <c r="A158">
        <v>25</v>
      </c>
      <c r="C158">
        <v>8</v>
      </c>
      <c r="D158">
        <v>0.6</v>
      </c>
      <c r="E158" t="s">
        <v>43</v>
      </c>
      <c r="F158">
        <v>72</v>
      </c>
      <c r="G158" t="s">
        <v>43</v>
      </c>
      <c r="J158">
        <v>25</v>
      </c>
      <c r="K158">
        <v>9.1</v>
      </c>
      <c r="L158">
        <v>0.48</v>
      </c>
      <c r="M158">
        <v>63</v>
      </c>
      <c r="O158">
        <f t="shared" si="2"/>
        <v>4.3679999999999994</v>
      </c>
      <c r="Y158">
        <v>25</v>
      </c>
      <c r="Z158">
        <v>10.5</v>
      </c>
      <c r="AA158">
        <v>1.7028571428571431</v>
      </c>
      <c r="AB158">
        <v>31</v>
      </c>
    </row>
    <row r="159" spans="1:28" x14ac:dyDescent="0.2">
      <c r="A159">
        <v>25</v>
      </c>
      <c r="C159">
        <v>8.6</v>
      </c>
      <c r="D159">
        <v>0.52</v>
      </c>
      <c r="E159" t="s">
        <v>43</v>
      </c>
      <c r="F159">
        <v>70</v>
      </c>
      <c r="G159" t="s">
        <v>43</v>
      </c>
      <c r="J159">
        <v>25</v>
      </c>
      <c r="K159">
        <v>9.5</v>
      </c>
      <c r="L159">
        <v>2.0715789473684212</v>
      </c>
      <c r="M159">
        <v>23</v>
      </c>
      <c r="O159">
        <f t="shared" si="2"/>
        <v>19.68</v>
      </c>
      <c r="Y159">
        <v>23</v>
      </c>
      <c r="Z159">
        <v>10.6</v>
      </c>
      <c r="AA159">
        <v>0.90113207547169805</v>
      </c>
      <c r="AB159">
        <v>52</v>
      </c>
    </row>
    <row r="160" spans="1:28" x14ac:dyDescent="0.2">
      <c r="A160">
        <v>25</v>
      </c>
      <c r="B160">
        <v>0.35</v>
      </c>
      <c r="C160">
        <v>8.8000000000000007</v>
      </c>
      <c r="D160">
        <v>1.780909090909091</v>
      </c>
      <c r="E160">
        <v>27</v>
      </c>
      <c r="F160">
        <v>22</v>
      </c>
      <c r="G160" t="s">
        <v>43</v>
      </c>
      <c r="J160">
        <v>25</v>
      </c>
      <c r="K160">
        <v>10.5</v>
      </c>
      <c r="L160">
        <v>1.7028571428571431</v>
      </c>
      <c r="M160">
        <v>31</v>
      </c>
      <c r="O160">
        <f t="shared" si="2"/>
        <v>17.880000000000003</v>
      </c>
      <c r="Y160">
        <v>20.5</v>
      </c>
      <c r="Z160">
        <v>10.9</v>
      </c>
      <c r="AA160">
        <v>1.664587155963303</v>
      </c>
      <c r="AB160">
        <v>40.476190476190474</v>
      </c>
    </row>
    <row r="161" spans="1:28" x14ac:dyDescent="0.2">
      <c r="A161">
        <v>25</v>
      </c>
      <c r="C161">
        <v>9.1</v>
      </c>
      <c r="D161">
        <v>0.48</v>
      </c>
      <c r="E161" t="s">
        <v>43</v>
      </c>
      <c r="F161">
        <v>63</v>
      </c>
      <c r="G161" t="s">
        <v>43</v>
      </c>
      <c r="J161">
        <v>25</v>
      </c>
      <c r="K161">
        <v>11.2</v>
      </c>
      <c r="L161">
        <v>1.4121428571428571</v>
      </c>
      <c r="M161">
        <v>41</v>
      </c>
      <c r="O161">
        <f t="shared" si="2"/>
        <v>15.815999999999999</v>
      </c>
      <c r="Y161">
        <v>18</v>
      </c>
      <c r="Z161">
        <v>11</v>
      </c>
      <c r="AA161">
        <v>0.87927272727272721</v>
      </c>
      <c r="AB161">
        <v>63.027295285359799</v>
      </c>
    </row>
    <row r="162" spans="1:28" x14ac:dyDescent="0.2">
      <c r="A162">
        <v>25</v>
      </c>
      <c r="B162">
        <v>0.32</v>
      </c>
      <c r="C162">
        <v>9.5</v>
      </c>
      <c r="D162">
        <v>2.0715789473684212</v>
      </c>
      <c r="E162">
        <v>8.1999999999999993</v>
      </c>
      <c r="F162">
        <v>23</v>
      </c>
      <c r="G162" t="s">
        <v>43</v>
      </c>
      <c r="J162">
        <v>25</v>
      </c>
      <c r="K162">
        <v>13</v>
      </c>
      <c r="L162">
        <v>1.3956923076923078</v>
      </c>
      <c r="M162">
        <v>66</v>
      </c>
      <c r="O162">
        <f t="shared" si="2"/>
        <v>18.144000000000002</v>
      </c>
      <c r="Y162">
        <v>25</v>
      </c>
      <c r="Z162">
        <v>11.2</v>
      </c>
      <c r="AA162">
        <v>1.4121428571428571</v>
      </c>
      <c r="AB162">
        <v>41</v>
      </c>
    </row>
    <row r="163" spans="1:28" x14ac:dyDescent="0.2">
      <c r="A163">
        <v>25</v>
      </c>
      <c r="B163">
        <v>0.28999999999999998</v>
      </c>
      <c r="C163">
        <v>10.5</v>
      </c>
      <c r="D163">
        <v>1.7028571428571431</v>
      </c>
      <c r="E163">
        <v>55</v>
      </c>
      <c r="F163">
        <v>31</v>
      </c>
      <c r="G163" t="s">
        <v>43</v>
      </c>
      <c r="J163">
        <v>25</v>
      </c>
      <c r="K163">
        <v>16</v>
      </c>
      <c r="L163">
        <v>1.3884000000000001</v>
      </c>
      <c r="M163">
        <v>67.8</v>
      </c>
      <c r="O163">
        <f t="shared" si="2"/>
        <v>22.214400000000001</v>
      </c>
      <c r="Y163">
        <v>27.5</v>
      </c>
      <c r="Z163">
        <v>11.8</v>
      </c>
      <c r="AA163">
        <v>1.1125423728813557</v>
      </c>
      <c r="AB163">
        <v>55.210237659963433</v>
      </c>
    </row>
    <row r="164" spans="1:28" x14ac:dyDescent="0.2">
      <c r="A164">
        <v>25</v>
      </c>
      <c r="B164">
        <v>0.27</v>
      </c>
      <c r="C164">
        <v>11.2</v>
      </c>
      <c r="D164">
        <v>1.4121428571428571</v>
      </c>
      <c r="E164">
        <v>42</v>
      </c>
      <c r="F164">
        <v>41</v>
      </c>
      <c r="G164" t="s">
        <v>43</v>
      </c>
      <c r="J164">
        <v>25</v>
      </c>
      <c r="K164">
        <v>16</v>
      </c>
      <c r="L164">
        <v>1.3884000000000001</v>
      </c>
      <c r="M164">
        <v>68.5</v>
      </c>
      <c r="O164">
        <f t="shared" si="2"/>
        <v>22.214400000000001</v>
      </c>
      <c r="Y164">
        <v>9</v>
      </c>
      <c r="Z164">
        <v>12</v>
      </c>
      <c r="AA164">
        <v>1.7</v>
      </c>
      <c r="AB164">
        <v>43.916570104287374</v>
      </c>
    </row>
    <row r="165" spans="1:28" x14ac:dyDescent="0.2">
      <c r="A165">
        <v>25</v>
      </c>
      <c r="B165">
        <v>0.33</v>
      </c>
      <c r="C165">
        <v>13</v>
      </c>
      <c r="D165">
        <v>1.3956923076923078</v>
      </c>
      <c r="E165">
        <v>67</v>
      </c>
      <c r="F165">
        <v>66</v>
      </c>
      <c r="G165" t="s">
        <v>43</v>
      </c>
      <c r="J165">
        <v>25</v>
      </c>
      <c r="K165">
        <v>24</v>
      </c>
      <c r="L165">
        <v>0.14000000000000001</v>
      </c>
      <c r="M165">
        <v>30</v>
      </c>
      <c r="O165">
        <f t="shared" si="2"/>
        <v>3.3600000000000003</v>
      </c>
      <c r="Y165">
        <v>15</v>
      </c>
      <c r="Z165">
        <v>12</v>
      </c>
      <c r="AA165">
        <v>0.82</v>
      </c>
      <c r="AB165">
        <v>53.2</v>
      </c>
    </row>
    <row r="166" spans="1:28" x14ac:dyDescent="0.2">
      <c r="A166">
        <v>25</v>
      </c>
      <c r="B166">
        <v>0.2</v>
      </c>
      <c r="C166">
        <v>16</v>
      </c>
      <c r="D166">
        <v>1.3884000000000001</v>
      </c>
      <c r="E166">
        <v>76</v>
      </c>
      <c r="F166">
        <v>67.8</v>
      </c>
      <c r="G166" t="s">
        <v>43</v>
      </c>
      <c r="J166">
        <v>25</v>
      </c>
      <c r="K166">
        <v>25</v>
      </c>
      <c r="L166" t="s">
        <v>356</v>
      </c>
      <c r="M166">
        <v>62</v>
      </c>
      <c r="O166" t="e">
        <f t="shared" si="2"/>
        <v>#VALUE!</v>
      </c>
      <c r="Y166">
        <v>19</v>
      </c>
      <c r="Z166">
        <v>12</v>
      </c>
      <c r="AA166">
        <v>0.48599999999999999</v>
      </c>
      <c r="AB166">
        <v>67</v>
      </c>
    </row>
    <row r="167" spans="1:28" x14ac:dyDescent="0.2">
      <c r="A167">
        <v>25</v>
      </c>
      <c r="B167">
        <v>0.2</v>
      </c>
      <c r="C167">
        <v>16</v>
      </c>
      <c r="D167">
        <v>1.3884000000000001</v>
      </c>
      <c r="E167">
        <v>79</v>
      </c>
      <c r="F167">
        <v>68.5</v>
      </c>
      <c r="G167" t="s">
        <v>43</v>
      </c>
      <c r="J167">
        <v>25.5</v>
      </c>
      <c r="K167">
        <v>8</v>
      </c>
      <c r="L167">
        <v>2</v>
      </c>
      <c r="M167">
        <v>65.938864628820966</v>
      </c>
      <c r="O167">
        <f t="shared" si="2"/>
        <v>16</v>
      </c>
      <c r="Y167">
        <v>26</v>
      </c>
      <c r="Z167">
        <v>12</v>
      </c>
      <c r="AA167" t="s">
        <v>293</v>
      </c>
      <c r="AB167">
        <v>50</v>
      </c>
    </row>
    <row r="168" spans="1:28" x14ac:dyDescent="0.2">
      <c r="A168">
        <v>25</v>
      </c>
      <c r="C168">
        <v>24</v>
      </c>
      <c r="D168">
        <v>0.14000000000000001</v>
      </c>
      <c r="E168" t="s">
        <v>43</v>
      </c>
      <c r="F168">
        <v>30</v>
      </c>
      <c r="G168" t="s">
        <v>43</v>
      </c>
      <c r="J168">
        <v>25.5</v>
      </c>
      <c r="K168">
        <v>13.7</v>
      </c>
      <c r="L168">
        <v>0.26</v>
      </c>
      <c r="M168">
        <v>54.635761589403977</v>
      </c>
      <c r="O168">
        <f t="shared" si="2"/>
        <v>3.5619999999999998</v>
      </c>
      <c r="Y168">
        <v>20</v>
      </c>
      <c r="Z168">
        <v>12.3</v>
      </c>
      <c r="AA168">
        <v>0.43</v>
      </c>
      <c r="AB168">
        <v>45.662100456621005</v>
      </c>
    </row>
    <row r="169" spans="1:28" x14ac:dyDescent="0.2">
      <c r="A169">
        <v>25</v>
      </c>
      <c r="B169" t="s">
        <v>355</v>
      </c>
      <c r="C169">
        <v>25</v>
      </c>
      <c r="D169" t="s">
        <v>356</v>
      </c>
      <c r="E169">
        <v>60</v>
      </c>
      <c r="F169">
        <v>62</v>
      </c>
      <c r="G169" t="s">
        <v>43</v>
      </c>
      <c r="J169">
        <v>25.5</v>
      </c>
      <c r="K169">
        <v>72</v>
      </c>
      <c r="L169">
        <v>0.14466666666666669</v>
      </c>
      <c r="M169">
        <v>60.36866359447005</v>
      </c>
      <c r="O169">
        <f t="shared" si="2"/>
        <v>10.416000000000002</v>
      </c>
      <c r="Y169">
        <v>13</v>
      </c>
      <c r="Z169">
        <v>12.5</v>
      </c>
      <c r="AA169">
        <v>0.43</v>
      </c>
      <c r="AB169">
        <v>57</v>
      </c>
    </row>
    <row r="170" spans="1:28" x14ac:dyDescent="0.2">
      <c r="A170">
        <v>25.5</v>
      </c>
      <c r="B170">
        <v>0.61115498147287806</v>
      </c>
      <c r="C170">
        <v>8</v>
      </c>
      <c r="D170">
        <v>2</v>
      </c>
      <c r="E170">
        <v>68.646864686468646</v>
      </c>
      <c r="F170">
        <v>65.938864628820966</v>
      </c>
      <c r="G170" t="s">
        <v>43</v>
      </c>
      <c r="J170">
        <v>26</v>
      </c>
      <c r="K170">
        <v>2.7</v>
      </c>
      <c r="L170">
        <v>5.0844444444444434</v>
      </c>
      <c r="M170">
        <v>63.111888111888113</v>
      </c>
      <c r="O170">
        <f t="shared" si="2"/>
        <v>13.727999999999998</v>
      </c>
      <c r="Y170">
        <v>14.7</v>
      </c>
      <c r="Z170">
        <v>12.8</v>
      </c>
      <c r="AA170">
        <v>0.27</v>
      </c>
      <c r="AB170">
        <v>39.726027397260275</v>
      </c>
    </row>
    <row r="171" spans="1:28" x14ac:dyDescent="0.2">
      <c r="A171">
        <v>25.5</v>
      </c>
      <c r="B171">
        <v>0.11678832116788324</v>
      </c>
      <c r="C171">
        <v>13.7</v>
      </c>
      <c r="D171">
        <v>0.26</v>
      </c>
      <c r="E171">
        <v>88.965517241379317</v>
      </c>
      <c r="F171">
        <v>54.635761589403977</v>
      </c>
      <c r="G171" t="s">
        <v>43</v>
      </c>
      <c r="J171">
        <v>26</v>
      </c>
      <c r="K171">
        <v>2.7</v>
      </c>
      <c r="L171">
        <v>5.0844444444444434</v>
      </c>
      <c r="M171">
        <v>66.783216783216787</v>
      </c>
      <c r="O171">
        <f t="shared" si="2"/>
        <v>13.727999999999998</v>
      </c>
      <c r="Y171">
        <v>25</v>
      </c>
      <c r="Z171">
        <v>13</v>
      </c>
      <c r="AA171">
        <v>1.3956923076923078</v>
      </c>
      <c r="AB171">
        <v>66</v>
      </c>
    </row>
    <row r="172" spans="1:28" x14ac:dyDescent="0.2">
      <c r="A172">
        <v>25.5</v>
      </c>
      <c r="B172">
        <v>5.6588424210451668E-2</v>
      </c>
      <c r="C172">
        <v>72</v>
      </c>
      <c r="D172">
        <v>0.14466666666666669</v>
      </c>
      <c r="E172">
        <v>50.936329588014985</v>
      </c>
      <c r="F172">
        <v>60.36866359447005</v>
      </c>
      <c r="G172" t="s">
        <v>43</v>
      </c>
      <c r="J172">
        <v>26</v>
      </c>
      <c r="K172">
        <v>4</v>
      </c>
      <c r="L172">
        <v>1</v>
      </c>
      <c r="M172">
        <v>53</v>
      </c>
      <c r="O172">
        <f t="shared" si="2"/>
        <v>4</v>
      </c>
      <c r="Y172">
        <v>12.7</v>
      </c>
      <c r="Z172">
        <v>13.6</v>
      </c>
      <c r="AA172">
        <v>0.71</v>
      </c>
      <c r="AB172">
        <v>40.25</v>
      </c>
    </row>
    <row r="173" spans="1:28" x14ac:dyDescent="0.2">
      <c r="A173">
        <v>26</v>
      </c>
      <c r="B173" t="s">
        <v>43</v>
      </c>
      <c r="C173">
        <v>2.7</v>
      </c>
      <c r="D173">
        <v>5.0844444444444434</v>
      </c>
      <c r="E173">
        <v>47.5</v>
      </c>
      <c r="F173">
        <v>63.111888111888113</v>
      </c>
      <c r="G173" t="s">
        <v>43</v>
      </c>
      <c r="J173">
        <v>26</v>
      </c>
      <c r="K173">
        <v>4</v>
      </c>
      <c r="L173">
        <v>1</v>
      </c>
      <c r="M173">
        <v>61</v>
      </c>
      <c r="O173">
        <f t="shared" si="2"/>
        <v>4</v>
      </c>
      <c r="Y173">
        <v>24.3</v>
      </c>
      <c r="Z173">
        <v>13.6</v>
      </c>
      <c r="AA173">
        <v>1.54</v>
      </c>
      <c r="AB173">
        <v>71.085714285714289</v>
      </c>
    </row>
    <row r="174" spans="1:28" x14ac:dyDescent="0.2">
      <c r="A174">
        <v>26</v>
      </c>
      <c r="B174" t="s">
        <v>43</v>
      </c>
      <c r="C174">
        <v>2.7</v>
      </c>
      <c r="D174">
        <v>5.0844444444444434</v>
      </c>
      <c r="E174">
        <v>46.428571428571431</v>
      </c>
      <c r="F174">
        <v>66.783216783216787</v>
      </c>
      <c r="G174" t="s">
        <v>43</v>
      </c>
      <c r="J174">
        <v>26</v>
      </c>
      <c r="K174">
        <v>4</v>
      </c>
      <c r="L174">
        <v>1</v>
      </c>
      <c r="M174">
        <v>73</v>
      </c>
      <c r="O174">
        <f t="shared" si="2"/>
        <v>4</v>
      </c>
      <c r="Y174">
        <v>25.5</v>
      </c>
      <c r="Z174">
        <v>13.7</v>
      </c>
      <c r="AA174">
        <v>0.26</v>
      </c>
      <c r="AB174">
        <v>54.635761589403977</v>
      </c>
    </row>
    <row r="175" spans="1:28" x14ac:dyDescent="0.2">
      <c r="A175">
        <v>26</v>
      </c>
      <c r="B175">
        <v>0.42</v>
      </c>
      <c r="C175">
        <v>4</v>
      </c>
      <c r="D175">
        <v>1.9259999999999997</v>
      </c>
      <c r="E175">
        <v>62</v>
      </c>
      <c r="F175">
        <v>52.336448598130836</v>
      </c>
      <c r="G175" t="s">
        <v>43</v>
      </c>
      <c r="J175">
        <v>26</v>
      </c>
      <c r="K175">
        <v>4</v>
      </c>
      <c r="L175">
        <v>1.9259999999999997</v>
      </c>
      <c r="M175">
        <v>52.336448598130836</v>
      </c>
      <c r="O175">
        <f t="shared" si="2"/>
        <v>7.7039999999999988</v>
      </c>
      <c r="Y175">
        <v>15</v>
      </c>
      <c r="Z175">
        <v>13.919999999999998</v>
      </c>
      <c r="AA175">
        <v>0.45</v>
      </c>
      <c r="AB175">
        <v>63.7</v>
      </c>
    </row>
    <row r="176" spans="1:28" x14ac:dyDescent="0.2">
      <c r="A176">
        <v>26</v>
      </c>
      <c r="B176">
        <v>0.60546875</v>
      </c>
      <c r="C176">
        <v>4</v>
      </c>
      <c r="D176">
        <v>1</v>
      </c>
      <c r="E176" t="s">
        <v>43</v>
      </c>
      <c r="F176">
        <v>53</v>
      </c>
      <c r="G176" t="s">
        <v>43</v>
      </c>
      <c r="J176">
        <v>26</v>
      </c>
      <c r="K176">
        <v>6</v>
      </c>
      <c r="L176">
        <v>0.53</v>
      </c>
      <c r="M176">
        <v>47</v>
      </c>
      <c r="O176">
        <f t="shared" si="2"/>
        <v>3.18</v>
      </c>
      <c r="Y176">
        <v>17</v>
      </c>
      <c r="Z176">
        <v>14</v>
      </c>
      <c r="AA176">
        <v>1.0919999999999999</v>
      </c>
      <c r="AB176">
        <v>72</v>
      </c>
    </row>
    <row r="177" spans="1:28" x14ac:dyDescent="0.2">
      <c r="A177">
        <v>26</v>
      </c>
      <c r="B177">
        <v>0.60546875</v>
      </c>
      <c r="C177">
        <v>4</v>
      </c>
      <c r="D177">
        <v>1</v>
      </c>
      <c r="E177" t="s">
        <v>43</v>
      </c>
      <c r="F177">
        <v>61</v>
      </c>
      <c r="G177" t="s">
        <v>43</v>
      </c>
      <c r="J177">
        <v>26</v>
      </c>
      <c r="K177">
        <v>6</v>
      </c>
      <c r="L177">
        <v>0.53</v>
      </c>
      <c r="M177">
        <v>47</v>
      </c>
      <c r="O177">
        <f t="shared" si="2"/>
        <v>3.18</v>
      </c>
      <c r="Y177">
        <v>19</v>
      </c>
      <c r="Z177">
        <v>14</v>
      </c>
      <c r="AA177">
        <v>1.0919999999999999</v>
      </c>
      <c r="AB177">
        <v>73</v>
      </c>
    </row>
    <row r="178" spans="1:28" x14ac:dyDescent="0.2">
      <c r="A178">
        <v>26</v>
      </c>
      <c r="B178">
        <v>0.60546875</v>
      </c>
      <c r="C178">
        <v>4</v>
      </c>
      <c r="D178">
        <v>1</v>
      </c>
      <c r="E178" t="s">
        <v>43</v>
      </c>
      <c r="F178">
        <v>73</v>
      </c>
      <c r="G178" t="s">
        <v>43</v>
      </c>
      <c r="J178">
        <v>26</v>
      </c>
      <c r="K178">
        <v>6</v>
      </c>
      <c r="L178">
        <v>0.53</v>
      </c>
      <c r="M178">
        <v>62</v>
      </c>
      <c r="O178">
        <f t="shared" si="2"/>
        <v>3.18</v>
      </c>
      <c r="Y178">
        <v>20.5</v>
      </c>
      <c r="Z178">
        <v>14.3</v>
      </c>
      <c r="AA178">
        <v>1.1563636363636363</v>
      </c>
      <c r="AB178">
        <v>41.509433962264154</v>
      </c>
    </row>
    <row r="179" spans="1:28" x14ac:dyDescent="0.2">
      <c r="A179">
        <v>26</v>
      </c>
      <c r="B179">
        <v>0.40364583333333331</v>
      </c>
      <c r="C179">
        <v>6</v>
      </c>
      <c r="D179">
        <v>0.53</v>
      </c>
      <c r="E179" t="s">
        <v>43</v>
      </c>
      <c r="F179">
        <v>47</v>
      </c>
      <c r="G179" t="s">
        <v>43</v>
      </c>
      <c r="J179">
        <v>26</v>
      </c>
      <c r="K179">
        <v>8</v>
      </c>
      <c r="L179">
        <v>0.63</v>
      </c>
      <c r="M179">
        <v>61</v>
      </c>
      <c r="O179">
        <f t="shared" si="2"/>
        <v>5.04</v>
      </c>
      <c r="Y179">
        <v>13.7</v>
      </c>
      <c r="Z179">
        <v>14.5</v>
      </c>
      <c r="AA179">
        <v>0.56999999999999995</v>
      </c>
      <c r="AB179">
        <v>44.508670520231213</v>
      </c>
    </row>
    <row r="180" spans="1:28" x14ac:dyDescent="0.2">
      <c r="A180">
        <v>26</v>
      </c>
      <c r="B180">
        <v>0.40364583333333331</v>
      </c>
      <c r="C180">
        <v>6</v>
      </c>
      <c r="D180">
        <v>0.53</v>
      </c>
      <c r="E180" t="s">
        <v>43</v>
      </c>
      <c r="F180">
        <v>47</v>
      </c>
      <c r="G180" t="s">
        <v>43</v>
      </c>
      <c r="J180">
        <v>26</v>
      </c>
      <c r="K180">
        <v>8</v>
      </c>
      <c r="L180">
        <v>0.63</v>
      </c>
      <c r="M180">
        <v>65</v>
      </c>
      <c r="O180">
        <f t="shared" si="2"/>
        <v>5.04</v>
      </c>
      <c r="Y180">
        <v>19</v>
      </c>
      <c r="Z180">
        <v>14.5</v>
      </c>
      <c r="AA180">
        <v>0.66206896551724137</v>
      </c>
      <c r="AB180">
        <v>64.5</v>
      </c>
    </row>
    <row r="181" spans="1:28" x14ac:dyDescent="0.2">
      <c r="A181">
        <v>26</v>
      </c>
      <c r="B181">
        <v>0.40364583333333331</v>
      </c>
      <c r="C181">
        <v>6</v>
      </c>
      <c r="D181">
        <v>0.53</v>
      </c>
      <c r="E181" t="s">
        <v>43</v>
      </c>
      <c r="F181">
        <v>62</v>
      </c>
      <c r="G181" t="s">
        <v>43</v>
      </c>
      <c r="J181">
        <v>26</v>
      </c>
      <c r="K181">
        <v>8</v>
      </c>
      <c r="L181">
        <v>0.63</v>
      </c>
      <c r="M181">
        <v>81</v>
      </c>
      <c r="O181">
        <f t="shared" si="2"/>
        <v>5.04</v>
      </c>
      <c r="Y181">
        <v>26</v>
      </c>
      <c r="Z181">
        <v>15.324999999999999</v>
      </c>
      <c r="AA181">
        <v>2</v>
      </c>
      <c r="AB181">
        <v>70</v>
      </c>
    </row>
    <row r="182" spans="1:28" x14ac:dyDescent="0.2">
      <c r="A182">
        <v>26</v>
      </c>
      <c r="B182">
        <v>0.302734375</v>
      </c>
      <c r="C182">
        <v>8</v>
      </c>
      <c r="D182">
        <v>0.63</v>
      </c>
      <c r="E182" t="s">
        <v>43</v>
      </c>
      <c r="F182">
        <v>61</v>
      </c>
      <c r="G182" t="s">
        <v>43</v>
      </c>
      <c r="J182">
        <v>26</v>
      </c>
      <c r="K182">
        <v>12</v>
      </c>
      <c r="L182" t="s">
        <v>293</v>
      </c>
      <c r="M182">
        <v>50</v>
      </c>
      <c r="O182" t="e">
        <f t="shared" si="2"/>
        <v>#VALUE!</v>
      </c>
      <c r="Y182">
        <v>13</v>
      </c>
      <c r="Z182">
        <v>15.6</v>
      </c>
      <c r="AA182">
        <v>0.33</v>
      </c>
      <c r="AB182">
        <v>59</v>
      </c>
    </row>
    <row r="183" spans="1:28" x14ac:dyDescent="0.2">
      <c r="A183">
        <v>26</v>
      </c>
      <c r="B183">
        <v>0.302734375</v>
      </c>
      <c r="C183">
        <v>8</v>
      </c>
      <c r="D183">
        <v>0.63</v>
      </c>
      <c r="E183" t="s">
        <v>43</v>
      </c>
      <c r="F183">
        <v>65</v>
      </c>
      <c r="G183" t="s">
        <v>43</v>
      </c>
      <c r="J183">
        <v>26</v>
      </c>
      <c r="K183">
        <v>24</v>
      </c>
      <c r="L183">
        <v>0.24299999999999999</v>
      </c>
      <c r="M183">
        <v>77</v>
      </c>
      <c r="O183">
        <f t="shared" si="2"/>
        <v>5.8319999999999999</v>
      </c>
      <c r="Y183">
        <v>20</v>
      </c>
      <c r="Z183">
        <v>16</v>
      </c>
      <c r="AA183">
        <v>0.6</v>
      </c>
      <c r="AB183">
        <v>82.608695652173907</v>
      </c>
    </row>
    <row r="184" spans="1:28" x14ac:dyDescent="0.2">
      <c r="A184">
        <v>26</v>
      </c>
      <c r="B184">
        <v>0.302734375</v>
      </c>
      <c r="C184">
        <v>8</v>
      </c>
      <c r="D184">
        <v>0.63</v>
      </c>
      <c r="E184" t="s">
        <v>43</v>
      </c>
      <c r="F184">
        <v>81</v>
      </c>
      <c r="G184" t="s">
        <v>43</v>
      </c>
      <c r="J184">
        <v>26.5</v>
      </c>
      <c r="K184">
        <v>6</v>
      </c>
      <c r="L184">
        <v>0.87</v>
      </c>
      <c r="M184">
        <v>70</v>
      </c>
      <c r="O184">
        <f t="shared" si="2"/>
        <v>5.22</v>
      </c>
      <c r="Y184">
        <v>25</v>
      </c>
      <c r="Z184">
        <v>16</v>
      </c>
      <c r="AA184">
        <v>1.3884000000000001</v>
      </c>
      <c r="AB184">
        <v>67.8</v>
      </c>
    </row>
    <row r="185" spans="1:28" x14ac:dyDescent="0.2">
      <c r="A185">
        <v>26</v>
      </c>
      <c r="B185" t="s">
        <v>291</v>
      </c>
      <c r="C185">
        <v>12</v>
      </c>
      <c r="D185" t="s">
        <v>293</v>
      </c>
      <c r="E185" t="s">
        <v>43</v>
      </c>
      <c r="F185">
        <v>50</v>
      </c>
      <c r="G185" t="s">
        <v>43</v>
      </c>
      <c r="J185">
        <v>26.5</v>
      </c>
      <c r="K185">
        <v>6</v>
      </c>
      <c r="L185">
        <v>0.87</v>
      </c>
      <c r="M185">
        <v>82</v>
      </c>
      <c r="O185">
        <f t="shared" si="2"/>
        <v>5.22</v>
      </c>
      <c r="Y185">
        <v>25</v>
      </c>
      <c r="Z185">
        <v>16</v>
      </c>
      <c r="AA185">
        <v>1.3884000000000001</v>
      </c>
      <c r="AB185">
        <v>68.5</v>
      </c>
    </row>
    <row r="186" spans="1:28" x14ac:dyDescent="0.2">
      <c r="A186">
        <v>26</v>
      </c>
      <c r="B186">
        <v>4.1666666666666664E-2</v>
      </c>
      <c r="C186">
        <v>24</v>
      </c>
      <c r="D186">
        <v>0.24299999999999999</v>
      </c>
      <c r="E186">
        <v>86</v>
      </c>
      <c r="F186">
        <v>77</v>
      </c>
      <c r="G186" t="s">
        <v>43</v>
      </c>
      <c r="J186">
        <v>27</v>
      </c>
      <c r="K186">
        <v>1</v>
      </c>
      <c r="L186">
        <v>17.184000000000001</v>
      </c>
      <c r="M186">
        <v>34.497206703910614</v>
      </c>
      <c r="O186">
        <f t="shared" si="2"/>
        <v>17.184000000000001</v>
      </c>
      <c r="Y186">
        <v>27.9</v>
      </c>
      <c r="Z186">
        <v>16.7</v>
      </c>
      <c r="AA186">
        <v>0.23</v>
      </c>
      <c r="AB186">
        <v>54.320987654320987</v>
      </c>
    </row>
    <row r="187" spans="1:28" x14ac:dyDescent="0.2">
      <c r="A187">
        <v>26.5</v>
      </c>
      <c r="B187">
        <v>0.11904761904761905</v>
      </c>
      <c r="C187">
        <v>6</v>
      </c>
      <c r="D187">
        <v>0.87</v>
      </c>
      <c r="E187" t="s">
        <v>43</v>
      </c>
      <c r="F187">
        <v>70</v>
      </c>
      <c r="G187" t="s">
        <v>43</v>
      </c>
      <c r="J187">
        <v>27</v>
      </c>
      <c r="K187">
        <v>2</v>
      </c>
      <c r="L187">
        <v>9.4440000000000008</v>
      </c>
      <c r="M187">
        <v>44.599745870393903</v>
      </c>
      <c r="O187">
        <f t="shared" si="2"/>
        <v>18.888000000000002</v>
      </c>
      <c r="Y187">
        <v>17</v>
      </c>
      <c r="Z187">
        <v>18</v>
      </c>
      <c r="AA187">
        <v>0.84933333333333338</v>
      </c>
      <c r="AB187">
        <v>74</v>
      </c>
    </row>
    <row r="188" spans="1:28" x14ac:dyDescent="0.2">
      <c r="A188">
        <v>26.5</v>
      </c>
      <c r="B188">
        <v>0.11904761904761905</v>
      </c>
      <c r="C188">
        <v>6</v>
      </c>
      <c r="D188">
        <v>0.87</v>
      </c>
      <c r="E188" t="s">
        <v>43</v>
      </c>
      <c r="F188">
        <v>82</v>
      </c>
      <c r="G188" t="s">
        <v>43</v>
      </c>
      <c r="J188">
        <v>27</v>
      </c>
      <c r="K188">
        <v>4</v>
      </c>
      <c r="L188">
        <v>4.62</v>
      </c>
      <c r="M188">
        <v>45.97402597402597</v>
      </c>
      <c r="O188">
        <f t="shared" si="2"/>
        <v>18.48</v>
      </c>
      <c r="Y188">
        <v>17</v>
      </c>
      <c r="Z188">
        <v>18</v>
      </c>
      <c r="AA188">
        <v>1</v>
      </c>
      <c r="AB188">
        <v>56.8</v>
      </c>
    </row>
    <row r="189" spans="1:28" x14ac:dyDescent="0.2">
      <c r="A189">
        <v>27</v>
      </c>
      <c r="B189">
        <v>3.8197186342054876</v>
      </c>
      <c r="C189">
        <v>1</v>
      </c>
      <c r="D189">
        <v>17.184000000000001</v>
      </c>
      <c r="E189" t="s">
        <v>43</v>
      </c>
      <c r="F189">
        <v>34.497206703910614</v>
      </c>
      <c r="G189" t="s">
        <v>43</v>
      </c>
      <c r="J189">
        <v>27</v>
      </c>
      <c r="K189">
        <v>6</v>
      </c>
      <c r="L189">
        <v>0.36800000000000005</v>
      </c>
      <c r="M189">
        <v>53.260869565217398</v>
      </c>
      <c r="O189">
        <f t="shared" si="2"/>
        <v>2.2080000000000002</v>
      </c>
      <c r="Y189">
        <v>19</v>
      </c>
      <c r="Z189">
        <v>18</v>
      </c>
      <c r="AA189">
        <v>0.84933333333333338</v>
      </c>
      <c r="AB189">
        <v>73</v>
      </c>
    </row>
    <row r="190" spans="1:28" x14ac:dyDescent="0.2">
      <c r="A190">
        <v>27</v>
      </c>
      <c r="B190">
        <v>1.9098593171027438</v>
      </c>
      <c r="C190">
        <v>2</v>
      </c>
      <c r="D190">
        <v>9.4440000000000008</v>
      </c>
      <c r="E190" t="s">
        <v>43</v>
      </c>
      <c r="F190">
        <v>44.599745870393903</v>
      </c>
      <c r="G190" t="s">
        <v>43</v>
      </c>
      <c r="J190">
        <v>27</v>
      </c>
      <c r="K190">
        <v>6</v>
      </c>
      <c r="L190">
        <v>0.77999999999999992</v>
      </c>
      <c r="M190">
        <v>54.358974358974358</v>
      </c>
      <c r="O190">
        <f t="shared" si="2"/>
        <v>4.68</v>
      </c>
      <c r="Y190">
        <v>15</v>
      </c>
      <c r="Z190">
        <v>19.919999999999998</v>
      </c>
      <c r="AA190">
        <v>0.38</v>
      </c>
      <c r="AB190">
        <v>68.8</v>
      </c>
    </row>
    <row r="191" spans="1:28" x14ac:dyDescent="0.2">
      <c r="A191">
        <v>27</v>
      </c>
      <c r="B191">
        <v>0.95492965855137191</v>
      </c>
      <c r="C191">
        <v>4</v>
      </c>
      <c r="D191">
        <v>4.62</v>
      </c>
      <c r="E191" t="s">
        <v>43</v>
      </c>
      <c r="F191">
        <v>45.97402597402597</v>
      </c>
      <c r="G191" t="s">
        <v>43</v>
      </c>
      <c r="J191">
        <v>27</v>
      </c>
      <c r="K191">
        <v>6</v>
      </c>
      <c r="L191">
        <v>1.1919999999999999</v>
      </c>
      <c r="M191">
        <v>65.100671140939596</v>
      </c>
      <c r="O191">
        <f t="shared" si="2"/>
        <v>7.1519999999999992</v>
      </c>
      <c r="Y191">
        <v>20</v>
      </c>
      <c r="Z191">
        <v>20</v>
      </c>
      <c r="AA191">
        <v>0.46</v>
      </c>
      <c r="AB191">
        <v>80.810810810810821</v>
      </c>
    </row>
    <row r="192" spans="1:28" x14ac:dyDescent="0.2">
      <c r="A192">
        <v>27</v>
      </c>
      <c r="B192">
        <v>0.63661977236758127</v>
      </c>
      <c r="C192">
        <v>6</v>
      </c>
      <c r="D192">
        <v>3.2640000000000002</v>
      </c>
      <c r="E192" t="s">
        <v>43</v>
      </c>
      <c r="F192">
        <v>57.965686274509807</v>
      </c>
      <c r="G192" t="s">
        <v>43</v>
      </c>
      <c r="J192">
        <v>27</v>
      </c>
      <c r="K192">
        <v>6</v>
      </c>
      <c r="L192">
        <v>2.2199999999999998</v>
      </c>
      <c r="M192">
        <v>61.621621621621628</v>
      </c>
      <c r="O192">
        <f t="shared" si="2"/>
        <v>13.319999999999999</v>
      </c>
      <c r="Y192">
        <v>13</v>
      </c>
      <c r="Z192">
        <v>21.4</v>
      </c>
      <c r="AA192">
        <v>0.25</v>
      </c>
      <c r="AB192">
        <v>60</v>
      </c>
    </row>
    <row r="193" spans="1:28" x14ac:dyDescent="0.2">
      <c r="A193">
        <v>27</v>
      </c>
      <c r="B193">
        <v>0.63661977236758127</v>
      </c>
      <c r="C193">
        <v>6</v>
      </c>
      <c r="D193">
        <v>2.2199999999999998</v>
      </c>
      <c r="E193" t="s">
        <v>43</v>
      </c>
      <c r="F193">
        <v>61.621621621621628</v>
      </c>
      <c r="G193" t="s">
        <v>43</v>
      </c>
      <c r="J193">
        <v>27</v>
      </c>
      <c r="K193">
        <v>6</v>
      </c>
      <c r="L193">
        <v>3.2640000000000002</v>
      </c>
      <c r="M193">
        <v>57.965686274509807</v>
      </c>
      <c r="O193">
        <f t="shared" si="2"/>
        <v>19.584000000000003</v>
      </c>
      <c r="Y193">
        <v>22</v>
      </c>
      <c r="Z193">
        <v>21.6</v>
      </c>
      <c r="AA193">
        <v>0.45999999999999996</v>
      </c>
      <c r="AB193">
        <v>57</v>
      </c>
    </row>
    <row r="194" spans="1:28" x14ac:dyDescent="0.2">
      <c r="A194">
        <v>27</v>
      </c>
      <c r="B194">
        <v>0.63661977236758127</v>
      </c>
      <c r="C194">
        <v>6</v>
      </c>
      <c r="D194">
        <v>1.1919999999999999</v>
      </c>
      <c r="E194" t="s">
        <v>43</v>
      </c>
      <c r="F194">
        <v>65.100671140939596</v>
      </c>
      <c r="G194" t="s">
        <v>43</v>
      </c>
      <c r="J194">
        <v>27</v>
      </c>
      <c r="K194">
        <v>48</v>
      </c>
      <c r="L194">
        <v>0.5704999999999999</v>
      </c>
      <c r="M194">
        <v>66</v>
      </c>
      <c r="O194">
        <f t="shared" si="2"/>
        <v>27.383999999999993</v>
      </c>
    </row>
    <row r="195" spans="1:28" x14ac:dyDescent="0.2">
      <c r="A195">
        <v>27</v>
      </c>
      <c r="B195">
        <v>0.63661977236758127</v>
      </c>
      <c r="C195">
        <v>6</v>
      </c>
      <c r="D195">
        <v>0.77999999999999992</v>
      </c>
      <c r="E195" t="s">
        <v>43</v>
      </c>
      <c r="F195">
        <v>54.358974358974358</v>
      </c>
      <c r="G195" t="s">
        <v>43</v>
      </c>
      <c r="J195">
        <v>27.3</v>
      </c>
      <c r="K195">
        <v>10</v>
      </c>
      <c r="L195">
        <v>0.47</v>
      </c>
      <c r="M195">
        <v>68.341708542713562</v>
      </c>
      <c r="O195">
        <f t="shared" ref="O195:O236" si="3">L195*K195</f>
        <v>4.6999999999999993</v>
      </c>
    </row>
    <row r="196" spans="1:28" x14ac:dyDescent="0.2">
      <c r="A196">
        <v>27</v>
      </c>
      <c r="B196">
        <v>0.63661977236758127</v>
      </c>
      <c r="C196">
        <v>6</v>
      </c>
      <c r="D196">
        <v>0.36800000000000005</v>
      </c>
      <c r="E196" t="s">
        <v>43</v>
      </c>
      <c r="F196">
        <v>53.260869565217398</v>
      </c>
      <c r="G196" t="s">
        <v>43</v>
      </c>
      <c r="J196">
        <v>27.4</v>
      </c>
      <c r="K196">
        <v>7.5</v>
      </c>
      <c r="L196">
        <v>1.9903999999999997</v>
      </c>
      <c r="M196">
        <v>83.60128617363344</v>
      </c>
      <c r="O196">
        <f t="shared" si="3"/>
        <v>14.927999999999997</v>
      </c>
    </row>
    <row r="197" spans="1:28" x14ac:dyDescent="0.2">
      <c r="A197">
        <v>27</v>
      </c>
      <c r="C197">
        <v>48</v>
      </c>
      <c r="D197">
        <v>0.5704999999999999</v>
      </c>
      <c r="E197">
        <v>45</v>
      </c>
      <c r="F197">
        <v>66</v>
      </c>
      <c r="G197" t="s">
        <v>43</v>
      </c>
      <c r="J197">
        <v>27.4</v>
      </c>
      <c r="K197">
        <v>7.5</v>
      </c>
      <c r="L197">
        <v>2.0608000000000004</v>
      </c>
      <c r="M197">
        <v>79.968944099378874</v>
      </c>
      <c r="O197">
        <f t="shared" si="3"/>
        <v>15.456000000000003</v>
      </c>
    </row>
    <row r="198" spans="1:28" x14ac:dyDescent="0.2">
      <c r="A198">
        <v>27.3</v>
      </c>
      <c r="B198">
        <v>0.16</v>
      </c>
      <c r="C198">
        <v>10</v>
      </c>
      <c r="D198">
        <v>0.47</v>
      </c>
      <c r="E198">
        <v>65.217391304347828</v>
      </c>
      <c r="F198">
        <v>68.341708542713562</v>
      </c>
      <c r="G198" t="s">
        <v>43</v>
      </c>
      <c r="J198">
        <v>27.4</v>
      </c>
      <c r="K198">
        <v>7.5</v>
      </c>
      <c r="L198">
        <v>2.5888</v>
      </c>
      <c r="M198">
        <v>88.627935723114959</v>
      </c>
      <c r="O198">
        <f t="shared" si="3"/>
        <v>19.416</v>
      </c>
    </row>
    <row r="199" spans="1:28" x14ac:dyDescent="0.2">
      <c r="A199">
        <v>27.4</v>
      </c>
      <c r="B199" t="s">
        <v>43</v>
      </c>
      <c r="C199">
        <v>7.5</v>
      </c>
      <c r="D199">
        <v>2.0608000000000004</v>
      </c>
      <c r="E199">
        <v>88.020833333333343</v>
      </c>
      <c r="F199">
        <v>79.968944099378874</v>
      </c>
      <c r="G199" t="s">
        <v>43</v>
      </c>
      <c r="J199">
        <v>27.5</v>
      </c>
      <c r="K199">
        <v>8.5</v>
      </c>
      <c r="L199">
        <v>1.5981176470588239</v>
      </c>
      <c r="M199">
        <v>75.441696113074215</v>
      </c>
      <c r="O199">
        <f t="shared" si="3"/>
        <v>13.584000000000003</v>
      </c>
    </row>
    <row r="200" spans="1:28" x14ac:dyDescent="0.2">
      <c r="A200">
        <v>27.4</v>
      </c>
      <c r="B200" t="s">
        <v>43</v>
      </c>
      <c r="C200">
        <v>7.5</v>
      </c>
      <c r="D200">
        <v>2.5888</v>
      </c>
      <c r="E200">
        <v>97.398843930635834</v>
      </c>
      <c r="F200">
        <v>88.627935723114959</v>
      </c>
      <c r="G200" t="s">
        <v>43</v>
      </c>
      <c r="J200">
        <v>27.5</v>
      </c>
      <c r="K200">
        <v>8.8000000000000007</v>
      </c>
      <c r="L200">
        <v>0.80727272727272714</v>
      </c>
      <c r="M200">
        <v>62.5</v>
      </c>
      <c r="O200">
        <f t="shared" si="3"/>
        <v>7.1039999999999992</v>
      </c>
    </row>
    <row r="201" spans="1:28" x14ac:dyDescent="0.2">
      <c r="A201">
        <v>27.4</v>
      </c>
      <c r="B201" t="s">
        <v>43</v>
      </c>
      <c r="C201">
        <v>7.5</v>
      </c>
      <c r="D201">
        <v>1.9903999999999997</v>
      </c>
      <c r="E201">
        <v>91.545189504373184</v>
      </c>
      <c r="F201">
        <v>83.60128617363344</v>
      </c>
      <c r="G201" t="s">
        <v>43</v>
      </c>
      <c r="J201">
        <v>27.5</v>
      </c>
      <c r="K201">
        <v>9.3000000000000007</v>
      </c>
      <c r="L201">
        <v>0.65032258064516124</v>
      </c>
      <c r="M201">
        <v>43.253968253968253</v>
      </c>
      <c r="O201">
        <f t="shared" si="3"/>
        <v>6.048</v>
      </c>
    </row>
    <row r="202" spans="1:28" x14ac:dyDescent="0.2">
      <c r="A202">
        <v>27.5</v>
      </c>
      <c r="B202">
        <v>0.56666666666666665</v>
      </c>
      <c r="C202">
        <v>8.5</v>
      </c>
      <c r="D202">
        <v>1.5981176470588239</v>
      </c>
      <c r="E202">
        <v>70.466321243523311</v>
      </c>
      <c r="F202">
        <v>75.441696113074215</v>
      </c>
      <c r="G202" t="s">
        <v>43</v>
      </c>
      <c r="J202">
        <v>27.5</v>
      </c>
      <c r="K202">
        <v>9.5</v>
      </c>
      <c r="L202">
        <v>0.9701052631578948</v>
      </c>
      <c r="M202">
        <v>46.354166666666671</v>
      </c>
      <c r="O202">
        <f t="shared" si="3"/>
        <v>9.2160000000000011</v>
      </c>
    </row>
    <row r="203" spans="1:28" x14ac:dyDescent="0.2">
      <c r="A203">
        <v>27.5</v>
      </c>
      <c r="B203">
        <v>0.54166666666666663</v>
      </c>
      <c r="C203">
        <v>8.8000000000000007</v>
      </c>
      <c r="D203">
        <v>0.80727272727272714</v>
      </c>
      <c r="E203">
        <v>61.589403973509938</v>
      </c>
      <c r="F203">
        <v>62.5</v>
      </c>
      <c r="G203" t="s">
        <v>43</v>
      </c>
      <c r="J203">
        <v>27.5</v>
      </c>
      <c r="K203">
        <v>9.8000000000000007</v>
      </c>
      <c r="L203">
        <v>1.9493877551020407</v>
      </c>
      <c r="M203">
        <v>16.206030150753769</v>
      </c>
      <c r="O203">
        <f t="shared" si="3"/>
        <v>19.103999999999999</v>
      </c>
    </row>
    <row r="204" spans="1:28" x14ac:dyDescent="0.2">
      <c r="A204">
        <v>27.5</v>
      </c>
      <c r="B204">
        <v>0.5625</v>
      </c>
      <c r="C204">
        <v>9.3000000000000007</v>
      </c>
      <c r="D204">
        <v>0.65032258064516124</v>
      </c>
      <c r="E204">
        <v>40.495867768595041</v>
      </c>
      <c r="F204">
        <v>43.253968253968253</v>
      </c>
      <c r="G204" t="s">
        <v>43</v>
      </c>
      <c r="J204">
        <v>27.5</v>
      </c>
      <c r="K204">
        <v>10.199999999999999</v>
      </c>
      <c r="L204">
        <v>1.2682352941176471</v>
      </c>
      <c r="M204">
        <v>49.165120593692023</v>
      </c>
      <c r="O204">
        <f t="shared" si="3"/>
        <v>12.936</v>
      </c>
    </row>
    <row r="205" spans="1:28" x14ac:dyDescent="0.2">
      <c r="A205">
        <v>27.5</v>
      </c>
      <c r="B205">
        <v>0.53333333333333333</v>
      </c>
      <c r="C205">
        <v>9.5</v>
      </c>
      <c r="D205">
        <v>0.9701052631578948</v>
      </c>
      <c r="E205">
        <v>17.123287671232877</v>
      </c>
      <c r="F205">
        <v>46.354166666666671</v>
      </c>
      <c r="G205" t="s">
        <v>43</v>
      </c>
      <c r="J205">
        <v>27.5</v>
      </c>
      <c r="K205">
        <v>10.4</v>
      </c>
      <c r="L205">
        <v>0.87461538461538446</v>
      </c>
      <c r="M205">
        <v>58.311345646437992</v>
      </c>
      <c r="O205">
        <f t="shared" si="3"/>
        <v>9.0959999999999983</v>
      </c>
    </row>
    <row r="206" spans="1:28" x14ac:dyDescent="0.2">
      <c r="A206">
        <v>27.5</v>
      </c>
      <c r="B206">
        <v>0.52083333333333337</v>
      </c>
      <c r="C206">
        <v>9.8000000000000007</v>
      </c>
      <c r="D206">
        <v>1.9493877551020407</v>
      </c>
      <c r="E206">
        <v>51.201011378002526</v>
      </c>
      <c r="F206">
        <v>16.206030150753769</v>
      </c>
      <c r="G206" t="s">
        <v>43</v>
      </c>
      <c r="J206">
        <v>27.5</v>
      </c>
      <c r="K206">
        <v>11.8</v>
      </c>
      <c r="L206">
        <v>1.1125423728813557</v>
      </c>
      <c r="M206">
        <v>55.210237659963433</v>
      </c>
      <c r="O206">
        <f t="shared" si="3"/>
        <v>13.127999999999998</v>
      </c>
    </row>
    <row r="207" spans="1:28" x14ac:dyDescent="0.2">
      <c r="A207">
        <v>27.5</v>
      </c>
      <c r="B207">
        <v>0.6166666666666667</v>
      </c>
      <c r="C207">
        <v>10.199999999999999</v>
      </c>
      <c r="D207">
        <v>1.2682352941176471</v>
      </c>
      <c r="E207">
        <v>66.834170854271363</v>
      </c>
      <c r="F207">
        <v>49.165120593692023</v>
      </c>
      <c r="G207" t="s">
        <v>43</v>
      </c>
      <c r="J207">
        <v>27.9</v>
      </c>
      <c r="K207">
        <v>16.7</v>
      </c>
      <c r="L207">
        <v>0.23</v>
      </c>
      <c r="M207">
        <v>54.320987654320987</v>
      </c>
      <c r="O207">
        <f t="shared" si="3"/>
        <v>3.8410000000000002</v>
      </c>
    </row>
    <row r="208" spans="1:28" x14ac:dyDescent="0.2">
      <c r="A208">
        <v>27.5</v>
      </c>
      <c r="B208">
        <v>0.58750000000000002</v>
      </c>
      <c r="C208">
        <v>10.4</v>
      </c>
      <c r="D208">
        <v>0.87461538461538446</v>
      </c>
      <c r="E208">
        <v>56.748466257668717</v>
      </c>
      <c r="F208">
        <v>58.311345646437992</v>
      </c>
      <c r="G208" t="s">
        <v>43</v>
      </c>
      <c r="J208">
        <v>28</v>
      </c>
      <c r="K208">
        <v>6</v>
      </c>
      <c r="L208">
        <v>2.9960000000000004</v>
      </c>
      <c r="M208">
        <v>79.839786381842458</v>
      </c>
      <c r="O208">
        <f t="shared" si="3"/>
        <v>17.976000000000003</v>
      </c>
    </row>
    <row r="209" spans="1:28" x14ac:dyDescent="0.2">
      <c r="A209">
        <v>27.5</v>
      </c>
      <c r="B209">
        <v>0.43333333333333335</v>
      </c>
      <c r="C209">
        <v>11.8</v>
      </c>
      <c r="D209">
        <v>1.1125423728813557</v>
      </c>
      <c r="E209">
        <v>49.440715883668908</v>
      </c>
      <c r="F209">
        <v>55.210237659963433</v>
      </c>
      <c r="G209" t="s">
        <v>43</v>
      </c>
      <c r="J209">
        <v>28</v>
      </c>
      <c r="K209">
        <v>6.1</v>
      </c>
      <c r="L209">
        <v>0.73967213114754105</v>
      </c>
      <c r="M209">
        <v>55.851063829787229</v>
      </c>
      <c r="O209">
        <f t="shared" si="3"/>
        <v>4.5120000000000005</v>
      </c>
    </row>
    <row r="210" spans="1:28" x14ac:dyDescent="0.2">
      <c r="A210">
        <v>27.9</v>
      </c>
      <c r="B210">
        <v>9.5808383233532954E-2</v>
      </c>
      <c r="C210">
        <v>16.7</v>
      </c>
      <c r="D210">
        <v>0.23</v>
      </c>
      <c r="E210">
        <v>85.492957746478879</v>
      </c>
      <c r="F210">
        <v>54.320987654320987</v>
      </c>
      <c r="G210" t="s">
        <v>43</v>
      </c>
      <c r="J210">
        <v>28</v>
      </c>
      <c r="K210">
        <v>8</v>
      </c>
      <c r="L210">
        <v>0.65</v>
      </c>
      <c r="M210">
        <v>72</v>
      </c>
      <c r="O210">
        <f t="shared" si="3"/>
        <v>5.2</v>
      </c>
      <c r="Y210">
        <v>20</v>
      </c>
      <c r="Z210">
        <v>30</v>
      </c>
      <c r="AA210">
        <v>0.43</v>
      </c>
      <c r="AB210">
        <v>70</v>
      </c>
    </row>
    <row r="211" spans="1:28" x14ac:dyDescent="0.2">
      <c r="A211">
        <v>28</v>
      </c>
      <c r="B211" t="s">
        <v>43</v>
      </c>
      <c r="C211">
        <v>6</v>
      </c>
      <c r="D211">
        <v>2.9960000000000004</v>
      </c>
      <c r="E211">
        <v>84.73684210526315</v>
      </c>
      <c r="F211">
        <v>79.839786381842458</v>
      </c>
      <c r="G211" t="s">
        <v>43</v>
      </c>
      <c r="J211">
        <v>28</v>
      </c>
      <c r="K211">
        <v>8</v>
      </c>
      <c r="L211">
        <v>0.65</v>
      </c>
      <c r="M211">
        <v>84</v>
      </c>
      <c r="O211">
        <f t="shared" si="3"/>
        <v>5.2</v>
      </c>
      <c r="Y211">
        <v>30</v>
      </c>
      <c r="Z211">
        <v>32</v>
      </c>
      <c r="AA211">
        <v>1.52</v>
      </c>
      <c r="AB211">
        <v>61.629881154499152</v>
      </c>
    </row>
    <row r="212" spans="1:28" x14ac:dyDescent="0.2">
      <c r="A212">
        <v>28</v>
      </c>
      <c r="C212">
        <v>6.1</v>
      </c>
      <c r="D212">
        <v>0.73967213114754105</v>
      </c>
      <c r="E212">
        <v>64.179104477611943</v>
      </c>
      <c r="F212">
        <v>55.851063829787229</v>
      </c>
      <c r="G212" t="s">
        <v>43</v>
      </c>
      <c r="J212">
        <v>28.1</v>
      </c>
      <c r="K212">
        <v>25</v>
      </c>
      <c r="L212">
        <v>0.18</v>
      </c>
      <c r="M212">
        <v>59.574468085106382</v>
      </c>
      <c r="O212">
        <f t="shared" si="3"/>
        <v>4.5</v>
      </c>
      <c r="Y212">
        <v>31.5</v>
      </c>
      <c r="Z212">
        <v>33.5</v>
      </c>
      <c r="AA212">
        <v>0.13</v>
      </c>
      <c r="AB212">
        <v>54.748603351955303</v>
      </c>
    </row>
    <row r="213" spans="1:28" x14ac:dyDescent="0.2">
      <c r="A213">
        <v>28</v>
      </c>
      <c r="B213">
        <v>8.9285714285714288E-2</v>
      </c>
      <c r="C213">
        <v>8</v>
      </c>
      <c r="D213">
        <v>0.65</v>
      </c>
      <c r="E213" t="s">
        <v>43</v>
      </c>
      <c r="F213">
        <v>72</v>
      </c>
      <c r="G213" t="s">
        <v>43</v>
      </c>
      <c r="J213">
        <v>28.5</v>
      </c>
      <c r="K213">
        <v>3</v>
      </c>
      <c r="L213">
        <v>5.8</v>
      </c>
      <c r="M213">
        <v>58</v>
      </c>
      <c r="O213">
        <f t="shared" si="3"/>
        <v>17.399999999999999</v>
      </c>
      <c r="Y213">
        <v>35</v>
      </c>
      <c r="Z213">
        <v>33.599999999999994</v>
      </c>
      <c r="AA213">
        <v>0.76</v>
      </c>
      <c r="AB213">
        <v>73.238095238095241</v>
      </c>
    </row>
    <row r="214" spans="1:28" x14ac:dyDescent="0.2">
      <c r="A214">
        <v>28</v>
      </c>
      <c r="B214">
        <v>8.9285714285714288E-2</v>
      </c>
      <c r="C214">
        <v>8</v>
      </c>
      <c r="D214">
        <v>0.65</v>
      </c>
      <c r="E214" t="s">
        <v>43</v>
      </c>
      <c r="F214">
        <v>84</v>
      </c>
      <c r="G214" t="s">
        <v>43</v>
      </c>
      <c r="J214">
        <v>28.5</v>
      </c>
      <c r="K214">
        <v>6</v>
      </c>
      <c r="L214">
        <v>2.4</v>
      </c>
      <c r="M214">
        <v>64</v>
      </c>
      <c r="O214">
        <f t="shared" si="3"/>
        <v>14.399999999999999</v>
      </c>
      <c r="Y214">
        <v>19</v>
      </c>
      <c r="Z214">
        <v>36</v>
      </c>
      <c r="AA214">
        <v>0.42466666666666669</v>
      </c>
      <c r="AB214">
        <v>68</v>
      </c>
    </row>
    <row r="215" spans="1:28" x14ac:dyDescent="0.2">
      <c r="A215">
        <v>28.1</v>
      </c>
      <c r="B215">
        <v>6.4000000000000001E-2</v>
      </c>
      <c r="C215">
        <v>25</v>
      </c>
      <c r="D215">
        <v>0.18</v>
      </c>
      <c r="E215">
        <v>78.870967741935488</v>
      </c>
      <c r="F215">
        <v>59.574468085106382</v>
      </c>
      <c r="G215" t="s">
        <v>43</v>
      </c>
      <c r="J215">
        <v>28.5</v>
      </c>
      <c r="K215">
        <v>8</v>
      </c>
      <c r="L215">
        <v>1.5</v>
      </c>
      <c r="M215">
        <v>69</v>
      </c>
      <c r="O215">
        <f t="shared" si="3"/>
        <v>12</v>
      </c>
      <c r="Y215">
        <v>23</v>
      </c>
      <c r="Z215">
        <v>36</v>
      </c>
      <c r="AA215">
        <v>0.35933333333333328</v>
      </c>
      <c r="AB215">
        <v>63</v>
      </c>
    </row>
    <row r="216" spans="1:28" x14ac:dyDescent="0.2">
      <c r="A216">
        <v>28.5</v>
      </c>
      <c r="C216">
        <v>3</v>
      </c>
      <c r="D216">
        <v>5.8</v>
      </c>
      <c r="E216" t="s">
        <v>43</v>
      </c>
      <c r="F216">
        <v>58</v>
      </c>
      <c r="G216" t="s">
        <v>43</v>
      </c>
      <c r="J216">
        <v>30</v>
      </c>
      <c r="K216">
        <v>4</v>
      </c>
      <c r="L216">
        <v>1.1000000000000001</v>
      </c>
      <c r="M216">
        <v>67</v>
      </c>
      <c r="O216">
        <f t="shared" si="3"/>
        <v>4.4000000000000004</v>
      </c>
      <c r="Y216">
        <v>34</v>
      </c>
      <c r="Z216">
        <v>37.700000000000003</v>
      </c>
      <c r="AA216">
        <v>0.11</v>
      </c>
      <c r="AB216">
        <v>54.395604395604394</v>
      </c>
    </row>
    <row r="217" spans="1:28" x14ac:dyDescent="0.2">
      <c r="A217">
        <v>28.5</v>
      </c>
      <c r="C217">
        <v>6</v>
      </c>
      <c r="D217">
        <v>2.4</v>
      </c>
      <c r="E217" t="s">
        <v>43</v>
      </c>
      <c r="F217">
        <v>64</v>
      </c>
      <c r="G217" t="s">
        <v>43</v>
      </c>
      <c r="J217">
        <v>30</v>
      </c>
      <c r="K217">
        <v>4</v>
      </c>
      <c r="L217">
        <v>1.1000000000000001</v>
      </c>
      <c r="M217">
        <v>83.5</v>
      </c>
      <c r="O217">
        <f t="shared" si="3"/>
        <v>4.4000000000000004</v>
      </c>
      <c r="Y217">
        <v>20</v>
      </c>
      <c r="Z217">
        <v>40</v>
      </c>
      <c r="AA217">
        <v>0.3</v>
      </c>
      <c r="AB217">
        <v>75.238095238095241</v>
      </c>
    </row>
    <row r="218" spans="1:28" x14ac:dyDescent="0.2">
      <c r="A218">
        <v>28.5</v>
      </c>
      <c r="C218">
        <v>8</v>
      </c>
      <c r="D218">
        <v>1.5</v>
      </c>
      <c r="E218" t="s">
        <v>43</v>
      </c>
      <c r="F218">
        <v>69</v>
      </c>
      <c r="G218" t="s">
        <v>43</v>
      </c>
      <c r="J218">
        <v>30</v>
      </c>
      <c r="K218">
        <v>9.6999999999999993</v>
      </c>
      <c r="L218">
        <v>1.3929896907216497</v>
      </c>
      <c r="M218">
        <v>64.120781527531079</v>
      </c>
      <c r="O218">
        <f t="shared" si="3"/>
        <v>13.512</v>
      </c>
      <c r="Y218">
        <v>15</v>
      </c>
      <c r="Z218">
        <v>42</v>
      </c>
      <c r="AA218">
        <v>0.15</v>
      </c>
      <c r="AB218">
        <v>50.1</v>
      </c>
    </row>
    <row r="219" spans="1:28" x14ac:dyDescent="0.2">
      <c r="A219">
        <v>30</v>
      </c>
      <c r="B219">
        <v>0.17857142857142858</v>
      </c>
      <c r="C219">
        <v>4</v>
      </c>
      <c r="D219">
        <v>1.1000000000000001</v>
      </c>
      <c r="E219">
        <v>47</v>
      </c>
      <c r="F219">
        <v>67</v>
      </c>
      <c r="G219" t="s">
        <v>43</v>
      </c>
      <c r="J219">
        <v>30</v>
      </c>
      <c r="K219">
        <v>32</v>
      </c>
      <c r="L219">
        <v>1.52</v>
      </c>
      <c r="M219">
        <v>61.629881154499152</v>
      </c>
      <c r="O219">
        <f t="shared" si="3"/>
        <v>48.64</v>
      </c>
      <c r="Y219">
        <v>15</v>
      </c>
      <c r="Z219">
        <v>42</v>
      </c>
      <c r="AA219">
        <v>0.36</v>
      </c>
      <c r="AB219">
        <v>82.5</v>
      </c>
    </row>
    <row r="220" spans="1:28" x14ac:dyDescent="0.2">
      <c r="A220">
        <v>30</v>
      </c>
      <c r="B220">
        <v>0.17857142857142858</v>
      </c>
      <c r="C220">
        <v>4</v>
      </c>
      <c r="D220">
        <v>1.1000000000000001</v>
      </c>
      <c r="E220">
        <v>76</v>
      </c>
      <c r="F220">
        <v>83.5</v>
      </c>
      <c r="G220" t="s">
        <v>43</v>
      </c>
      <c r="J220">
        <v>31</v>
      </c>
      <c r="K220">
        <v>1.4</v>
      </c>
      <c r="L220">
        <v>10.491428571428571</v>
      </c>
      <c r="M220">
        <v>58.333333333333336</v>
      </c>
      <c r="O220">
        <f t="shared" si="3"/>
        <v>14.687999999999999</v>
      </c>
      <c r="Y220">
        <v>13.8</v>
      </c>
      <c r="Z220">
        <v>44.3</v>
      </c>
      <c r="AA220">
        <v>0.52875846501128676</v>
      </c>
      <c r="AB220">
        <v>31.290983606557376</v>
      </c>
    </row>
    <row r="221" spans="1:28" x14ac:dyDescent="0.2">
      <c r="A221">
        <v>30</v>
      </c>
      <c r="B221">
        <v>0.52</v>
      </c>
      <c r="C221">
        <v>9.6999999999999993</v>
      </c>
      <c r="D221">
        <v>1.3929896907216497</v>
      </c>
      <c r="E221">
        <v>60.784313725490193</v>
      </c>
      <c r="F221">
        <v>64.120781527531079</v>
      </c>
      <c r="G221" t="s">
        <v>43</v>
      </c>
      <c r="J221">
        <v>31</v>
      </c>
      <c r="K221">
        <v>1.4</v>
      </c>
      <c r="L221">
        <v>10.491428571428571</v>
      </c>
      <c r="M221">
        <v>58.496732026143796</v>
      </c>
      <c r="O221">
        <f t="shared" si="3"/>
        <v>14.687999999999999</v>
      </c>
      <c r="Y221">
        <v>16</v>
      </c>
      <c r="Z221">
        <v>48</v>
      </c>
      <c r="AA221">
        <v>0.52</v>
      </c>
      <c r="AB221">
        <v>50</v>
      </c>
    </row>
    <row r="222" spans="1:28" x14ac:dyDescent="0.2">
      <c r="A222">
        <v>30</v>
      </c>
      <c r="B222">
        <v>0.52</v>
      </c>
      <c r="C222">
        <v>32</v>
      </c>
      <c r="D222">
        <v>1.52</v>
      </c>
      <c r="E222">
        <v>75.883575883575887</v>
      </c>
      <c r="F222">
        <v>61.629881154499152</v>
      </c>
      <c r="G222" t="s">
        <v>43</v>
      </c>
      <c r="J222">
        <v>31</v>
      </c>
      <c r="K222">
        <v>8.8000000000000007</v>
      </c>
      <c r="L222">
        <v>0.79090909090909089</v>
      </c>
      <c r="M222">
        <v>56.896551724137936</v>
      </c>
      <c r="O222">
        <f t="shared" si="3"/>
        <v>6.9600000000000009</v>
      </c>
      <c r="Y222">
        <v>17</v>
      </c>
      <c r="Z222">
        <v>48</v>
      </c>
      <c r="AA222">
        <v>0.45</v>
      </c>
      <c r="AB222">
        <v>51</v>
      </c>
    </row>
    <row r="223" spans="1:28" x14ac:dyDescent="0.2">
      <c r="A223">
        <v>31</v>
      </c>
      <c r="B223" t="s">
        <v>43</v>
      </c>
      <c r="C223">
        <v>1.4</v>
      </c>
      <c r="D223">
        <v>10.491428571428571</v>
      </c>
      <c r="E223">
        <v>48.986486486486484</v>
      </c>
      <c r="F223">
        <v>58.333333333333336</v>
      </c>
      <c r="G223" t="s">
        <v>43</v>
      </c>
      <c r="J223">
        <v>31</v>
      </c>
      <c r="K223">
        <v>9.4</v>
      </c>
      <c r="L223">
        <v>1.4017021276595745</v>
      </c>
      <c r="M223">
        <v>75.045537340619305</v>
      </c>
      <c r="O223">
        <f t="shared" si="3"/>
        <v>13.176</v>
      </c>
      <c r="Y223">
        <v>23</v>
      </c>
      <c r="Z223">
        <v>48</v>
      </c>
      <c r="AA223">
        <v>0.26950000000000002</v>
      </c>
      <c r="AB223">
        <v>63</v>
      </c>
    </row>
    <row r="224" spans="1:28" x14ac:dyDescent="0.2">
      <c r="A224">
        <v>31</v>
      </c>
      <c r="B224" t="s">
        <v>43</v>
      </c>
      <c r="C224">
        <v>1.4</v>
      </c>
      <c r="D224">
        <v>10.491428571428571</v>
      </c>
      <c r="E224">
        <v>50.675675675675677</v>
      </c>
      <c r="F224">
        <v>58.496732026143796</v>
      </c>
      <c r="G224" t="s">
        <v>43</v>
      </c>
      <c r="J224">
        <v>31.5</v>
      </c>
      <c r="K224">
        <v>33.5</v>
      </c>
      <c r="L224">
        <v>0.13</v>
      </c>
      <c r="M224">
        <v>54.748603351955303</v>
      </c>
      <c r="O224">
        <f t="shared" si="3"/>
        <v>4.3550000000000004</v>
      </c>
      <c r="Y224">
        <v>24</v>
      </c>
      <c r="Z224">
        <v>48</v>
      </c>
      <c r="AA224">
        <v>0.63349999999999995</v>
      </c>
      <c r="AB224">
        <v>56</v>
      </c>
    </row>
    <row r="225" spans="1:28" x14ac:dyDescent="0.2">
      <c r="A225">
        <v>31</v>
      </c>
      <c r="B225">
        <v>0.56999999999999995</v>
      </c>
      <c r="C225">
        <v>8.8000000000000007</v>
      </c>
      <c r="D225">
        <v>0.79090909090909089</v>
      </c>
      <c r="E225">
        <v>53.956834532374096</v>
      </c>
      <c r="F225">
        <v>56.896551724137936</v>
      </c>
      <c r="G225" t="s">
        <v>43</v>
      </c>
      <c r="J225">
        <v>32</v>
      </c>
      <c r="K225">
        <v>24</v>
      </c>
      <c r="L225">
        <v>0.31799999999999995</v>
      </c>
      <c r="M225">
        <v>57</v>
      </c>
      <c r="O225">
        <f t="shared" si="3"/>
        <v>7.6319999999999988</v>
      </c>
      <c r="Y225">
        <v>27</v>
      </c>
      <c r="Z225">
        <v>48</v>
      </c>
      <c r="AA225">
        <v>0.5704999999999999</v>
      </c>
      <c r="AB225">
        <v>66</v>
      </c>
    </row>
    <row r="226" spans="1:28" x14ac:dyDescent="0.2">
      <c r="A226">
        <v>31</v>
      </c>
      <c r="B226">
        <v>0.53</v>
      </c>
      <c r="C226">
        <v>9.4</v>
      </c>
      <c r="D226">
        <v>1.4017021276595745</v>
      </c>
      <c r="E226">
        <v>51.020408163265309</v>
      </c>
      <c r="F226">
        <v>75.045537340619305</v>
      </c>
      <c r="G226" t="s">
        <v>43</v>
      </c>
      <c r="J226">
        <v>32</v>
      </c>
      <c r="K226">
        <v>24</v>
      </c>
      <c r="L226">
        <v>0.31799999999999995</v>
      </c>
      <c r="M226">
        <v>57.9</v>
      </c>
      <c r="O226">
        <f t="shared" si="3"/>
        <v>7.6319999999999988</v>
      </c>
      <c r="Y226">
        <v>35</v>
      </c>
      <c r="Z226">
        <v>52.800000000000004</v>
      </c>
      <c r="AA226">
        <v>0.45</v>
      </c>
      <c r="AB226">
        <v>82.4</v>
      </c>
    </row>
    <row r="227" spans="1:28" x14ac:dyDescent="0.2">
      <c r="A227">
        <v>31.5</v>
      </c>
      <c r="B227">
        <v>4.7761194029850747E-2</v>
      </c>
      <c r="C227">
        <v>33.5</v>
      </c>
      <c r="D227">
        <v>0.13</v>
      </c>
      <c r="E227">
        <v>79.558823529411768</v>
      </c>
      <c r="F227">
        <v>54.748603351955303</v>
      </c>
      <c r="G227" t="s">
        <v>43</v>
      </c>
      <c r="J227">
        <v>33</v>
      </c>
      <c r="K227">
        <v>7.2</v>
      </c>
      <c r="L227">
        <v>0.77</v>
      </c>
      <c r="M227">
        <v>77</v>
      </c>
      <c r="O227">
        <f t="shared" si="3"/>
        <v>5.5440000000000005</v>
      </c>
      <c r="Y227">
        <v>35</v>
      </c>
      <c r="Z227">
        <v>52.800000000000004</v>
      </c>
      <c r="AA227">
        <v>0.45</v>
      </c>
      <c r="AB227">
        <v>84.6</v>
      </c>
    </row>
    <row r="228" spans="1:28" x14ac:dyDescent="0.2">
      <c r="A228">
        <v>32</v>
      </c>
      <c r="B228" t="s">
        <v>43</v>
      </c>
      <c r="C228">
        <v>24</v>
      </c>
      <c r="D228">
        <v>0.31799999999999995</v>
      </c>
      <c r="E228" t="s">
        <v>43</v>
      </c>
      <c r="F228">
        <v>57.9</v>
      </c>
      <c r="G228" t="s">
        <v>43</v>
      </c>
      <c r="J228">
        <v>33</v>
      </c>
      <c r="K228">
        <v>7.5</v>
      </c>
      <c r="L228">
        <v>0.61</v>
      </c>
      <c r="M228">
        <v>73</v>
      </c>
      <c r="O228">
        <f t="shared" si="3"/>
        <v>4.5750000000000002</v>
      </c>
      <c r="Y228">
        <v>35</v>
      </c>
      <c r="Z228">
        <v>52.800000000000004</v>
      </c>
      <c r="AA228">
        <v>0.45</v>
      </c>
      <c r="AB228">
        <v>85</v>
      </c>
    </row>
    <row r="229" spans="1:28" x14ac:dyDescent="0.2">
      <c r="A229">
        <v>32</v>
      </c>
      <c r="B229" t="s">
        <v>43</v>
      </c>
      <c r="C229">
        <v>24</v>
      </c>
      <c r="D229">
        <v>0.31799999999999995</v>
      </c>
      <c r="E229" t="s">
        <v>43</v>
      </c>
      <c r="F229">
        <v>57</v>
      </c>
      <c r="G229" t="s">
        <v>43</v>
      </c>
      <c r="J229">
        <v>34</v>
      </c>
      <c r="K229">
        <v>37.700000000000003</v>
      </c>
      <c r="L229">
        <v>0.11</v>
      </c>
      <c r="M229">
        <v>54.395604395604394</v>
      </c>
      <c r="O229">
        <f t="shared" si="3"/>
        <v>4.1470000000000002</v>
      </c>
      <c r="Y229">
        <v>31.649999999999991</v>
      </c>
      <c r="Z229">
        <v>54.339999999999982</v>
      </c>
      <c r="AA229">
        <v>4.0191999999999997</v>
      </c>
      <c r="AB229">
        <v>82.532608695652172</v>
      </c>
    </row>
    <row r="230" spans="1:28" x14ac:dyDescent="0.2">
      <c r="A230">
        <v>33</v>
      </c>
      <c r="C230">
        <v>7.2</v>
      </c>
      <c r="D230">
        <v>0.77</v>
      </c>
      <c r="E230" t="s">
        <v>43</v>
      </c>
      <c r="F230">
        <v>77</v>
      </c>
      <c r="G230" t="s">
        <v>43</v>
      </c>
      <c r="J230">
        <v>35</v>
      </c>
      <c r="K230">
        <v>4</v>
      </c>
      <c r="L230">
        <v>2.0460000000000003</v>
      </c>
      <c r="M230">
        <v>65.102639296187675</v>
      </c>
      <c r="O230">
        <f t="shared" si="3"/>
        <v>8.1840000000000011</v>
      </c>
      <c r="Y230">
        <v>12.9</v>
      </c>
      <c r="Z230">
        <v>57.2</v>
      </c>
      <c r="AA230">
        <v>0.34447552447552449</v>
      </c>
      <c r="AB230">
        <v>3.8367844092570031</v>
      </c>
    </row>
    <row r="231" spans="1:28" x14ac:dyDescent="0.2">
      <c r="A231">
        <v>33</v>
      </c>
      <c r="C231">
        <v>7.5</v>
      </c>
      <c r="D231">
        <v>0.61</v>
      </c>
      <c r="E231" t="s">
        <v>43</v>
      </c>
      <c r="F231">
        <v>73</v>
      </c>
      <c r="G231" t="s">
        <v>43</v>
      </c>
      <c r="J231">
        <v>35</v>
      </c>
      <c r="K231">
        <v>33.599999999999994</v>
      </c>
      <c r="L231">
        <v>0.76</v>
      </c>
      <c r="M231">
        <v>73.238095238095241</v>
      </c>
      <c r="O231">
        <f t="shared" si="3"/>
        <v>25.535999999999994</v>
      </c>
      <c r="Y231">
        <v>13</v>
      </c>
      <c r="Z231">
        <v>60</v>
      </c>
      <c r="AA231">
        <v>0.96179999999999999</v>
      </c>
      <c r="AB231">
        <v>79.7</v>
      </c>
    </row>
    <row r="232" spans="1:28" x14ac:dyDescent="0.2">
      <c r="A232">
        <v>34</v>
      </c>
      <c r="B232">
        <v>4.2440318302387273E-2</v>
      </c>
      <c r="C232">
        <v>37.700000000000003</v>
      </c>
      <c r="D232">
        <v>0.11</v>
      </c>
      <c r="E232">
        <v>79.436619718309856</v>
      </c>
      <c r="F232">
        <v>54.395604395604394</v>
      </c>
      <c r="G232" t="s">
        <v>43</v>
      </c>
      <c r="J232">
        <v>35</v>
      </c>
      <c r="K232">
        <v>52.800000000000004</v>
      </c>
      <c r="L232">
        <v>0.45</v>
      </c>
      <c r="M232">
        <v>82.4</v>
      </c>
      <c r="O232">
        <f t="shared" si="3"/>
        <v>23.76</v>
      </c>
      <c r="Y232">
        <v>18</v>
      </c>
      <c r="Z232">
        <v>60</v>
      </c>
      <c r="AA232">
        <v>1.6015999999999999</v>
      </c>
      <c r="AB232">
        <v>93.9</v>
      </c>
    </row>
    <row r="233" spans="1:28" x14ac:dyDescent="0.2">
      <c r="A233">
        <v>35</v>
      </c>
      <c r="B233">
        <v>0.7</v>
      </c>
      <c r="C233">
        <v>4</v>
      </c>
      <c r="D233">
        <v>2.0460000000000003</v>
      </c>
      <c r="E233">
        <v>61.363636363636367</v>
      </c>
      <c r="F233">
        <v>65.102639296187675</v>
      </c>
      <c r="G233" t="s">
        <v>43</v>
      </c>
      <c r="J233">
        <v>35</v>
      </c>
      <c r="K233">
        <v>52.800000000000004</v>
      </c>
      <c r="L233">
        <v>0.45</v>
      </c>
      <c r="M233">
        <v>84.6</v>
      </c>
      <c r="O233">
        <f t="shared" si="3"/>
        <v>23.76</v>
      </c>
      <c r="Y233">
        <v>25.5</v>
      </c>
      <c r="Z233">
        <v>72</v>
      </c>
      <c r="AA233">
        <v>0.14466666666666669</v>
      </c>
      <c r="AB233">
        <v>60.36866359447005</v>
      </c>
    </row>
    <row r="234" spans="1:28" x14ac:dyDescent="0.2">
      <c r="A234">
        <v>35</v>
      </c>
      <c r="B234" t="s">
        <v>43</v>
      </c>
      <c r="C234">
        <v>33.599999999999994</v>
      </c>
      <c r="D234">
        <v>0.76</v>
      </c>
      <c r="E234" t="s">
        <v>43</v>
      </c>
      <c r="F234">
        <v>73.238095238095241</v>
      </c>
      <c r="G234" t="s">
        <v>43</v>
      </c>
      <c r="J234">
        <v>35</v>
      </c>
      <c r="K234">
        <v>52.800000000000004</v>
      </c>
      <c r="L234">
        <v>0.45</v>
      </c>
      <c r="M234">
        <v>85</v>
      </c>
      <c r="O234">
        <f t="shared" si="3"/>
        <v>23.76</v>
      </c>
      <c r="Y234">
        <v>35</v>
      </c>
      <c r="Z234">
        <v>72</v>
      </c>
      <c r="AA234">
        <v>0.36</v>
      </c>
      <c r="AB234">
        <v>80.576208178438662</v>
      </c>
    </row>
    <row r="235" spans="1:28" x14ac:dyDescent="0.2">
      <c r="A235">
        <v>35</v>
      </c>
      <c r="B235" t="s">
        <v>43</v>
      </c>
      <c r="C235">
        <v>52.800000000000004</v>
      </c>
      <c r="D235">
        <v>0.45</v>
      </c>
      <c r="E235" t="s">
        <v>43</v>
      </c>
      <c r="F235">
        <v>82.4</v>
      </c>
      <c r="G235" t="s">
        <v>43</v>
      </c>
      <c r="J235">
        <v>35</v>
      </c>
      <c r="K235">
        <v>72</v>
      </c>
      <c r="L235">
        <v>0.36</v>
      </c>
      <c r="M235">
        <v>80.576208178438662</v>
      </c>
      <c r="O235">
        <f t="shared" si="3"/>
        <v>25.919999999999998</v>
      </c>
      <c r="Y235">
        <v>15</v>
      </c>
      <c r="Z235">
        <v>84</v>
      </c>
      <c r="AA235">
        <v>7.0000000000000007E-2</v>
      </c>
      <c r="AB235">
        <v>45.9</v>
      </c>
    </row>
    <row r="236" spans="1:28" x14ac:dyDescent="0.2">
      <c r="A236">
        <v>35</v>
      </c>
      <c r="B236" t="s">
        <v>43</v>
      </c>
      <c r="C236">
        <v>52.800000000000004</v>
      </c>
      <c r="D236">
        <v>0.45</v>
      </c>
      <c r="E236" t="s">
        <v>43</v>
      </c>
      <c r="F236">
        <v>85</v>
      </c>
      <c r="G236" t="s">
        <v>43</v>
      </c>
      <c r="J236">
        <v>35</v>
      </c>
      <c r="K236">
        <v>132</v>
      </c>
      <c r="L236">
        <v>0.18</v>
      </c>
      <c r="M236">
        <v>72.727272727272734</v>
      </c>
      <c r="O236">
        <f t="shared" si="3"/>
        <v>23.759999999999998</v>
      </c>
      <c r="Y236">
        <v>17</v>
      </c>
      <c r="Z236">
        <v>96</v>
      </c>
      <c r="AA236">
        <v>0.23</v>
      </c>
      <c r="AB236">
        <v>54</v>
      </c>
    </row>
    <row r="237" spans="1:28" x14ac:dyDescent="0.2">
      <c r="A237">
        <v>35</v>
      </c>
      <c r="B237" t="s">
        <v>43</v>
      </c>
      <c r="C237">
        <v>52.800000000000004</v>
      </c>
      <c r="D237">
        <v>0.45</v>
      </c>
      <c r="E237" t="s">
        <v>43</v>
      </c>
      <c r="F237">
        <v>84.6</v>
      </c>
      <c r="G237" t="s">
        <v>43</v>
      </c>
      <c r="Y237">
        <v>24</v>
      </c>
      <c r="Z237">
        <v>96</v>
      </c>
      <c r="AA237">
        <v>0.31674999999999998</v>
      </c>
      <c r="AB237">
        <v>58</v>
      </c>
    </row>
    <row r="238" spans="1:28" x14ac:dyDescent="0.2">
      <c r="A238">
        <v>35</v>
      </c>
      <c r="B238" t="s">
        <v>43</v>
      </c>
      <c r="C238">
        <v>72</v>
      </c>
      <c r="D238">
        <v>0.36</v>
      </c>
      <c r="E238" t="s">
        <v>43</v>
      </c>
      <c r="F238">
        <v>80.576208178438662</v>
      </c>
      <c r="G238" t="s">
        <v>43</v>
      </c>
      <c r="Y238">
        <v>9</v>
      </c>
      <c r="Z238">
        <v>103.19999999999999</v>
      </c>
      <c r="AA238">
        <v>0.43</v>
      </c>
      <c r="AB238">
        <v>65</v>
      </c>
    </row>
    <row r="239" spans="1:28" x14ac:dyDescent="0.2">
      <c r="A239">
        <v>35</v>
      </c>
      <c r="B239" t="s">
        <v>43</v>
      </c>
      <c r="C239">
        <v>132</v>
      </c>
      <c r="D239">
        <v>0.18</v>
      </c>
      <c r="E239" t="s">
        <v>43</v>
      </c>
      <c r="F239">
        <v>72.727272727272734</v>
      </c>
      <c r="G239" t="s">
        <v>43</v>
      </c>
      <c r="I239" t="s">
        <v>415</v>
      </c>
      <c r="J239">
        <f t="shared" ref="J239:L239" si="4">MEDIAN(J2:J236)</f>
        <v>22.7</v>
      </c>
      <c r="K239">
        <f t="shared" si="4"/>
        <v>8</v>
      </c>
      <c r="L239">
        <f t="shared" si="4"/>
        <v>1.1099999999999997</v>
      </c>
      <c r="M239">
        <f>MEDIAN(M2:M236)</f>
        <v>62</v>
      </c>
      <c r="P239" t="s">
        <v>415</v>
      </c>
      <c r="Q239">
        <f t="shared" ref="Q239:S239" si="5">MEDIAN(Q2:Q236)</f>
        <v>23</v>
      </c>
      <c r="R239">
        <f t="shared" si="5"/>
        <v>8.65</v>
      </c>
      <c r="S239">
        <f t="shared" si="5"/>
        <v>1.3906948453608248</v>
      </c>
      <c r="T239">
        <f>MEDIAN(T2:T236)</f>
        <v>62</v>
      </c>
      <c r="Y239">
        <v>15.5</v>
      </c>
      <c r="Z239">
        <v>103.19999999999999</v>
      </c>
      <c r="AA239">
        <v>0.43</v>
      </c>
      <c r="AB239">
        <v>33</v>
      </c>
    </row>
    <row r="240" spans="1:28" x14ac:dyDescent="0.2">
      <c r="Y240">
        <v>16.5</v>
      </c>
      <c r="Z240">
        <v>103.19999999999999</v>
      </c>
      <c r="AA240">
        <v>0.89</v>
      </c>
      <c r="AB240">
        <v>70</v>
      </c>
    </row>
    <row r="241" spans="9:28" x14ac:dyDescent="0.2">
      <c r="I241">
        <v>25</v>
      </c>
      <c r="J241">
        <f t="shared" ref="J241:L241" si="6">_xlfn.PERCENTILE.INC(J2:J236,0.25)</f>
        <v>19</v>
      </c>
      <c r="K241">
        <f t="shared" si="6"/>
        <v>6</v>
      </c>
      <c r="L241">
        <f t="shared" si="6"/>
        <v>0.6</v>
      </c>
      <c r="M241">
        <f>_xlfn.PERCENTILE.INC(M2:M236,0.25)</f>
        <v>51.530035335689043</v>
      </c>
      <c r="P241">
        <v>25</v>
      </c>
      <c r="Q241">
        <f t="shared" ref="Q241:S241" si="7">_xlfn.PERCENTILE.INC(Q2:Q236,0.25)</f>
        <v>20</v>
      </c>
      <c r="R241">
        <f t="shared" si="7"/>
        <v>6</v>
      </c>
      <c r="S241">
        <f t="shared" si="7"/>
        <v>0.81795454545454538</v>
      </c>
      <c r="T241">
        <f>_xlfn.PERCENTILE.INC(T2:T236,0.25)</f>
        <v>49.22035794183445</v>
      </c>
      <c r="Y241">
        <v>35</v>
      </c>
      <c r="Z241">
        <v>132</v>
      </c>
      <c r="AA241">
        <v>0.18</v>
      </c>
      <c r="AB241">
        <v>72.727272727272734</v>
      </c>
    </row>
    <row r="242" spans="9:28" x14ac:dyDescent="0.2">
      <c r="I242">
        <v>75</v>
      </c>
      <c r="J242">
        <f t="shared" ref="J242:L242" si="8">_xlfn.PERCENTILE.INC(J2:J236,0.75)</f>
        <v>26</v>
      </c>
      <c r="K242">
        <f t="shared" si="8"/>
        <v>15.324999999999999</v>
      </c>
      <c r="L242">
        <f t="shared" si="8"/>
        <v>2</v>
      </c>
      <c r="M242">
        <f>_xlfn.PERCENTILE.INC(M2:M236,0.75)</f>
        <v>70</v>
      </c>
      <c r="P242">
        <v>75</v>
      </c>
      <c r="Q242">
        <f t="shared" ref="Q242:S242" si="9">_xlfn.PERCENTILE.INC(Q2:Q236,0.75)</f>
        <v>26</v>
      </c>
      <c r="R242">
        <f t="shared" si="9"/>
        <v>12</v>
      </c>
      <c r="S242">
        <f t="shared" si="9"/>
        <v>2.1857894736842107</v>
      </c>
      <c r="T242">
        <f>_xlfn.PERCENTILE.INC(T2:T236,0.75)</f>
        <v>73.5</v>
      </c>
      <c r="Y242">
        <v>35</v>
      </c>
      <c r="Z242">
        <v>132</v>
      </c>
      <c r="AA242">
        <v>17.184000000000001</v>
      </c>
      <c r="AB242">
        <v>95</v>
      </c>
    </row>
    <row r="244" spans="9:28" x14ac:dyDescent="0.2">
      <c r="I244" t="s">
        <v>416</v>
      </c>
      <c r="J244">
        <f t="shared" ref="J244:L244" si="10">MIN(J2:J236)</f>
        <v>7.1</v>
      </c>
      <c r="K244">
        <f t="shared" si="10"/>
        <v>1</v>
      </c>
      <c r="L244">
        <f t="shared" si="10"/>
        <v>7.0000000000000007E-2</v>
      </c>
      <c r="M244">
        <f>MIN(M2:M236)</f>
        <v>3.8367844092570031</v>
      </c>
      <c r="P244" t="s">
        <v>416</v>
      </c>
      <c r="Q244">
        <f t="shared" ref="Q244:S244" si="11">MIN(Q2:Q236)</f>
        <v>7.1</v>
      </c>
      <c r="R244">
        <f t="shared" si="11"/>
        <v>1.4</v>
      </c>
      <c r="S244">
        <f t="shared" si="11"/>
        <v>0.11</v>
      </c>
      <c r="T244">
        <f>MIN(T2:T236)</f>
        <v>8.1999999999999993</v>
      </c>
    </row>
    <row r="245" spans="9:28" x14ac:dyDescent="0.2">
      <c r="I245" t="s">
        <v>417</v>
      </c>
      <c r="J245">
        <f t="shared" ref="J245:L245" si="12">MAX(J2:J236)</f>
        <v>35</v>
      </c>
      <c r="K245">
        <f t="shared" si="12"/>
        <v>132</v>
      </c>
      <c r="L245">
        <f t="shared" si="12"/>
        <v>17.184000000000001</v>
      </c>
      <c r="M245">
        <f>MAX(M2:M236)</f>
        <v>95</v>
      </c>
      <c r="P245" t="s">
        <v>417</v>
      </c>
      <c r="Q245">
        <f t="shared" ref="Q245:S245" si="13">MAX(Q2:Q236)</f>
        <v>35</v>
      </c>
      <c r="R245">
        <f t="shared" si="13"/>
        <v>96</v>
      </c>
      <c r="S245">
        <f t="shared" si="13"/>
        <v>10.491428571428571</v>
      </c>
      <c r="T245">
        <f>MAX(T2:T236)</f>
        <v>97.398843930635834</v>
      </c>
    </row>
    <row r="247" spans="9:28" x14ac:dyDescent="0.2">
      <c r="I247" s="32">
        <v>0.05</v>
      </c>
      <c r="J247">
        <f t="shared" ref="J247:L247" si="14">_xlfn.PERCENTILE.INC(J2:J236,0.05)</f>
        <v>13</v>
      </c>
      <c r="K247">
        <f t="shared" si="14"/>
        <v>3.8600000000000003</v>
      </c>
      <c r="L247">
        <f t="shared" si="14"/>
        <v>0.254</v>
      </c>
      <c r="M247">
        <f>_xlfn.PERCENTILE.INC(M2:M236,0.05)</f>
        <v>31.203688524590163</v>
      </c>
      <c r="P247" s="32">
        <v>0.05</v>
      </c>
      <c r="Q247">
        <f t="shared" ref="Q247:S247" si="15">_xlfn.PERCENTILE.INC(Q2:Q236,0.05)</f>
        <v>13.06</v>
      </c>
      <c r="R247">
        <f t="shared" si="15"/>
        <v>4</v>
      </c>
      <c r="S247">
        <f t="shared" si="15"/>
        <v>0.24105000000000001</v>
      </c>
      <c r="T247">
        <f>_xlfn.PERCENTILE.INC(T2:T236,0.05)</f>
        <v>33.1</v>
      </c>
    </row>
    <row r="248" spans="9:28" x14ac:dyDescent="0.2">
      <c r="I248" s="32">
        <v>0.95</v>
      </c>
      <c r="J248">
        <f t="shared" ref="J248:L248" si="16">_xlfn.PERCENTILE.INC(J2:J236,0.95)</f>
        <v>31.649999999999991</v>
      </c>
      <c r="K248">
        <f t="shared" si="16"/>
        <v>54.339999999999982</v>
      </c>
      <c r="L248">
        <f t="shared" si="16"/>
        <v>4.0191999999999997</v>
      </c>
      <c r="M248">
        <f>_xlfn.PERCENTILE.INC(M2:M236,0.95)</f>
        <v>82.532608695652172</v>
      </c>
      <c r="P248" s="32">
        <v>0.95</v>
      </c>
      <c r="Q248">
        <f t="shared" ref="Q248:S248" si="17">_xlfn.PERCENTILE.INC(Q2:Q236,0.95)</f>
        <v>30.899999999999991</v>
      </c>
      <c r="R248">
        <f t="shared" si="17"/>
        <v>47.484999999999886</v>
      </c>
      <c r="S248">
        <f t="shared" si="17"/>
        <v>3.5528999999999979</v>
      </c>
      <c r="T248">
        <f>_xlfn.PERCENTILE.INC(T2:T236,0.95)</f>
        <v>85.417346182357306</v>
      </c>
    </row>
    <row r="250" spans="9:28" x14ac:dyDescent="0.2">
      <c r="M250">
        <f>COUNT(M2:M236)</f>
        <v>235</v>
      </c>
      <c r="T250">
        <f>COUNT(T2:T236)</f>
        <v>123</v>
      </c>
    </row>
  </sheetData>
  <sortState xmlns:xlrd2="http://schemas.microsoft.com/office/spreadsheetml/2017/richdata2" ref="Y2:AB250">
    <sortCondition ref="Z2:Z250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48FF7-A09E-444B-A8D2-D3771CF39570}">
  <dimension ref="C1:BC268"/>
  <sheetViews>
    <sheetView topLeftCell="U1" zoomScale="60" zoomScaleNormal="60" workbookViewId="0">
      <selection activeCell="AZ1" sqref="AZ1:BC1048576"/>
    </sheetView>
  </sheetViews>
  <sheetFormatPr defaultRowHeight="14.25" x14ac:dyDescent="0.2"/>
  <cols>
    <col min="4" max="4" width="9.75" customWidth="1"/>
    <col min="7" max="7" width="11.875" bestFit="1" customWidth="1"/>
    <col min="32" max="32" width="9.75" customWidth="1"/>
    <col min="37" max="37" width="11.875" bestFit="1" customWidth="1"/>
  </cols>
  <sheetData>
    <row r="1" spans="3:55" x14ac:dyDescent="0.2">
      <c r="C1" t="s">
        <v>17</v>
      </c>
      <c r="D1" t="s">
        <v>19</v>
      </c>
      <c r="E1" t="s">
        <v>20</v>
      </c>
      <c r="F1" t="s">
        <v>21</v>
      </c>
      <c r="G1" t="s">
        <v>23</v>
      </c>
      <c r="H1" t="s">
        <v>28</v>
      </c>
      <c r="I1" t="s">
        <v>29</v>
      </c>
      <c r="L1" t="s">
        <v>23</v>
      </c>
      <c r="M1" t="s">
        <v>17</v>
      </c>
      <c r="N1" t="s">
        <v>20</v>
      </c>
      <c r="O1" t="s">
        <v>28</v>
      </c>
      <c r="Q1" t="s">
        <v>23</v>
      </c>
      <c r="R1" t="s">
        <v>17</v>
      </c>
      <c r="S1" t="s">
        <v>20</v>
      </c>
      <c r="T1" t="s">
        <v>28</v>
      </c>
      <c r="AE1" t="s">
        <v>17</v>
      </c>
      <c r="AF1" t="s">
        <v>19</v>
      </c>
      <c r="AG1" t="s">
        <v>20</v>
      </c>
      <c r="AH1" t="s">
        <v>28</v>
      </c>
      <c r="AK1" t="s">
        <v>23</v>
      </c>
      <c r="AL1" t="s">
        <v>17</v>
      </c>
      <c r="AM1" t="s">
        <v>20</v>
      </c>
      <c r="AN1" t="s">
        <v>28</v>
      </c>
      <c r="AS1" t="s">
        <v>17</v>
      </c>
      <c r="AT1" t="s">
        <v>20</v>
      </c>
      <c r="AU1" t="s">
        <v>22</v>
      </c>
      <c r="AV1" t="s">
        <v>24</v>
      </c>
      <c r="AZ1" t="s">
        <v>22</v>
      </c>
      <c r="BA1" t="s">
        <v>17</v>
      </c>
      <c r="BB1" t="s">
        <v>20</v>
      </c>
      <c r="BC1" t="s">
        <v>24</v>
      </c>
    </row>
    <row r="2" spans="3:55" ht="14.25" customHeight="1" x14ac:dyDescent="0.25">
      <c r="C2" s="3">
        <v>20</v>
      </c>
      <c r="D2" t="s">
        <v>43</v>
      </c>
      <c r="E2" s="3">
        <v>6.6</v>
      </c>
      <c r="F2" s="3">
        <v>1.8</v>
      </c>
      <c r="G2" s="6">
        <v>285.12</v>
      </c>
      <c r="H2" s="3">
        <v>14.256000000000029</v>
      </c>
      <c r="I2" s="7">
        <v>95</v>
      </c>
      <c r="J2">
        <f>G2-G2*(I2/100)</f>
        <v>14.256000000000029</v>
      </c>
      <c r="L2">
        <v>138.19999999999999</v>
      </c>
      <c r="M2">
        <v>7.1</v>
      </c>
      <c r="N2">
        <v>8</v>
      </c>
      <c r="O2">
        <v>92.4</v>
      </c>
      <c r="Q2">
        <v>400</v>
      </c>
      <c r="R2">
        <v>19</v>
      </c>
      <c r="S2">
        <v>14.5</v>
      </c>
      <c r="T2">
        <v>142</v>
      </c>
      <c r="AE2" s="3">
        <v>20</v>
      </c>
      <c r="AF2" t="s">
        <v>43</v>
      </c>
      <c r="AG2" s="3">
        <v>6.6</v>
      </c>
      <c r="AH2" s="3">
        <v>14.256000000000029</v>
      </c>
      <c r="AI2" s="3"/>
      <c r="AJ2" s="7"/>
      <c r="AK2">
        <v>92</v>
      </c>
      <c r="AL2">
        <v>27</v>
      </c>
      <c r="AM2">
        <v>6</v>
      </c>
      <c r="AN2">
        <v>43</v>
      </c>
      <c r="AS2">
        <v>7.1</v>
      </c>
      <c r="AT2">
        <v>8</v>
      </c>
      <c r="AU2">
        <v>48</v>
      </c>
      <c r="AV2">
        <v>13.1</v>
      </c>
      <c r="AZ2">
        <v>48</v>
      </c>
      <c r="BA2">
        <v>7.1</v>
      </c>
      <c r="BB2">
        <v>8</v>
      </c>
      <c r="BC2">
        <v>13.1</v>
      </c>
    </row>
    <row r="3" spans="3:55" ht="15" customHeight="1" x14ac:dyDescent="0.25">
      <c r="C3" s="22">
        <v>28</v>
      </c>
      <c r="D3" s="13">
        <v>8.9285714285714288E-2</v>
      </c>
      <c r="E3">
        <v>8</v>
      </c>
      <c r="F3">
        <v>0.65</v>
      </c>
      <c r="G3">
        <v>190</v>
      </c>
      <c r="H3">
        <v>30.400000000000006</v>
      </c>
      <c r="I3">
        <v>84</v>
      </c>
      <c r="J3">
        <f>G3-G3*(I3/100)</f>
        <v>30.400000000000006</v>
      </c>
      <c r="L3">
        <v>138.19999999999999</v>
      </c>
      <c r="M3">
        <v>10.3</v>
      </c>
      <c r="N3">
        <v>8</v>
      </c>
      <c r="O3">
        <v>89.4</v>
      </c>
      <c r="Q3">
        <v>402</v>
      </c>
      <c r="R3" s="9">
        <v>20</v>
      </c>
      <c r="S3">
        <v>7</v>
      </c>
      <c r="T3">
        <v>112.56</v>
      </c>
      <c r="AE3" s="22">
        <v>28</v>
      </c>
      <c r="AF3" s="13">
        <v>8.9285714285714288E-2</v>
      </c>
      <c r="AG3">
        <v>8</v>
      </c>
      <c r="AH3">
        <v>30.400000000000006</v>
      </c>
      <c r="AK3">
        <v>132</v>
      </c>
      <c r="AL3">
        <v>26</v>
      </c>
      <c r="AM3">
        <v>6</v>
      </c>
      <c r="AN3">
        <v>41</v>
      </c>
      <c r="AS3" s="3">
        <v>9</v>
      </c>
      <c r="AT3" s="3">
        <v>12</v>
      </c>
      <c r="AU3" s="3">
        <v>491</v>
      </c>
      <c r="AV3">
        <v>201</v>
      </c>
      <c r="AW3" s="9"/>
      <c r="AZ3">
        <v>48</v>
      </c>
      <c r="BA3">
        <v>10.3</v>
      </c>
      <c r="BB3">
        <v>8</v>
      </c>
      <c r="BC3" s="6">
        <v>27.2</v>
      </c>
    </row>
    <row r="4" spans="3:55" ht="15" customHeight="1" x14ac:dyDescent="0.25">
      <c r="C4" s="22">
        <v>30</v>
      </c>
      <c r="D4" s="13">
        <v>0.17857142857142858</v>
      </c>
      <c r="E4">
        <v>4</v>
      </c>
      <c r="F4">
        <v>1.1000000000000001</v>
      </c>
      <c r="G4">
        <v>205</v>
      </c>
      <c r="H4">
        <v>33.825000000000017</v>
      </c>
      <c r="I4">
        <v>83.5</v>
      </c>
      <c r="J4">
        <f t="shared" ref="J4:J21" si="0">G4-G4*(I4/100)</f>
        <v>33.825000000000017</v>
      </c>
      <c r="L4">
        <v>162</v>
      </c>
      <c r="M4">
        <v>13</v>
      </c>
      <c r="N4">
        <v>21.4</v>
      </c>
      <c r="O4">
        <v>60</v>
      </c>
      <c r="Q4">
        <v>403</v>
      </c>
      <c r="R4">
        <v>18</v>
      </c>
      <c r="S4">
        <v>11</v>
      </c>
      <c r="T4">
        <v>149</v>
      </c>
      <c r="AE4" s="22">
        <v>30</v>
      </c>
      <c r="AF4" s="13">
        <v>0.17857142857142858</v>
      </c>
      <c r="AG4">
        <v>4</v>
      </c>
      <c r="AH4">
        <v>33.825000000000017</v>
      </c>
      <c r="AK4">
        <v>132</v>
      </c>
      <c r="AL4">
        <v>26</v>
      </c>
      <c r="AM4">
        <v>6</v>
      </c>
      <c r="AN4">
        <v>66</v>
      </c>
      <c r="AS4">
        <v>10.3</v>
      </c>
      <c r="AT4">
        <v>8</v>
      </c>
      <c r="AU4">
        <v>48</v>
      </c>
      <c r="AV4" s="6">
        <v>27.2</v>
      </c>
      <c r="AW4" s="7"/>
      <c r="AZ4" s="9">
        <v>53.63</v>
      </c>
      <c r="BA4">
        <v>20</v>
      </c>
      <c r="BC4">
        <v>22.75</v>
      </c>
    </row>
    <row r="5" spans="3:55" ht="15" x14ac:dyDescent="0.25">
      <c r="C5" s="3">
        <v>20</v>
      </c>
      <c r="D5" t="s">
        <v>43</v>
      </c>
      <c r="E5" s="3">
        <v>7</v>
      </c>
      <c r="F5" s="3">
        <v>2.04</v>
      </c>
      <c r="G5" s="6">
        <v>342.72</v>
      </c>
      <c r="H5" s="3">
        <v>34.271999999999991</v>
      </c>
      <c r="I5" s="7">
        <v>90</v>
      </c>
      <c r="J5">
        <f t="shared" si="0"/>
        <v>34.271999999999991</v>
      </c>
      <c r="L5">
        <v>167</v>
      </c>
      <c r="M5">
        <v>25</v>
      </c>
      <c r="N5">
        <v>24</v>
      </c>
      <c r="O5">
        <v>117</v>
      </c>
      <c r="Q5">
        <v>403.64583333333326</v>
      </c>
      <c r="R5">
        <v>20</v>
      </c>
      <c r="S5">
        <v>25</v>
      </c>
      <c r="T5">
        <v>100.26041666666666</v>
      </c>
      <c r="AE5" s="3">
        <v>20</v>
      </c>
      <c r="AF5" t="s">
        <v>43</v>
      </c>
      <c r="AG5" s="3">
        <v>7</v>
      </c>
      <c r="AH5" s="3">
        <v>34.271999999999991</v>
      </c>
      <c r="AI5" s="3"/>
      <c r="AJ5" s="7"/>
      <c r="AK5">
        <v>132</v>
      </c>
      <c r="AL5">
        <v>26</v>
      </c>
      <c r="AM5">
        <v>6</v>
      </c>
      <c r="AN5">
        <v>70</v>
      </c>
      <c r="AR5" s="3"/>
      <c r="AS5">
        <v>12</v>
      </c>
      <c r="AT5">
        <v>7</v>
      </c>
      <c r="AU5">
        <v>311</v>
      </c>
      <c r="AV5">
        <v>164</v>
      </c>
      <c r="AW5" s="9"/>
      <c r="AZ5">
        <v>58</v>
      </c>
      <c r="BA5">
        <v>25.5</v>
      </c>
      <c r="BB5" s="3">
        <v>13.7</v>
      </c>
      <c r="BC5">
        <v>6.4</v>
      </c>
    </row>
    <row r="6" spans="3:55" ht="15" x14ac:dyDescent="0.25">
      <c r="C6" t="s">
        <v>396</v>
      </c>
      <c r="D6" s="13">
        <v>0.302734375</v>
      </c>
      <c r="E6" s="3">
        <v>8</v>
      </c>
      <c r="F6">
        <v>0.63</v>
      </c>
      <c r="G6">
        <v>207</v>
      </c>
      <c r="H6">
        <v>35</v>
      </c>
      <c r="I6" s="9">
        <v>81</v>
      </c>
      <c r="J6">
        <f t="shared" si="0"/>
        <v>39.329999999999984</v>
      </c>
      <c r="L6">
        <v>187</v>
      </c>
      <c r="M6">
        <v>13</v>
      </c>
      <c r="N6">
        <v>12.5</v>
      </c>
      <c r="O6">
        <v>80</v>
      </c>
      <c r="Q6">
        <v>406</v>
      </c>
      <c r="R6">
        <v>23</v>
      </c>
      <c r="S6">
        <v>4</v>
      </c>
      <c r="T6">
        <v>142</v>
      </c>
      <c r="AE6" t="s">
        <v>396</v>
      </c>
      <c r="AF6" s="13">
        <v>0.302734375</v>
      </c>
      <c r="AG6" s="3">
        <v>8</v>
      </c>
      <c r="AH6">
        <v>35</v>
      </c>
      <c r="AJ6" s="9"/>
      <c r="AK6">
        <v>138.19999999999999</v>
      </c>
      <c r="AL6">
        <v>7.1</v>
      </c>
      <c r="AM6">
        <v>8</v>
      </c>
      <c r="AN6">
        <v>92.4</v>
      </c>
      <c r="AS6">
        <v>12</v>
      </c>
      <c r="AT6">
        <v>7</v>
      </c>
      <c r="AU6">
        <v>311</v>
      </c>
      <c r="AV6">
        <v>157</v>
      </c>
      <c r="AW6" s="9"/>
      <c r="AZ6">
        <v>62</v>
      </c>
      <c r="BA6">
        <v>28.1</v>
      </c>
      <c r="BB6" s="3">
        <v>25</v>
      </c>
      <c r="BC6">
        <v>13.1</v>
      </c>
    </row>
    <row r="7" spans="3:55" ht="15" customHeight="1" x14ac:dyDescent="0.2">
      <c r="C7" s="22">
        <v>26.5</v>
      </c>
      <c r="D7" s="13">
        <v>0.11904761904761905</v>
      </c>
      <c r="E7">
        <v>6</v>
      </c>
      <c r="F7">
        <v>0.87</v>
      </c>
      <c r="G7">
        <v>200</v>
      </c>
      <c r="H7">
        <v>36</v>
      </c>
      <c r="I7">
        <v>82</v>
      </c>
      <c r="J7">
        <f t="shared" si="0"/>
        <v>36</v>
      </c>
      <c r="L7">
        <v>188</v>
      </c>
      <c r="M7">
        <v>28</v>
      </c>
      <c r="N7">
        <v>6.1</v>
      </c>
      <c r="O7">
        <v>83</v>
      </c>
      <c r="Q7">
        <v>407</v>
      </c>
      <c r="R7">
        <v>21</v>
      </c>
      <c r="S7">
        <v>8.8000000000000007</v>
      </c>
      <c r="T7">
        <v>142</v>
      </c>
      <c r="AE7" s="22">
        <v>26.5</v>
      </c>
      <c r="AF7" s="13">
        <v>0.11904761904761905</v>
      </c>
      <c r="AG7">
        <v>6</v>
      </c>
      <c r="AH7">
        <v>36</v>
      </c>
      <c r="AK7">
        <v>138.19999999999999</v>
      </c>
      <c r="AL7">
        <v>10.3</v>
      </c>
      <c r="AM7">
        <v>8</v>
      </c>
      <c r="AN7">
        <v>89.4</v>
      </c>
      <c r="AS7">
        <v>12.7</v>
      </c>
      <c r="AT7">
        <v>13.6</v>
      </c>
      <c r="AU7">
        <v>232</v>
      </c>
      <c r="AV7">
        <v>65</v>
      </c>
      <c r="AZ7">
        <v>67</v>
      </c>
      <c r="BA7">
        <v>28</v>
      </c>
      <c r="BB7">
        <v>6.1</v>
      </c>
      <c r="BC7">
        <v>24</v>
      </c>
    </row>
    <row r="8" spans="3:55" ht="15" x14ac:dyDescent="0.25">
      <c r="C8" t="s">
        <v>396</v>
      </c>
      <c r="D8" s="13">
        <v>0.40364583333333331</v>
      </c>
      <c r="E8" s="3">
        <v>6</v>
      </c>
      <c r="F8">
        <v>0.53</v>
      </c>
      <c r="G8">
        <v>132</v>
      </c>
      <c r="H8">
        <v>41</v>
      </c>
      <c r="I8" s="9">
        <v>62</v>
      </c>
      <c r="J8">
        <f t="shared" si="0"/>
        <v>50.16</v>
      </c>
      <c r="L8">
        <v>193</v>
      </c>
      <c r="M8">
        <v>13</v>
      </c>
      <c r="N8">
        <v>15.6</v>
      </c>
      <c r="O8">
        <v>79</v>
      </c>
      <c r="Q8">
        <v>422.40000000000003</v>
      </c>
      <c r="R8">
        <v>13</v>
      </c>
      <c r="S8">
        <v>8</v>
      </c>
      <c r="T8">
        <v>219.16981132075475</v>
      </c>
      <c r="AE8" t="s">
        <v>396</v>
      </c>
      <c r="AF8" s="13">
        <v>0.40364583333333331</v>
      </c>
      <c r="AG8" s="3">
        <v>6</v>
      </c>
      <c r="AH8">
        <v>41</v>
      </c>
      <c r="AJ8" s="9"/>
      <c r="AK8" s="6">
        <v>144</v>
      </c>
      <c r="AL8">
        <v>20</v>
      </c>
      <c r="AM8">
        <v>8</v>
      </c>
      <c r="AN8">
        <v>43.2</v>
      </c>
      <c r="AR8" s="5"/>
      <c r="AS8" s="3">
        <v>13</v>
      </c>
      <c r="AT8" s="3">
        <v>8</v>
      </c>
      <c r="AU8" s="3">
        <v>349</v>
      </c>
      <c r="AV8" s="6">
        <v>156</v>
      </c>
      <c r="AW8" s="7"/>
      <c r="AZ8">
        <v>68</v>
      </c>
      <c r="BA8">
        <v>31.5</v>
      </c>
      <c r="BB8" s="3">
        <v>33.5</v>
      </c>
      <c r="BC8">
        <v>13.9</v>
      </c>
    </row>
    <row r="9" spans="3:55" ht="15" x14ac:dyDescent="0.25">
      <c r="C9">
        <v>27</v>
      </c>
      <c r="D9" s="13">
        <v>0.63661977236758127</v>
      </c>
      <c r="E9">
        <v>6</v>
      </c>
      <c r="F9" s="12">
        <v>0.36800000000000005</v>
      </c>
      <c r="G9">
        <v>92</v>
      </c>
      <c r="H9">
        <v>43</v>
      </c>
      <c r="I9" s="9">
        <v>53.260869565217398</v>
      </c>
      <c r="J9">
        <f t="shared" si="0"/>
        <v>43</v>
      </c>
      <c r="L9">
        <v>194</v>
      </c>
      <c r="M9">
        <v>25</v>
      </c>
      <c r="N9">
        <v>7.5</v>
      </c>
      <c r="O9">
        <v>89</v>
      </c>
      <c r="Q9">
        <v>424</v>
      </c>
      <c r="R9">
        <v>20</v>
      </c>
      <c r="S9">
        <v>4</v>
      </c>
      <c r="T9">
        <v>169</v>
      </c>
      <c r="AE9">
        <v>27</v>
      </c>
      <c r="AF9" s="13">
        <v>0.63661977236758127</v>
      </c>
      <c r="AG9">
        <v>6</v>
      </c>
      <c r="AH9">
        <v>43</v>
      </c>
      <c r="AJ9" s="9"/>
      <c r="AK9">
        <v>146</v>
      </c>
      <c r="AL9">
        <v>14.7</v>
      </c>
      <c r="AM9">
        <v>12.8</v>
      </c>
      <c r="AN9">
        <v>88</v>
      </c>
      <c r="AS9">
        <v>13.6</v>
      </c>
      <c r="AT9">
        <v>7.7</v>
      </c>
      <c r="AU9">
        <v>154</v>
      </c>
      <c r="AV9">
        <v>74</v>
      </c>
      <c r="AZ9">
        <v>69</v>
      </c>
      <c r="BA9">
        <v>27.3</v>
      </c>
      <c r="BB9" s="3">
        <v>10</v>
      </c>
      <c r="BC9">
        <v>24</v>
      </c>
    </row>
    <row r="10" spans="3:55" ht="15" x14ac:dyDescent="0.25">
      <c r="C10" s="3">
        <v>20</v>
      </c>
      <c r="D10" t="s">
        <v>43</v>
      </c>
      <c r="E10" s="3">
        <v>8</v>
      </c>
      <c r="F10" s="3">
        <v>0.75</v>
      </c>
      <c r="G10" s="6">
        <v>144</v>
      </c>
      <c r="H10" s="3">
        <v>43.2</v>
      </c>
      <c r="I10" s="7">
        <v>70</v>
      </c>
      <c r="J10">
        <f t="shared" si="0"/>
        <v>43.2</v>
      </c>
      <c r="L10">
        <v>195</v>
      </c>
      <c r="M10">
        <v>25</v>
      </c>
      <c r="N10">
        <v>8.6</v>
      </c>
      <c r="O10">
        <v>60</v>
      </c>
      <c r="Q10">
        <v>432</v>
      </c>
      <c r="R10">
        <v>17</v>
      </c>
      <c r="S10">
        <v>18</v>
      </c>
      <c r="T10">
        <v>186.62400000000002</v>
      </c>
      <c r="AE10" s="3">
        <v>20</v>
      </c>
      <c r="AF10" t="s">
        <v>43</v>
      </c>
      <c r="AG10" s="3">
        <v>8</v>
      </c>
      <c r="AH10" s="3">
        <v>43.2</v>
      </c>
      <c r="AI10" s="3"/>
      <c r="AJ10" s="7"/>
      <c r="AK10">
        <v>151</v>
      </c>
      <c r="AL10">
        <v>25.5</v>
      </c>
      <c r="AM10">
        <v>13.7</v>
      </c>
      <c r="AN10">
        <v>68.5</v>
      </c>
      <c r="AR10" s="3"/>
      <c r="AS10">
        <v>13.7</v>
      </c>
      <c r="AT10">
        <v>14.5</v>
      </c>
      <c r="AU10">
        <v>174</v>
      </c>
      <c r="AV10">
        <v>54</v>
      </c>
      <c r="AZ10">
        <v>71</v>
      </c>
      <c r="BA10">
        <v>27.9</v>
      </c>
      <c r="BB10" s="3">
        <v>16.7</v>
      </c>
      <c r="BC10">
        <v>10.3</v>
      </c>
    </row>
    <row r="11" spans="3:55" ht="15" x14ac:dyDescent="0.25">
      <c r="C11" t="s">
        <v>396</v>
      </c>
      <c r="D11" s="13">
        <v>0.60546875</v>
      </c>
      <c r="E11" s="3">
        <v>4</v>
      </c>
      <c r="F11">
        <v>1</v>
      </c>
      <c r="G11">
        <v>164</v>
      </c>
      <c r="H11">
        <v>44</v>
      </c>
      <c r="I11" s="9">
        <v>73</v>
      </c>
      <c r="J11">
        <f t="shared" si="0"/>
        <v>44.28</v>
      </c>
      <c r="L11">
        <v>210</v>
      </c>
      <c r="M11">
        <v>33</v>
      </c>
      <c r="N11">
        <v>7.2</v>
      </c>
      <c r="O11">
        <v>48</v>
      </c>
      <c r="Q11">
        <v>434</v>
      </c>
      <c r="R11">
        <v>25.5</v>
      </c>
      <c r="S11">
        <v>72</v>
      </c>
      <c r="T11">
        <v>172</v>
      </c>
      <c r="AE11" t="s">
        <v>396</v>
      </c>
      <c r="AF11" s="13">
        <v>0.60546875</v>
      </c>
      <c r="AG11" s="3">
        <v>4</v>
      </c>
      <c r="AH11">
        <v>44</v>
      </c>
      <c r="AJ11" s="9"/>
      <c r="AK11" s="6">
        <v>153.6</v>
      </c>
      <c r="AL11">
        <v>20</v>
      </c>
      <c r="AM11">
        <v>8</v>
      </c>
      <c r="AN11">
        <v>46.08</v>
      </c>
      <c r="AS11">
        <v>14.4</v>
      </c>
      <c r="AT11">
        <v>9.6999999999999993</v>
      </c>
      <c r="AU11">
        <v>126</v>
      </c>
      <c r="AV11">
        <v>56</v>
      </c>
      <c r="AZ11">
        <v>71</v>
      </c>
      <c r="BA11">
        <v>34</v>
      </c>
      <c r="BB11" s="3">
        <v>37.700000000000003</v>
      </c>
      <c r="BC11" s="6">
        <v>14.6</v>
      </c>
    </row>
    <row r="12" spans="3:55" ht="15" x14ac:dyDescent="0.25">
      <c r="C12" s="3">
        <v>20</v>
      </c>
      <c r="D12" t="s">
        <v>43</v>
      </c>
      <c r="E12" s="3">
        <v>8</v>
      </c>
      <c r="F12" s="3">
        <v>0.8</v>
      </c>
      <c r="G12" s="6">
        <v>153.6</v>
      </c>
      <c r="H12" s="3">
        <v>46.08</v>
      </c>
      <c r="I12" s="7">
        <v>70</v>
      </c>
      <c r="J12">
        <f t="shared" si="0"/>
        <v>46.08</v>
      </c>
      <c r="L12">
        <v>215</v>
      </c>
      <c r="M12">
        <v>25</v>
      </c>
      <c r="N12">
        <v>8</v>
      </c>
      <c r="O12">
        <v>60</v>
      </c>
      <c r="Q12">
        <v>437.5</v>
      </c>
      <c r="R12">
        <v>20</v>
      </c>
      <c r="S12">
        <v>40</v>
      </c>
      <c r="T12">
        <v>108.33333333333333</v>
      </c>
      <c r="AE12" s="3">
        <v>20</v>
      </c>
      <c r="AF12" t="s">
        <v>43</v>
      </c>
      <c r="AG12" s="3">
        <v>8</v>
      </c>
      <c r="AH12" s="3">
        <v>46.08</v>
      </c>
      <c r="AI12" s="3"/>
      <c r="AJ12" s="7"/>
      <c r="AK12" s="6">
        <v>153.6</v>
      </c>
      <c r="AL12">
        <v>20</v>
      </c>
      <c r="AM12">
        <v>8</v>
      </c>
      <c r="AN12">
        <v>46.08</v>
      </c>
      <c r="AS12">
        <v>14.7</v>
      </c>
      <c r="AT12">
        <v>12.8</v>
      </c>
      <c r="AU12">
        <v>89</v>
      </c>
      <c r="AV12">
        <v>38</v>
      </c>
      <c r="AZ12">
        <v>88</v>
      </c>
      <c r="BA12">
        <v>35</v>
      </c>
      <c r="BB12">
        <v>4</v>
      </c>
      <c r="BC12">
        <v>34</v>
      </c>
    </row>
    <row r="13" spans="3:55" ht="15" x14ac:dyDescent="0.25">
      <c r="C13" s="3">
        <v>20</v>
      </c>
      <c r="D13" t="s">
        <v>43</v>
      </c>
      <c r="E13" s="3">
        <v>8</v>
      </c>
      <c r="F13" s="3">
        <v>0.8</v>
      </c>
      <c r="G13" s="6">
        <v>153.6</v>
      </c>
      <c r="H13" s="3">
        <v>46.08</v>
      </c>
      <c r="I13" s="7">
        <v>70</v>
      </c>
      <c r="J13">
        <f t="shared" si="0"/>
        <v>46.08</v>
      </c>
      <c r="L13">
        <v>233</v>
      </c>
      <c r="M13">
        <v>33</v>
      </c>
      <c r="N13">
        <v>7.5</v>
      </c>
      <c r="O13">
        <v>63</v>
      </c>
      <c r="Q13">
        <v>442.70833333333331</v>
      </c>
      <c r="R13">
        <v>20</v>
      </c>
      <c r="S13">
        <v>10</v>
      </c>
      <c r="T13">
        <v>69.270833333333329</v>
      </c>
      <c r="AE13" s="3">
        <v>20</v>
      </c>
      <c r="AF13" t="s">
        <v>43</v>
      </c>
      <c r="AG13" s="3">
        <v>8</v>
      </c>
      <c r="AH13" s="3">
        <v>46.08</v>
      </c>
      <c r="AI13" s="3"/>
      <c r="AJ13" s="7"/>
      <c r="AK13" s="6">
        <v>153.6</v>
      </c>
      <c r="AL13">
        <v>20</v>
      </c>
      <c r="AM13">
        <v>8</v>
      </c>
      <c r="AN13">
        <v>46.08</v>
      </c>
      <c r="AS13">
        <v>17</v>
      </c>
      <c r="AT13">
        <v>5.5</v>
      </c>
      <c r="AU13">
        <v>289</v>
      </c>
      <c r="AV13">
        <v>167</v>
      </c>
      <c r="AW13" s="9"/>
      <c r="AZ13">
        <v>89</v>
      </c>
      <c r="BA13">
        <v>14.7</v>
      </c>
      <c r="BB13">
        <v>12.8</v>
      </c>
      <c r="BC13">
        <v>38</v>
      </c>
    </row>
    <row r="14" spans="3:55" ht="15" x14ac:dyDescent="0.25">
      <c r="C14" s="3">
        <v>20</v>
      </c>
      <c r="D14" t="s">
        <v>43</v>
      </c>
      <c r="E14" s="3">
        <v>8</v>
      </c>
      <c r="F14" s="3">
        <v>0.8</v>
      </c>
      <c r="G14" s="6">
        <v>153.6</v>
      </c>
      <c r="H14" s="3">
        <v>46.08</v>
      </c>
      <c r="I14" s="7">
        <v>70</v>
      </c>
      <c r="J14">
        <f t="shared" si="0"/>
        <v>46.08</v>
      </c>
      <c r="L14">
        <v>243</v>
      </c>
      <c r="M14">
        <v>19</v>
      </c>
      <c r="N14">
        <v>12</v>
      </c>
      <c r="O14">
        <v>76</v>
      </c>
      <c r="Q14">
        <v>452</v>
      </c>
      <c r="R14">
        <v>22.7</v>
      </c>
      <c r="S14">
        <v>5.7</v>
      </c>
      <c r="T14">
        <v>235.04000000000002</v>
      </c>
      <c r="AE14" s="3">
        <v>20</v>
      </c>
      <c r="AF14" t="s">
        <v>43</v>
      </c>
      <c r="AG14" s="3">
        <v>8</v>
      </c>
      <c r="AH14" s="3">
        <v>46.08</v>
      </c>
      <c r="AI14" s="3"/>
      <c r="AJ14" s="7"/>
      <c r="AK14">
        <v>162</v>
      </c>
      <c r="AL14">
        <v>13</v>
      </c>
      <c r="AM14">
        <v>21.4</v>
      </c>
      <c r="AN14">
        <v>60</v>
      </c>
      <c r="AS14">
        <v>17</v>
      </c>
      <c r="AT14">
        <v>5.5</v>
      </c>
      <c r="AU14">
        <v>289</v>
      </c>
      <c r="AV14">
        <v>162</v>
      </c>
      <c r="AW14" s="9"/>
      <c r="AZ14">
        <v>91</v>
      </c>
      <c r="BA14">
        <v>25</v>
      </c>
      <c r="BB14">
        <v>7.5</v>
      </c>
      <c r="BC14">
        <v>34</v>
      </c>
    </row>
    <row r="15" spans="3:55" ht="15" customHeight="1" x14ac:dyDescent="0.25">
      <c r="C15">
        <v>33</v>
      </c>
      <c r="E15">
        <v>7.2</v>
      </c>
      <c r="F15">
        <v>0.77</v>
      </c>
      <c r="G15">
        <v>210</v>
      </c>
      <c r="H15">
        <v>48</v>
      </c>
      <c r="I15">
        <v>77</v>
      </c>
      <c r="J15">
        <f t="shared" si="0"/>
        <v>48.299999999999983</v>
      </c>
      <c r="L15">
        <v>243</v>
      </c>
      <c r="M15">
        <v>21</v>
      </c>
      <c r="N15">
        <v>6</v>
      </c>
      <c r="O15">
        <v>165</v>
      </c>
      <c r="Q15">
        <v>452</v>
      </c>
      <c r="R15">
        <v>24.3</v>
      </c>
      <c r="S15">
        <v>5.9</v>
      </c>
      <c r="T15">
        <v>230.52</v>
      </c>
      <c r="AE15">
        <v>33</v>
      </c>
      <c r="AG15">
        <v>7.2</v>
      </c>
      <c r="AH15">
        <v>48</v>
      </c>
      <c r="AK15">
        <v>162</v>
      </c>
      <c r="AL15">
        <v>27.9</v>
      </c>
      <c r="AM15">
        <v>16.7</v>
      </c>
      <c r="AN15">
        <v>74</v>
      </c>
      <c r="AS15" s="3">
        <v>17</v>
      </c>
      <c r="AT15" s="3">
        <v>18</v>
      </c>
      <c r="AU15" s="3">
        <v>335</v>
      </c>
      <c r="AV15">
        <v>113</v>
      </c>
      <c r="AZ15">
        <v>95</v>
      </c>
      <c r="BA15">
        <v>20</v>
      </c>
      <c r="BB15">
        <v>12.3</v>
      </c>
      <c r="BC15">
        <v>38</v>
      </c>
    </row>
    <row r="16" spans="3:55" ht="15" x14ac:dyDescent="0.25">
      <c r="C16" t="s">
        <v>277</v>
      </c>
      <c r="D16" s="13">
        <v>5.8946275219220495E-2</v>
      </c>
      <c r="E16">
        <v>24</v>
      </c>
      <c r="F16" s="8">
        <v>0.53900000000000003</v>
      </c>
      <c r="G16">
        <v>539</v>
      </c>
      <c r="H16" s="9">
        <v>50</v>
      </c>
      <c r="I16" s="9">
        <v>70</v>
      </c>
      <c r="J16">
        <f t="shared" si="0"/>
        <v>161.70000000000005</v>
      </c>
      <c r="L16">
        <v>243</v>
      </c>
      <c r="M16">
        <v>26</v>
      </c>
      <c r="N16">
        <v>24</v>
      </c>
      <c r="O16">
        <v>58</v>
      </c>
      <c r="Q16">
        <v>459</v>
      </c>
      <c r="R16">
        <v>22</v>
      </c>
      <c r="S16">
        <v>7.2</v>
      </c>
      <c r="T16">
        <v>206</v>
      </c>
      <c r="AE16" t="s">
        <v>277</v>
      </c>
      <c r="AF16" s="13">
        <v>5.8946275219220495E-2</v>
      </c>
      <c r="AG16">
        <v>24</v>
      </c>
      <c r="AH16" s="9">
        <v>50</v>
      </c>
      <c r="AI16" s="9"/>
      <c r="AJ16" s="9"/>
      <c r="AK16">
        <v>164</v>
      </c>
      <c r="AL16">
        <v>26</v>
      </c>
      <c r="AM16">
        <v>4</v>
      </c>
      <c r="AN16">
        <v>44</v>
      </c>
      <c r="AR16" s="3"/>
      <c r="AS16" s="3">
        <v>17</v>
      </c>
      <c r="AT16" s="3">
        <v>48</v>
      </c>
      <c r="AU16" s="3">
        <v>371</v>
      </c>
      <c r="AV16">
        <v>89</v>
      </c>
      <c r="AW16" s="9"/>
      <c r="AZ16">
        <v>113</v>
      </c>
      <c r="BA16">
        <v>25</v>
      </c>
      <c r="BB16">
        <v>6.2</v>
      </c>
      <c r="BC16" s="6">
        <v>37</v>
      </c>
    </row>
    <row r="17" spans="3:55" ht="15" x14ac:dyDescent="0.25">
      <c r="C17" s="3">
        <v>16</v>
      </c>
      <c r="D17" t="s">
        <v>43</v>
      </c>
      <c r="E17" s="3">
        <v>10</v>
      </c>
      <c r="F17" s="3">
        <v>0.7</v>
      </c>
      <c r="G17" s="6">
        <v>168</v>
      </c>
      <c r="H17" s="3">
        <v>50.400000000000006</v>
      </c>
      <c r="I17" s="7">
        <v>70</v>
      </c>
      <c r="J17">
        <f t="shared" si="0"/>
        <v>50.400000000000006</v>
      </c>
      <c r="L17">
        <v>250</v>
      </c>
      <c r="M17">
        <v>25</v>
      </c>
      <c r="N17">
        <v>9.1</v>
      </c>
      <c r="O17">
        <v>92</v>
      </c>
      <c r="Q17">
        <v>475</v>
      </c>
      <c r="R17">
        <v>18.5</v>
      </c>
      <c r="S17">
        <v>3.6</v>
      </c>
      <c r="T17">
        <v>165</v>
      </c>
      <c r="AE17" s="3">
        <v>16</v>
      </c>
      <c r="AF17" t="s">
        <v>43</v>
      </c>
      <c r="AG17" s="3">
        <v>10</v>
      </c>
      <c r="AH17" s="3">
        <v>50.400000000000006</v>
      </c>
      <c r="AI17" s="3"/>
      <c r="AJ17" s="7"/>
      <c r="AK17">
        <v>164</v>
      </c>
      <c r="AL17">
        <v>26</v>
      </c>
      <c r="AM17">
        <v>4</v>
      </c>
      <c r="AN17">
        <v>62</v>
      </c>
      <c r="AS17" s="3">
        <v>17</v>
      </c>
      <c r="AT17">
        <v>96</v>
      </c>
      <c r="AU17" s="3">
        <v>371</v>
      </c>
      <c r="AV17">
        <v>73</v>
      </c>
      <c r="AW17" s="9"/>
      <c r="AZ17">
        <v>120</v>
      </c>
      <c r="BA17" s="22">
        <v>19.149999999999999</v>
      </c>
      <c r="BB17" s="3">
        <v>8</v>
      </c>
      <c r="BC17">
        <v>66</v>
      </c>
    </row>
    <row r="18" spans="3:55" ht="15" x14ac:dyDescent="0.25">
      <c r="C18" s="3">
        <v>15</v>
      </c>
      <c r="D18" t="s">
        <v>43</v>
      </c>
      <c r="E18" s="3">
        <v>8</v>
      </c>
      <c r="F18" s="3">
        <v>0.9</v>
      </c>
      <c r="G18" s="6">
        <v>172.79999999999998</v>
      </c>
      <c r="H18" s="3">
        <v>51.84</v>
      </c>
      <c r="I18" s="7">
        <v>70</v>
      </c>
      <c r="J18">
        <f t="shared" si="0"/>
        <v>51.84</v>
      </c>
      <c r="L18">
        <v>252</v>
      </c>
      <c r="M18">
        <v>27</v>
      </c>
      <c r="N18">
        <v>9.3000000000000007</v>
      </c>
      <c r="O18">
        <v>143</v>
      </c>
      <c r="Q18">
        <v>475.2</v>
      </c>
      <c r="R18">
        <v>19</v>
      </c>
      <c r="S18">
        <v>6</v>
      </c>
      <c r="T18">
        <v>292.93150684931504</v>
      </c>
      <c r="AE18" s="3">
        <v>15</v>
      </c>
      <c r="AF18" t="s">
        <v>43</v>
      </c>
      <c r="AG18" s="3">
        <v>8</v>
      </c>
      <c r="AH18" s="3">
        <v>51.84</v>
      </c>
      <c r="AI18" s="3"/>
      <c r="AJ18" s="7"/>
      <c r="AK18">
        <v>164</v>
      </c>
      <c r="AL18">
        <v>26</v>
      </c>
      <c r="AM18">
        <v>4</v>
      </c>
      <c r="AN18">
        <v>71</v>
      </c>
      <c r="AS18">
        <v>18</v>
      </c>
      <c r="AT18">
        <v>25</v>
      </c>
      <c r="AU18">
        <v>352</v>
      </c>
      <c r="AV18">
        <v>158.39999999999998</v>
      </c>
      <c r="AZ18">
        <v>121</v>
      </c>
      <c r="BA18">
        <v>27</v>
      </c>
      <c r="BB18">
        <v>9.3000000000000007</v>
      </c>
      <c r="BC18">
        <v>72</v>
      </c>
    </row>
    <row r="19" spans="3:55" ht="15" x14ac:dyDescent="0.25">
      <c r="C19" s="3">
        <v>20</v>
      </c>
      <c r="D19" t="s">
        <v>43</v>
      </c>
      <c r="E19" s="3">
        <v>6</v>
      </c>
      <c r="F19" s="3">
        <v>1.2</v>
      </c>
      <c r="G19" s="6">
        <v>172.79999999999998</v>
      </c>
      <c r="H19" s="3">
        <v>51.84</v>
      </c>
      <c r="I19" s="7">
        <v>70</v>
      </c>
      <c r="J19">
        <f t="shared" si="0"/>
        <v>51.84</v>
      </c>
      <c r="L19">
        <v>258</v>
      </c>
      <c r="M19">
        <v>25</v>
      </c>
      <c r="N19">
        <v>6.2</v>
      </c>
      <c r="O19">
        <v>103</v>
      </c>
      <c r="Q19">
        <v>475.66</v>
      </c>
      <c r="R19">
        <v>20</v>
      </c>
      <c r="T19">
        <v>52.53</v>
      </c>
      <c r="AE19" s="3">
        <v>20</v>
      </c>
      <c r="AF19" t="s">
        <v>43</v>
      </c>
      <c r="AG19" s="3">
        <v>6</v>
      </c>
      <c r="AH19" s="3">
        <v>51.84</v>
      </c>
      <c r="AI19" s="3"/>
      <c r="AJ19" s="7"/>
      <c r="AK19">
        <v>167</v>
      </c>
      <c r="AL19">
        <v>25</v>
      </c>
      <c r="AM19">
        <v>24</v>
      </c>
      <c r="AN19">
        <v>117</v>
      </c>
      <c r="AS19">
        <v>18</v>
      </c>
      <c r="AT19">
        <v>4.4000000000000004</v>
      </c>
      <c r="AU19">
        <v>236</v>
      </c>
      <c r="AV19">
        <v>105</v>
      </c>
      <c r="AZ19">
        <v>126</v>
      </c>
      <c r="BA19">
        <v>14.4</v>
      </c>
      <c r="BB19">
        <v>9.6999999999999993</v>
      </c>
      <c r="BC19">
        <v>56</v>
      </c>
    </row>
    <row r="20" spans="3:55" ht="15" customHeight="1" x14ac:dyDescent="0.25">
      <c r="C20">
        <v>20</v>
      </c>
      <c r="D20">
        <v>0.18</v>
      </c>
      <c r="G20" s="9">
        <v>475.66</v>
      </c>
      <c r="H20" s="9">
        <v>52.53</v>
      </c>
      <c r="I20" s="9">
        <v>88.956397426733375</v>
      </c>
      <c r="J20">
        <f t="shared" si="0"/>
        <v>52.53000000000003</v>
      </c>
      <c r="L20">
        <v>285</v>
      </c>
      <c r="M20">
        <v>18</v>
      </c>
      <c r="N20">
        <v>4.4000000000000004</v>
      </c>
      <c r="O20">
        <v>189</v>
      </c>
      <c r="Q20">
        <v>489.6</v>
      </c>
      <c r="R20">
        <v>9</v>
      </c>
      <c r="S20">
        <v>12</v>
      </c>
      <c r="T20">
        <v>274.58447276940905</v>
      </c>
      <c r="AE20">
        <v>20</v>
      </c>
      <c r="AF20">
        <v>0.18</v>
      </c>
      <c r="AH20" s="9">
        <v>52.53</v>
      </c>
      <c r="AI20" s="9"/>
      <c r="AJ20" s="9"/>
      <c r="AK20" s="6">
        <v>168</v>
      </c>
      <c r="AL20">
        <v>16</v>
      </c>
      <c r="AM20">
        <v>10</v>
      </c>
      <c r="AN20">
        <v>50.400000000000006</v>
      </c>
      <c r="AS20">
        <v>18</v>
      </c>
      <c r="AT20">
        <v>11</v>
      </c>
      <c r="AU20">
        <v>182</v>
      </c>
      <c r="AV20" s="6">
        <v>45</v>
      </c>
      <c r="AW20" s="7"/>
      <c r="AZ20">
        <v>131</v>
      </c>
      <c r="BA20">
        <v>21</v>
      </c>
      <c r="BB20">
        <v>6</v>
      </c>
      <c r="BC20">
        <v>49</v>
      </c>
    </row>
    <row r="21" spans="3:55" ht="14.25" customHeight="1" x14ac:dyDescent="0.2">
      <c r="C21" s="22">
        <v>28</v>
      </c>
      <c r="D21" s="13">
        <v>8.9285714285714288E-2</v>
      </c>
      <c r="E21">
        <v>8</v>
      </c>
      <c r="F21">
        <v>0.65</v>
      </c>
      <c r="G21">
        <v>190</v>
      </c>
      <c r="H21">
        <v>53.200000000000017</v>
      </c>
      <c r="I21">
        <v>72</v>
      </c>
      <c r="J21">
        <f t="shared" si="0"/>
        <v>53.200000000000017</v>
      </c>
      <c r="L21">
        <v>296</v>
      </c>
      <c r="M21">
        <v>27</v>
      </c>
      <c r="N21">
        <v>8.8000000000000007</v>
      </c>
      <c r="O21">
        <v>111</v>
      </c>
      <c r="Q21">
        <v>539</v>
      </c>
      <c r="R21" s="9">
        <v>23</v>
      </c>
      <c r="S21">
        <v>48</v>
      </c>
      <c r="T21">
        <v>71</v>
      </c>
      <c r="AE21" s="22">
        <v>28</v>
      </c>
      <c r="AF21" s="13">
        <v>8.9285714285714288E-2</v>
      </c>
      <c r="AG21">
        <v>8</v>
      </c>
      <c r="AH21">
        <v>53.200000000000017</v>
      </c>
      <c r="AK21" s="6">
        <v>172.79999999999998</v>
      </c>
      <c r="AL21">
        <v>15</v>
      </c>
      <c r="AM21">
        <v>8</v>
      </c>
      <c r="AN21">
        <v>51.84</v>
      </c>
      <c r="AS21">
        <v>18.5</v>
      </c>
      <c r="AT21">
        <v>3.6</v>
      </c>
      <c r="AU21">
        <v>190</v>
      </c>
      <c r="AV21">
        <v>45</v>
      </c>
      <c r="AW21" s="9"/>
      <c r="AZ21">
        <v>134</v>
      </c>
      <c r="BA21">
        <v>25</v>
      </c>
      <c r="BB21">
        <v>4</v>
      </c>
      <c r="BC21">
        <v>75</v>
      </c>
    </row>
    <row r="22" spans="3:55" ht="15" x14ac:dyDescent="0.25">
      <c r="C22" s="5">
        <v>26</v>
      </c>
      <c r="D22" s="13">
        <v>4.1666666666666664E-2</v>
      </c>
      <c r="E22" s="3">
        <v>24</v>
      </c>
      <c r="F22" s="8">
        <v>0.24299999999999999</v>
      </c>
      <c r="G22" s="6">
        <v>243</v>
      </c>
      <c r="H22" s="3">
        <v>58</v>
      </c>
      <c r="I22" s="7">
        <v>77</v>
      </c>
      <c r="J22">
        <f>G22-G22*(I22/100)</f>
        <v>55.889999999999986</v>
      </c>
      <c r="L22">
        <v>307</v>
      </c>
      <c r="M22">
        <v>21</v>
      </c>
      <c r="N22">
        <v>5.0999999999999996</v>
      </c>
      <c r="O22">
        <v>117</v>
      </c>
      <c r="Q22">
        <v>539</v>
      </c>
      <c r="R22">
        <v>23</v>
      </c>
      <c r="S22">
        <v>36</v>
      </c>
      <c r="T22">
        <v>71</v>
      </c>
      <c r="AE22" s="5">
        <v>26</v>
      </c>
      <c r="AF22" s="13">
        <v>4.1666666666666664E-2</v>
      </c>
      <c r="AG22" s="3">
        <v>24</v>
      </c>
      <c r="AH22" s="3">
        <v>58</v>
      </c>
      <c r="AI22" s="3"/>
      <c r="AJ22" s="7"/>
      <c r="AK22" s="6">
        <v>172.79999999999998</v>
      </c>
      <c r="AL22">
        <v>20</v>
      </c>
      <c r="AM22">
        <v>6</v>
      </c>
      <c r="AN22">
        <v>51.84</v>
      </c>
      <c r="AS22" s="3">
        <v>19</v>
      </c>
      <c r="AT22" s="3">
        <v>6</v>
      </c>
      <c r="AU22" s="3">
        <v>343</v>
      </c>
      <c r="AV22">
        <v>199</v>
      </c>
      <c r="AZ22">
        <v>134</v>
      </c>
      <c r="BA22">
        <v>25</v>
      </c>
      <c r="BB22">
        <v>6</v>
      </c>
      <c r="BC22">
        <v>71</v>
      </c>
    </row>
    <row r="23" spans="3:55" ht="15" customHeight="1" x14ac:dyDescent="0.25">
      <c r="C23">
        <v>13</v>
      </c>
      <c r="E23">
        <v>21.4</v>
      </c>
      <c r="F23">
        <v>0.25</v>
      </c>
      <c r="G23">
        <v>162</v>
      </c>
      <c r="H23">
        <v>60</v>
      </c>
      <c r="I23">
        <v>60</v>
      </c>
      <c r="J23">
        <f t="shared" ref="J23:J79" si="1">G23-G23*(I23/100)</f>
        <v>64.8</v>
      </c>
      <c r="L23">
        <v>341</v>
      </c>
      <c r="M23">
        <v>35</v>
      </c>
      <c r="N23">
        <v>4</v>
      </c>
      <c r="O23">
        <v>119</v>
      </c>
      <c r="Q23">
        <v>539</v>
      </c>
      <c r="R23">
        <v>23</v>
      </c>
      <c r="S23">
        <v>24</v>
      </c>
      <c r="T23">
        <v>50</v>
      </c>
      <c r="AE23">
        <v>13</v>
      </c>
      <c r="AG23">
        <v>21.4</v>
      </c>
      <c r="AH23">
        <v>60</v>
      </c>
      <c r="AK23">
        <v>179</v>
      </c>
      <c r="AL23">
        <v>31.5</v>
      </c>
      <c r="AM23">
        <v>33.5</v>
      </c>
      <c r="AN23">
        <v>81</v>
      </c>
      <c r="AS23" s="5">
        <v>19</v>
      </c>
      <c r="AT23" s="3">
        <v>12</v>
      </c>
      <c r="AU23" s="3">
        <v>400</v>
      </c>
      <c r="AV23">
        <v>105</v>
      </c>
      <c r="AZ23">
        <v>138</v>
      </c>
      <c r="BA23">
        <v>25</v>
      </c>
      <c r="BB23">
        <v>6</v>
      </c>
      <c r="BC23">
        <v>56</v>
      </c>
    </row>
    <row r="24" spans="3:55" ht="15" customHeight="1" x14ac:dyDescent="0.25">
      <c r="C24">
        <v>25</v>
      </c>
      <c r="E24">
        <v>8.6</v>
      </c>
      <c r="F24">
        <v>0.52</v>
      </c>
      <c r="G24">
        <v>195</v>
      </c>
      <c r="H24">
        <v>60</v>
      </c>
      <c r="I24">
        <v>70</v>
      </c>
      <c r="J24">
        <f t="shared" si="1"/>
        <v>58.5</v>
      </c>
      <c r="L24">
        <v>374</v>
      </c>
      <c r="M24">
        <v>22</v>
      </c>
      <c r="N24">
        <v>7</v>
      </c>
      <c r="O24">
        <v>152</v>
      </c>
      <c r="Q24">
        <v>539</v>
      </c>
      <c r="R24">
        <v>27</v>
      </c>
      <c r="S24">
        <v>10.199999999999999</v>
      </c>
      <c r="T24">
        <v>274</v>
      </c>
      <c r="AE24">
        <v>25</v>
      </c>
      <c r="AG24">
        <v>8.6</v>
      </c>
      <c r="AH24">
        <v>60</v>
      </c>
      <c r="AK24">
        <v>182</v>
      </c>
      <c r="AL24">
        <v>34</v>
      </c>
      <c r="AM24">
        <v>37.700000000000003</v>
      </c>
      <c r="AN24">
        <v>83</v>
      </c>
      <c r="AR24" s="3"/>
      <c r="AS24">
        <v>20</v>
      </c>
      <c r="AT24">
        <v>10.4</v>
      </c>
      <c r="AU24">
        <v>178</v>
      </c>
      <c r="AV24">
        <v>43</v>
      </c>
      <c r="AZ24">
        <v>139</v>
      </c>
      <c r="BA24">
        <v>31</v>
      </c>
      <c r="BB24">
        <v>8.8000000000000007</v>
      </c>
      <c r="BC24">
        <v>64</v>
      </c>
    </row>
    <row r="25" spans="3:55" ht="15" customHeight="1" x14ac:dyDescent="0.2">
      <c r="C25">
        <v>25</v>
      </c>
      <c r="E25">
        <v>8</v>
      </c>
      <c r="F25">
        <v>0.6</v>
      </c>
      <c r="G25">
        <v>215</v>
      </c>
      <c r="H25">
        <v>60</v>
      </c>
      <c r="I25">
        <v>72</v>
      </c>
      <c r="J25">
        <f t="shared" si="1"/>
        <v>60.200000000000017</v>
      </c>
      <c r="L25">
        <v>379</v>
      </c>
      <c r="M25">
        <v>27</v>
      </c>
      <c r="N25">
        <v>10.4</v>
      </c>
      <c r="O25">
        <v>158</v>
      </c>
      <c r="Q25">
        <v>547</v>
      </c>
      <c r="R25">
        <v>27</v>
      </c>
      <c r="S25">
        <v>11.8</v>
      </c>
      <c r="T25">
        <v>245</v>
      </c>
      <c r="AE25">
        <v>25</v>
      </c>
      <c r="AG25">
        <v>8</v>
      </c>
      <c r="AH25">
        <v>60</v>
      </c>
      <c r="AK25">
        <v>187</v>
      </c>
      <c r="AL25">
        <v>13</v>
      </c>
      <c r="AM25">
        <v>12.5</v>
      </c>
      <c r="AN25">
        <v>80</v>
      </c>
      <c r="AS25">
        <v>20</v>
      </c>
      <c r="AT25">
        <v>3.2</v>
      </c>
      <c r="AU25">
        <v>189</v>
      </c>
      <c r="AV25">
        <v>144</v>
      </c>
      <c r="AZ25">
        <v>148</v>
      </c>
      <c r="BA25">
        <v>23</v>
      </c>
      <c r="BB25">
        <v>10.6</v>
      </c>
      <c r="BC25">
        <v>54</v>
      </c>
    </row>
    <row r="26" spans="3:55" ht="15" customHeight="1" x14ac:dyDescent="0.2">
      <c r="C26" s="22">
        <v>26.5</v>
      </c>
      <c r="D26" s="13">
        <v>0.11904761904761905</v>
      </c>
      <c r="E26">
        <v>6</v>
      </c>
      <c r="F26">
        <v>0.87</v>
      </c>
      <c r="G26">
        <v>200</v>
      </c>
      <c r="H26">
        <v>60</v>
      </c>
      <c r="I26">
        <v>70</v>
      </c>
      <c r="J26">
        <f t="shared" si="1"/>
        <v>60</v>
      </c>
      <c r="L26">
        <v>383.33333333333331</v>
      </c>
      <c r="M26">
        <v>20</v>
      </c>
      <c r="N26">
        <v>16</v>
      </c>
      <c r="O26">
        <v>66.666666666666671</v>
      </c>
      <c r="Q26">
        <v>553</v>
      </c>
      <c r="R26">
        <v>23</v>
      </c>
      <c r="S26">
        <v>2.8</v>
      </c>
      <c r="T26">
        <v>276.5</v>
      </c>
      <c r="AE26" s="22">
        <v>26.5</v>
      </c>
      <c r="AF26" s="13">
        <v>0.11904761904761905</v>
      </c>
      <c r="AG26">
        <v>6</v>
      </c>
      <c r="AH26">
        <v>60</v>
      </c>
      <c r="AK26">
        <v>188</v>
      </c>
      <c r="AL26">
        <v>28</v>
      </c>
      <c r="AM26">
        <v>6.1</v>
      </c>
      <c r="AN26">
        <v>83</v>
      </c>
      <c r="AS26">
        <v>20</v>
      </c>
      <c r="AU26" s="9">
        <v>53.63</v>
      </c>
      <c r="AV26">
        <v>22.75</v>
      </c>
      <c r="AZ26">
        <v>148</v>
      </c>
      <c r="BA26">
        <v>23</v>
      </c>
      <c r="BB26">
        <v>9.9</v>
      </c>
      <c r="BC26">
        <v>74</v>
      </c>
    </row>
    <row r="27" spans="3:55" ht="15" x14ac:dyDescent="0.25">
      <c r="C27" t="s">
        <v>396</v>
      </c>
      <c r="D27" s="13">
        <v>0.60546875</v>
      </c>
      <c r="E27" s="3">
        <v>4</v>
      </c>
      <c r="F27">
        <v>1</v>
      </c>
      <c r="G27">
        <v>164</v>
      </c>
      <c r="H27">
        <v>62</v>
      </c>
      <c r="I27" s="9">
        <v>61</v>
      </c>
      <c r="J27">
        <f t="shared" si="1"/>
        <v>63.960000000000008</v>
      </c>
      <c r="L27">
        <v>384</v>
      </c>
      <c r="M27">
        <v>27</v>
      </c>
      <c r="N27">
        <v>9.5</v>
      </c>
      <c r="O27">
        <v>206</v>
      </c>
      <c r="Q27">
        <v>553</v>
      </c>
      <c r="R27">
        <v>23</v>
      </c>
      <c r="S27">
        <v>4.4000000000000004</v>
      </c>
      <c r="T27">
        <v>293.09000000000003</v>
      </c>
      <c r="AE27" t="s">
        <v>396</v>
      </c>
      <c r="AF27" s="13">
        <v>0.60546875</v>
      </c>
      <c r="AG27" s="3">
        <v>4</v>
      </c>
      <c r="AH27">
        <v>62</v>
      </c>
      <c r="AJ27" s="9"/>
      <c r="AK27">
        <v>188</v>
      </c>
      <c r="AL27">
        <v>28.1</v>
      </c>
      <c r="AM27">
        <v>25</v>
      </c>
      <c r="AN27">
        <v>76</v>
      </c>
      <c r="AR27" s="22"/>
      <c r="AS27">
        <v>20</v>
      </c>
      <c r="AT27">
        <v>12.3</v>
      </c>
      <c r="AU27">
        <v>95</v>
      </c>
      <c r="AV27">
        <v>38</v>
      </c>
      <c r="AZ27">
        <v>149</v>
      </c>
      <c r="BA27">
        <v>21</v>
      </c>
      <c r="BB27">
        <v>5.0999999999999996</v>
      </c>
      <c r="BC27">
        <v>49</v>
      </c>
    </row>
    <row r="28" spans="3:55" ht="15" customHeight="1" x14ac:dyDescent="0.25">
      <c r="C28">
        <v>33</v>
      </c>
      <c r="E28">
        <v>7.5</v>
      </c>
      <c r="F28">
        <v>0.61</v>
      </c>
      <c r="G28">
        <v>233</v>
      </c>
      <c r="H28">
        <v>63</v>
      </c>
      <c r="I28">
        <v>73</v>
      </c>
      <c r="J28">
        <f t="shared" si="1"/>
        <v>62.91</v>
      </c>
      <c r="L28">
        <v>385.41666666666663</v>
      </c>
      <c r="M28">
        <v>20</v>
      </c>
      <c r="N28">
        <v>20</v>
      </c>
      <c r="O28">
        <v>73.958333333333329</v>
      </c>
      <c r="Q28">
        <v>553</v>
      </c>
      <c r="R28">
        <v>23</v>
      </c>
      <c r="S28">
        <v>5.7</v>
      </c>
      <c r="T28">
        <v>243.32</v>
      </c>
      <c r="AE28">
        <v>33</v>
      </c>
      <c r="AG28">
        <v>7.5</v>
      </c>
      <c r="AH28">
        <v>63</v>
      </c>
      <c r="AK28">
        <v>190</v>
      </c>
      <c r="AL28">
        <v>28</v>
      </c>
      <c r="AM28">
        <v>8</v>
      </c>
      <c r="AN28">
        <v>30.400000000000006</v>
      </c>
      <c r="AS28">
        <v>20</v>
      </c>
      <c r="AT28">
        <v>4</v>
      </c>
      <c r="AU28">
        <v>188</v>
      </c>
      <c r="AV28" s="6">
        <v>58</v>
      </c>
      <c r="AW28" s="7"/>
      <c r="AZ28">
        <v>151</v>
      </c>
      <c r="BA28">
        <v>27</v>
      </c>
      <c r="BB28">
        <v>8.8000000000000007</v>
      </c>
      <c r="BC28">
        <v>58</v>
      </c>
    </row>
    <row r="29" spans="3:55" ht="15" x14ac:dyDescent="0.25">
      <c r="C29">
        <v>27.3</v>
      </c>
      <c r="D29" s="13">
        <v>0.16</v>
      </c>
      <c r="E29" s="3">
        <v>10</v>
      </c>
      <c r="F29">
        <v>0.47</v>
      </c>
      <c r="G29">
        <v>199</v>
      </c>
      <c r="H29">
        <v>63</v>
      </c>
      <c r="I29" s="9">
        <v>68.341708542713562</v>
      </c>
      <c r="J29">
        <f t="shared" si="1"/>
        <v>63</v>
      </c>
      <c r="L29">
        <v>393</v>
      </c>
      <c r="M29">
        <v>22</v>
      </c>
      <c r="N29">
        <v>5</v>
      </c>
      <c r="O29">
        <v>280</v>
      </c>
      <c r="Q29">
        <v>563</v>
      </c>
      <c r="R29">
        <v>25</v>
      </c>
      <c r="S29">
        <v>6</v>
      </c>
      <c r="T29">
        <v>178</v>
      </c>
      <c r="AE29">
        <v>27.3</v>
      </c>
      <c r="AF29" s="13">
        <v>0.16</v>
      </c>
      <c r="AG29" s="3">
        <v>10</v>
      </c>
      <c r="AH29">
        <v>63</v>
      </c>
      <c r="AJ29" s="9"/>
      <c r="AK29">
        <v>190</v>
      </c>
      <c r="AL29">
        <v>28</v>
      </c>
      <c r="AM29">
        <v>8</v>
      </c>
      <c r="AN29">
        <v>53.200000000000017</v>
      </c>
      <c r="AS29">
        <v>20</v>
      </c>
      <c r="AT29">
        <v>9.6</v>
      </c>
      <c r="AU29">
        <v>229</v>
      </c>
      <c r="AV29">
        <v>56</v>
      </c>
      <c r="AZ29">
        <v>154</v>
      </c>
      <c r="BA29">
        <v>13.6</v>
      </c>
      <c r="BB29">
        <v>7.7</v>
      </c>
      <c r="BC29">
        <v>74</v>
      </c>
    </row>
    <row r="30" spans="3:55" ht="15" x14ac:dyDescent="0.25">
      <c r="C30" t="s">
        <v>396</v>
      </c>
      <c r="D30" s="13">
        <v>0.302734375</v>
      </c>
      <c r="E30" s="3">
        <v>8</v>
      </c>
      <c r="F30">
        <v>0.63</v>
      </c>
      <c r="G30">
        <v>207</v>
      </c>
      <c r="H30">
        <v>63</v>
      </c>
      <c r="I30" s="9">
        <v>65</v>
      </c>
      <c r="J30">
        <f t="shared" si="1"/>
        <v>72.449999999999989</v>
      </c>
      <c r="Q30">
        <v>563</v>
      </c>
      <c r="R30">
        <v>25</v>
      </c>
      <c r="S30">
        <v>6</v>
      </c>
      <c r="T30">
        <v>149</v>
      </c>
      <c r="AE30" t="s">
        <v>396</v>
      </c>
      <c r="AF30" s="13">
        <v>0.302734375</v>
      </c>
      <c r="AG30" s="3">
        <v>8</v>
      </c>
      <c r="AH30">
        <v>63</v>
      </c>
      <c r="AJ30" s="9"/>
      <c r="AK30">
        <v>193</v>
      </c>
      <c r="AL30">
        <v>13</v>
      </c>
      <c r="AM30">
        <v>15.6</v>
      </c>
      <c r="AN30">
        <v>79</v>
      </c>
      <c r="AS30">
        <v>20</v>
      </c>
      <c r="AT30">
        <v>9.5</v>
      </c>
      <c r="AU30">
        <v>224</v>
      </c>
      <c r="AV30">
        <v>53</v>
      </c>
      <c r="AZ30">
        <v>174</v>
      </c>
      <c r="BA30">
        <v>13.7</v>
      </c>
      <c r="BB30">
        <v>14.5</v>
      </c>
      <c r="BC30">
        <v>54</v>
      </c>
    </row>
    <row r="31" spans="3:55" ht="15" x14ac:dyDescent="0.25">
      <c r="C31" t="s">
        <v>396</v>
      </c>
      <c r="D31" s="13">
        <v>0.40364583333333331</v>
      </c>
      <c r="E31" s="3">
        <v>6</v>
      </c>
      <c r="F31">
        <v>0.53</v>
      </c>
      <c r="G31">
        <v>132</v>
      </c>
      <c r="H31">
        <v>66</v>
      </c>
      <c r="I31" s="9">
        <v>47</v>
      </c>
      <c r="J31">
        <f t="shared" si="1"/>
        <v>69.960000000000008</v>
      </c>
      <c r="Q31">
        <v>563</v>
      </c>
      <c r="R31">
        <v>25</v>
      </c>
      <c r="S31">
        <v>6</v>
      </c>
      <c r="T31">
        <v>169</v>
      </c>
      <c r="AE31" t="s">
        <v>396</v>
      </c>
      <c r="AF31" s="13">
        <v>0.40364583333333331</v>
      </c>
      <c r="AG31" s="3">
        <v>6</v>
      </c>
      <c r="AH31">
        <v>66</v>
      </c>
      <c r="AJ31" s="9"/>
      <c r="AK31">
        <v>194</v>
      </c>
      <c r="AL31">
        <v>25</v>
      </c>
      <c r="AM31">
        <v>7.5</v>
      </c>
      <c r="AN31">
        <v>89</v>
      </c>
      <c r="AS31">
        <v>20</v>
      </c>
      <c r="AT31">
        <v>9.1</v>
      </c>
      <c r="AU31">
        <v>206</v>
      </c>
      <c r="AV31">
        <v>43</v>
      </c>
      <c r="AZ31">
        <v>178</v>
      </c>
      <c r="BA31">
        <v>20</v>
      </c>
      <c r="BB31">
        <v>10.4</v>
      </c>
      <c r="BC31">
        <v>43</v>
      </c>
    </row>
    <row r="32" spans="3:55" ht="15" customHeight="1" x14ac:dyDescent="0.25">
      <c r="C32">
        <v>20</v>
      </c>
      <c r="D32" t="s">
        <v>43</v>
      </c>
      <c r="E32">
        <v>16</v>
      </c>
      <c r="F32">
        <v>0.6</v>
      </c>
      <c r="G32" s="9">
        <v>383.33333333333331</v>
      </c>
      <c r="H32" s="9">
        <v>66.666666666666671</v>
      </c>
      <c r="I32" s="9">
        <v>82.608695652173907</v>
      </c>
      <c r="J32">
        <f t="shared" si="1"/>
        <v>66.666666666666686</v>
      </c>
      <c r="Q32">
        <v>566</v>
      </c>
      <c r="R32">
        <v>23</v>
      </c>
      <c r="S32">
        <v>10.199999999999999</v>
      </c>
      <c r="T32">
        <v>277</v>
      </c>
      <c r="AE32">
        <v>20</v>
      </c>
      <c r="AF32" t="s">
        <v>43</v>
      </c>
      <c r="AG32">
        <v>16</v>
      </c>
      <c r="AH32" s="9">
        <v>66.666666666666671</v>
      </c>
      <c r="AI32" s="9"/>
      <c r="AJ32" s="9"/>
      <c r="AK32">
        <v>195</v>
      </c>
      <c r="AL32">
        <v>25</v>
      </c>
      <c r="AM32">
        <v>8.6</v>
      </c>
      <c r="AN32">
        <v>60</v>
      </c>
      <c r="AS32" s="5">
        <v>21</v>
      </c>
      <c r="AT32" s="3">
        <v>6</v>
      </c>
      <c r="AU32" s="3">
        <v>400</v>
      </c>
      <c r="AV32">
        <v>301</v>
      </c>
      <c r="AZ32">
        <v>182</v>
      </c>
      <c r="BA32">
        <v>18</v>
      </c>
      <c r="BB32">
        <v>11</v>
      </c>
      <c r="BC32" s="6">
        <v>45</v>
      </c>
    </row>
    <row r="33" spans="3:55" ht="15" customHeight="1" x14ac:dyDescent="0.2">
      <c r="C33" s="22">
        <v>30</v>
      </c>
      <c r="D33" s="13">
        <v>0.17857142857142858</v>
      </c>
      <c r="E33">
        <v>4</v>
      </c>
      <c r="F33">
        <v>1.1000000000000001</v>
      </c>
      <c r="G33">
        <v>205</v>
      </c>
      <c r="H33">
        <v>67.650000000000006</v>
      </c>
      <c r="I33">
        <v>67</v>
      </c>
      <c r="J33">
        <f t="shared" si="1"/>
        <v>67.650000000000006</v>
      </c>
      <c r="Q33">
        <v>566</v>
      </c>
      <c r="R33">
        <v>27</v>
      </c>
      <c r="S33">
        <v>8.5</v>
      </c>
      <c r="T33">
        <v>139</v>
      </c>
      <c r="AE33" s="22">
        <v>30</v>
      </c>
      <c r="AF33" s="13">
        <v>0.17857142857142858</v>
      </c>
      <c r="AG33">
        <v>4</v>
      </c>
      <c r="AH33">
        <v>67.650000000000006</v>
      </c>
      <c r="AK33">
        <v>195</v>
      </c>
      <c r="AL33">
        <v>27</v>
      </c>
      <c r="AM33">
        <v>6</v>
      </c>
      <c r="AN33">
        <v>89</v>
      </c>
      <c r="AS33">
        <v>21</v>
      </c>
      <c r="AT33">
        <v>6</v>
      </c>
      <c r="AU33">
        <v>131</v>
      </c>
      <c r="AV33">
        <v>49</v>
      </c>
      <c r="AZ33">
        <v>188</v>
      </c>
      <c r="BA33">
        <v>20</v>
      </c>
      <c r="BB33">
        <v>4</v>
      </c>
      <c r="BC33" s="6">
        <v>58</v>
      </c>
    </row>
    <row r="34" spans="3:55" ht="14.25" customHeight="1" x14ac:dyDescent="0.25">
      <c r="C34">
        <v>25.5</v>
      </c>
      <c r="D34" s="13">
        <v>0.11678832116788324</v>
      </c>
      <c r="E34" s="3">
        <v>13.7</v>
      </c>
      <c r="F34">
        <v>0.26</v>
      </c>
      <c r="G34">
        <v>151</v>
      </c>
      <c r="H34">
        <v>68.5</v>
      </c>
      <c r="I34" s="9">
        <v>54.635761589403977</v>
      </c>
      <c r="J34">
        <f t="shared" si="1"/>
        <v>68.5</v>
      </c>
      <c r="Q34">
        <v>567</v>
      </c>
      <c r="R34">
        <v>17</v>
      </c>
      <c r="S34">
        <v>5.5</v>
      </c>
      <c r="T34">
        <v>175</v>
      </c>
      <c r="AE34">
        <v>25.5</v>
      </c>
      <c r="AF34" s="13">
        <v>0.11678832116788324</v>
      </c>
      <c r="AG34" s="3">
        <v>13.7</v>
      </c>
      <c r="AH34">
        <v>68.5</v>
      </c>
      <c r="AJ34" s="9"/>
      <c r="AK34">
        <v>199</v>
      </c>
      <c r="AL34">
        <v>27.3</v>
      </c>
      <c r="AM34">
        <v>10</v>
      </c>
      <c r="AN34">
        <v>63</v>
      </c>
      <c r="AS34">
        <v>21</v>
      </c>
      <c r="AT34">
        <v>5.0999999999999996</v>
      </c>
      <c r="AU34">
        <v>149</v>
      </c>
      <c r="AV34">
        <v>49</v>
      </c>
      <c r="AZ34">
        <v>189</v>
      </c>
      <c r="BA34">
        <v>20</v>
      </c>
      <c r="BB34">
        <v>3.2</v>
      </c>
      <c r="BC34">
        <v>144</v>
      </c>
    </row>
    <row r="35" spans="3:55" ht="15" customHeight="1" x14ac:dyDescent="0.2">
      <c r="C35">
        <v>20</v>
      </c>
      <c r="D35" t="s">
        <v>43</v>
      </c>
      <c r="E35">
        <v>10</v>
      </c>
      <c r="F35">
        <v>1.05</v>
      </c>
      <c r="G35" s="9">
        <v>442.70833333333331</v>
      </c>
      <c r="H35" s="9">
        <v>69.270833333333329</v>
      </c>
      <c r="I35" s="9">
        <v>84.352941176470594</v>
      </c>
      <c r="J35">
        <f t="shared" si="1"/>
        <v>69.270833333333314</v>
      </c>
      <c r="Q35">
        <v>567</v>
      </c>
      <c r="R35">
        <v>17</v>
      </c>
      <c r="S35">
        <v>5.5</v>
      </c>
      <c r="T35">
        <v>155</v>
      </c>
      <c r="AE35">
        <v>20</v>
      </c>
      <c r="AF35" t="s">
        <v>43</v>
      </c>
      <c r="AG35">
        <v>10</v>
      </c>
      <c r="AH35" s="9">
        <v>69.270833333333329</v>
      </c>
      <c r="AI35" s="9"/>
      <c r="AJ35" s="9"/>
      <c r="AK35">
        <v>200</v>
      </c>
      <c r="AL35">
        <v>26.5</v>
      </c>
      <c r="AM35">
        <v>6</v>
      </c>
      <c r="AN35">
        <v>36</v>
      </c>
      <c r="AS35">
        <v>21</v>
      </c>
      <c r="AT35">
        <v>8.8000000000000007</v>
      </c>
      <c r="AU35">
        <v>195</v>
      </c>
      <c r="AV35">
        <v>49</v>
      </c>
      <c r="AZ35">
        <v>190</v>
      </c>
      <c r="BA35">
        <v>18.5</v>
      </c>
      <c r="BB35">
        <v>3.6</v>
      </c>
      <c r="BC35">
        <v>45</v>
      </c>
    </row>
    <row r="36" spans="3:55" ht="15" x14ac:dyDescent="0.25">
      <c r="C36" t="s">
        <v>396</v>
      </c>
      <c r="D36" s="13">
        <v>0.40364583333333331</v>
      </c>
      <c r="E36" s="3">
        <v>6</v>
      </c>
      <c r="F36">
        <v>0.53</v>
      </c>
      <c r="G36">
        <v>132</v>
      </c>
      <c r="H36">
        <v>70</v>
      </c>
      <c r="I36" s="9">
        <v>47</v>
      </c>
      <c r="J36">
        <f t="shared" si="1"/>
        <v>69.960000000000008</v>
      </c>
      <c r="Q36">
        <v>572</v>
      </c>
      <c r="R36">
        <v>26</v>
      </c>
      <c r="S36">
        <v>2.7</v>
      </c>
      <c r="T36">
        <v>211</v>
      </c>
      <c r="AE36" t="s">
        <v>396</v>
      </c>
      <c r="AF36" s="13">
        <v>0.40364583333333331</v>
      </c>
      <c r="AG36" s="3">
        <v>6</v>
      </c>
      <c r="AH36">
        <v>70</v>
      </c>
      <c r="AJ36" s="9"/>
      <c r="AK36">
        <v>200</v>
      </c>
      <c r="AL36">
        <v>26.5</v>
      </c>
      <c r="AM36">
        <v>6</v>
      </c>
      <c r="AN36">
        <v>60</v>
      </c>
      <c r="AS36" s="3">
        <v>22</v>
      </c>
      <c r="AT36" s="3">
        <v>4</v>
      </c>
      <c r="AU36" s="3">
        <v>398</v>
      </c>
      <c r="AV36" s="6">
        <v>318</v>
      </c>
      <c r="AW36" s="7"/>
      <c r="AZ36">
        <v>191</v>
      </c>
      <c r="BA36">
        <v>23</v>
      </c>
      <c r="BB36">
        <v>4</v>
      </c>
      <c r="BC36" s="6">
        <v>60</v>
      </c>
    </row>
    <row r="37" spans="3:55" ht="15" x14ac:dyDescent="0.25">
      <c r="C37" t="s">
        <v>277</v>
      </c>
      <c r="D37">
        <v>2.9473137609610248E-2</v>
      </c>
      <c r="E37">
        <v>48</v>
      </c>
      <c r="F37" s="8">
        <v>0.26950000000000002</v>
      </c>
      <c r="G37">
        <v>539</v>
      </c>
      <c r="H37" s="9">
        <v>71</v>
      </c>
      <c r="I37" s="9">
        <v>63</v>
      </c>
      <c r="J37">
        <f t="shared" si="1"/>
        <v>199.43</v>
      </c>
      <c r="Q37">
        <v>572</v>
      </c>
      <c r="R37">
        <v>26</v>
      </c>
      <c r="S37">
        <v>2.7</v>
      </c>
      <c r="T37">
        <v>190</v>
      </c>
      <c r="AE37" t="s">
        <v>277</v>
      </c>
      <c r="AF37">
        <v>2.9473137609610248E-2</v>
      </c>
      <c r="AG37">
        <v>48</v>
      </c>
      <c r="AH37" s="9">
        <v>71</v>
      </c>
      <c r="AI37" s="9"/>
      <c r="AJ37" s="9"/>
      <c r="AK37">
        <v>205</v>
      </c>
      <c r="AL37">
        <v>30</v>
      </c>
      <c r="AM37">
        <v>4</v>
      </c>
      <c r="AN37">
        <v>33.825000000000017</v>
      </c>
      <c r="AS37" s="3">
        <v>22</v>
      </c>
      <c r="AT37" s="3">
        <v>5</v>
      </c>
      <c r="AU37" s="3">
        <v>342</v>
      </c>
      <c r="AV37">
        <v>224</v>
      </c>
      <c r="AW37" s="9"/>
      <c r="AZ37">
        <v>192</v>
      </c>
      <c r="BA37">
        <v>22</v>
      </c>
      <c r="BB37">
        <v>7</v>
      </c>
      <c r="BC37">
        <v>45</v>
      </c>
    </row>
    <row r="38" spans="3:55" ht="15" x14ac:dyDescent="0.25">
      <c r="C38" t="s">
        <v>277</v>
      </c>
      <c r="D38" s="13">
        <v>4.4209706414415371E-2</v>
      </c>
      <c r="E38">
        <v>36</v>
      </c>
      <c r="F38" s="8">
        <v>0.35933333333333328</v>
      </c>
      <c r="G38">
        <v>539</v>
      </c>
      <c r="H38" s="9">
        <v>71</v>
      </c>
      <c r="I38" s="9">
        <v>63</v>
      </c>
      <c r="J38">
        <f t="shared" si="1"/>
        <v>199.43</v>
      </c>
      <c r="Q38">
        <v>586</v>
      </c>
      <c r="R38">
        <v>25</v>
      </c>
      <c r="S38">
        <v>4</v>
      </c>
      <c r="T38">
        <v>195</v>
      </c>
      <c r="AE38" t="s">
        <v>277</v>
      </c>
      <c r="AF38" s="13">
        <v>4.4209706414415371E-2</v>
      </c>
      <c r="AG38">
        <v>36</v>
      </c>
      <c r="AH38" s="9">
        <v>71</v>
      </c>
      <c r="AI38" s="9"/>
      <c r="AJ38" s="9"/>
      <c r="AK38">
        <v>205</v>
      </c>
      <c r="AL38">
        <v>30</v>
      </c>
      <c r="AM38">
        <v>4</v>
      </c>
      <c r="AN38">
        <v>67.650000000000006</v>
      </c>
      <c r="AS38">
        <v>22</v>
      </c>
      <c r="AT38">
        <v>25</v>
      </c>
      <c r="AU38">
        <v>404</v>
      </c>
      <c r="AV38">
        <v>153.52000000000001</v>
      </c>
      <c r="AZ38">
        <v>194</v>
      </c>
      <c r="BA38">
        <v>22</v>
      </c>
      <c r="BB38" s="9">
        <v>10.327272727272726</v>
      </c>
      <c r="BC38" s="6">
        <v>74</v>
      </c>
    </row>
    <row r="39" spans="3:55" ht="15" x14ac:dyDescent="0.25">
      <c r="C39" t="s">
        <v>396</v>
      </c>
      <c r="D39" s="13">
        <v>0.60546875</v>
      </c>
      <c r="E39" s="3">
        <v>4</v>
      </c>
      <c r="F39">
        <v>1</v>
      </c>
      <c r="G39">
        <v>164</v>
      </c>
      <c r="H39">
        <v>71</v>
      </c>
      <c r="I39">
        <v>53</v>
      </c>
      <c r="J39">
        <f t="shared" si="1"/>
        <v>77.08</v>
      </c>
      <c r="Q39">
        <v>586</v>
      </c>
      <c r="R39">
        <v>25</v>
      </c>
      <c r="S39">
        <v>4</v>
      </c>
      <c r="T39">
        <v>184</v>
      </c>
      <c r="AE39" t="s">
        <v>396</v>
      </c>
      <c r="AF39" s="13">
        <v>0.60546875</v>
      </c>
      <c r="AG39" s="3">
        <v>4</v>
      </c>
      <c r="AH39">
        <v>71</v>
      </c>
      <c r="AK39">
        <v>207</v>
      </c>
      <c r="AL39">
        <v>26</v>
      </c>
      <c r="AM39">
        <v>8</v>
      </c>
      <c r="AN39">
        <v>35</v>
      </c>
      <c r="AS39">
        <v>22</v>
      </c>
      <c r="AT39">
        <v>5</v>
      </c>
      <c r="AU39">
        <v>207</v>
      </c>
      <c r="AV39">
        <v>78</v>
      </c>
      <c r="AZ39">
        <v>195</v>
      </c>
      <c r="BA39">
        <v>21</v>
      </c>
      <c r="BB39">
        <v>8.8000000000000007</v>
      </c>
      <c r="BC39">
        <v>49</v>
      </c>
    </row>
    <row r="40" spans="3:55" ht="15" x14ac:dyDescent="0.25">
      <c r="C40" s="3">
        <v>20</v>
      </c>
      <c r="D40" t="s">
        <v>43</v>
      </c>
      <c r="E40" s="3">
        <v>6</v>
      </c>
      <c r="F40" s="3">
        <v>2</v>
      </c>
      <c r="G40" s="6">
        <v>288</v>
      </c>
      <c r="H40" s="3">
        <v>72</v>
      </c>
      <c r="I40" s="7">
        <v>75</v>
      </c>
      <c r="J40">
        <f t="shared" si="1"/>
        <v>72</v>
      </c>
      <c r="Q40">
        <v>589</v>
      </c>
      <c r="R40">
        <v>30</v>
      </c>
      <c r="S40">
        <v>32</v>
      </c>
      <c r="T40">
        <v>226</v>
      </c>
      <c r="AE40" s="3">
        <v>20</v>
      </c>
      <c r="AF40" t="s">
        <v>43</v>
      </c>
      <c r="AG40" s="3">
        <v>6</v>
      </c>
      <c r="AH40" s="3">
        <v>72</v>
      </c>
      <c r="AI40" s="3"/>
      <c r="AJ40" s="7"/>
      <c r="AK40">
        <v>207</v>
      </c>
      <c r="AL40">
        <v>26</v>
      </c>
      <c r="AM40">
        <v>8</v>
      </c>
      <c r="AN40">
        <v>63</v>
      </c>
      <c r="AS40">
        <v>22</v>
      </c>
      <c r="AT40">
        <v>7.2</v>
      </c>
      <c r="AU40">
        <v>219</v>
      </c>
      <c r="AV40">
        <v>74</v>
      </c>
      <c r="AW40" s="9"/>
      <c r="AZ40">
        <v>196</v>
      </c>
      <c r="BA40">
        <v>31</v>
      </c>
      <c r="BB40">
        <v>9.4</v>
      </c>
      <c r="BC40">
        <v>96</v>
      </c>
    </row>
    <row r="41" spans="3:55" ht="15" x14ac:dyDescent="0.25">
      <c r="C41" s="3">
        <v>20</v>
      </c>
      <c r="D41" t="s">
        <v>43</v>
      </c>
      <c r="E41" s="3">
        <v>6</v>
      </c>
      <c r="F41" s="3">
        <v>2</v>
      </c>
      <c r="G41" s="6">
        <v>288</v>
      </c>
      <c r="H41" s="3">
        <v>72</v>
      </c>
      <c r="I41" s="7">
        <v>75</v>
      </c>
      <c r="J41">
        <f t="shared" si="1"/>
        <v>72</v>
      </c>
      <c r="Q41">
        <v>612</v>
      </c>
      <c r="R41">
        <v>31</v>
      </c>
      <c r="S41">
        <v>1.4</v>
      </c>
      <c r="T41">
        <v>255</v>
      </c>
      <c r="AE41" s="3">
        <v>20</v>
      </c>
      <c r="AF41" t="s">
        <v>43</v>
      </c>
      <c r="AG41" s="3">
        <v>6</v>
      </c>
      <c r="AH41" s="3">
        <v>72</v>
      </c>
      <c r="AI41" s="3"/>
      <c r="AJ41" s="7"/>
      <c r="AK41">
        <v>207</v>
      </c>
      <c r="AL41">
        <v>26</v>
      </c>
      <c r="AM41">
        <v>8</v>
      </c>
      <c r="AN41">
        <v>73</v>
      </c>
      <c r="AS41">
        <v>22</v>
      </c>
      <c r="AT41">
        <v>7</v>
      </c>
      <c r="AU41">
        <v>192</v>
      </c>
      <c r="AV41">
        <v>45</v>
      </c>
      <c r="AW41" s="9"/>
      <c r="AZ41">
        <v>200</v>
      </c>
      <c r="BA41" s="22">
        <v>26</v>
      </c>
      <c r="BB41" s="3">
        <v>4</v>
      </c>
      <c r="BC41">
        <v>76</v>
      </c>
    </row>
    <row r="42" spans="3:55" ht="15" x14ac:dyDescent="0.25">
      <c r="C42" t="s">
        <v>396</v>
      </c>
      <c r="D42" s="13">
        <v>0.302734375</v>
      </c>
      <c r="E42" s="3">
        <v>8</v>
      </c>
      <c r="F42">
        <v>0.63</v>
      </c>
      <c r="G42">
        <v>207</v>
      </c>
      <c r="H42">
        <v>73</v>
      </c>
      <c r="I42" s="9">
        <v>61</v>
      </c>
      <c r="J42">
        <f t="shared" si="1"/>
        <v>80.73</v>
      </c>
      <c r="Q42">
        <v>612</v>
      </c>
      <c r="R42">
        <v>31</v>
      </c>
      <c r="S42">
        <v>1.4</v>
      </c>
      <c r="T42">
        <v>254</v>
      </c>
      <c r="AE42" t="s">
        <v>396</v>
      </c>
      <c r="AF42" s="13">
        <v>0.302734375</v>
      </c>
      <c r="AG42" s="3">
        <v>8</v>
      </c>
      <c r="AH42">
        <v>73</v>
      </c>
      <c r="AJ42" s="9"/>
      <c r="AK42">
        <v>210</v>
      </c>
      <c r="AL42">
        <v>33</v>
      </c>
      <c r="AM42">
        <v>7.2</v>
      </c>
      <c r="AN42">
        <v>48</v>
      </c>
      <c r="AS42">
        <v>22.7</v>
      </c>
      <c r="AT42">
        <v>9.1</v>
      </c>
      <c r="AU42">
        <v>833</v>
      </c>
      <c r="AV42">
        <v>569</v>
      </c>
      <c r="AW42" s="9"/>
      <c r="AZ42">
        <v>204</v>
      </c>
      <c r="BA42">
        <v>30</v>
      </c>
      <c r="BB42">
        <v>9.6999999999999993</v>
      </c>
      <c r="BC42">
        <v>80</v>
      </c>
    </row>
    <row r="43" spans="3:55" ht="15" customHeight="1" x14ac:dyDescent="0.2">
      <c r="C43">
        <v>20</v>
      </c>
      <c r="D43" t="s">
        <v>43</v>
      </c>
      <c r="E43">
        <v>20</v>
      </c>
      <c r="F43">
        <v>0.46</v>
      </c>
      <c r="G43" s="9">
        <v>385.41666666666663</v>
      </c>
      <c r="H43" s="9">
        <v>73.958333333333329</v>
      </c>
      <c r="I43" s="9">
        <v>80.810810810810821</v>
      </c>
      <c r="J43">
        <f t="shared" si="1"/>
        <v>73.958333333333314</v>
      </c>
      <c r="Q43">
        <v>618</v>
      </c>
      <c r="R43">
        <v>22</v>
      </c>
      <c r="S43">
        <v>5</v>
      </c>
      <c r="T43">
        <v>495</v>
      </c>
      <c r="AE43">
        <v>20</v>
      </c>
      <c r="AF43" t="s">
        <v>43</v>
      </c>
      <c r="AG43">
        <v>20</v>
      </c>
      <c r="AH43" s="9">
        <v>73.958333333333329</v>
      </c>
      <c r="AI43" s="9"/>
      <c r="AJ43" s="9"/>
      <c r="AK43">
        <v>215</v>
      </c>
      <c r="AL43">
        <v>25</v>
      </c>
      <c r="AM43">
        <v>8</v>
      </c>
      <c r="AN43">
        <v>60</v>
      </c>
      <c r="AS43">
        <v>22.7</v>
      </c>
      <c r="AT43">
        <v>5.7</v>
      </c>
      <c r="AU43">
        <v>233</v>
      </c>
      <c r="AV43">
        <v>125.82</v>
      </c>
      <c r="AZ43">
        <v>206</v>
      </c>
      <c r="BA43">
        <v>20</v>
      </c>
      <c r="BB43">
        <v>9.1</v>
      </c>
      <c r="BC43">
        <v>43</v>
      </c>
    </row>
    <row r="44" spans="3:55" ht="15" x14ac:dyDescent="0.25">
      <c r="C44">
        <v>27.9</v>
      </c>
      <c r="D44" s="13">
        <v>9.5808383233532954E-2</v>
      </c>
      <c r="E44" s="3">
        <v>16.7</v>
      </c>
      <c r="F44">
        <v>0.23</v>
      </c>
      <c r="G44">
        <v>162</v>
      </c>
      <c r="H44">
        <v>74</v>
      </c>
      <c r="I44" s="9">
        <v>54.320987654320987</v>
      </c>
      <c r="J44">
        <f t="shared" si="1"/>
        <v>74</v>
      </c>
      <c r="Q44">
        <v>622</v>
      </c>
      <c r="R44">
        <v>27.4</v>
      </c>
      <c r="S44">
        <v>7.5</v>
      </c>
      <c r="T44">
        <v>102</v>
      </c>
      <c r="AE44">
        <v>27.9</v>
      </c>
      <c r="AF44" s="13">
        <v>9.5808383233532954E-2</v>
      </c>
      <c r="AG44" s="3">
        <v>16.7</v>
      </c>
      <c r="AH44">
        <v>74</v>
      </c>
      <c r="AJ44" s="9"/>
      <c r="AK44">
        <v>216</v>
      </c>
      <c r="AL44">
        <v>14.4</v>
      </c>
      <c r="AM44">
        <v>9.6999999999999993</v>
      </c>
      <c r="AN44">
        <v>130</v>
      </c>
      <c r="AS44">
        <v>23</v>
      </c>
      <c r="AT44" s="3">
        <v>7.7</v>
      </c>
      <c r="AU44">
        <v>218</v>
      </c>
      <c r="AV44">
        <v>80</v>
      </c>
      <c r="AZ44">
        <v>207</v>
      </c>
      <c r="BA44">
        <v>22</v>
      </c>
      <c r="BB44">
        <v>5</v>
      </c>
      <c r="BC44">
        <v>78</v>
      </c>
    </row>
    <row r="45" spans="3:55" ht="15" x14ac:dyDescent="0.25">
      <c r="C45" s="5">
        <v>19</v>
      </c>
      <c r="D45" s="13">
        <v>8.3333333333333329E-2</v>
      </c>
      <c r="E45" s="3">
        <v>12</v>
      </c>
      <c r="F45" s="8">
        <v>0.48599999999999999</v>
      </c>
      <c r="G45" s="6">
        <v>243</v>
      </c>
      <c r="H45" s="3">
        <v>76</v>
      </c>
      <c r="I45" s="7">
        <v>67</v>
      </c>
      <c r="J45">
        <f t="shared" si="1"/>
        <v>80.19</v>
      </c>
      <c r="Q45">
        <v>627</v>
      </c>
      <c r="R45">
        <v>23</v>
      </c>
      <c r="S45">
        <v>4</v>
      </c>
      <c r="T45">
        <v>163.01999999999998</v>
      </c>
      <c r="AE45" s="5">
        <v>19</v>
      </c>
      <c r="AF45" s="13">
        <v>8.3333333333333329E-2</v>
      </c>
      <c r="AG45" s="3">
        <v>12</v>
      </c>
      <c r="AH45" s="3">
        <v>76</v>
      </c>
      <c r="AI45" s="3"/>
      <c r="AJ45" s="7"/>
      <c r="AK45">
        <v>219</v>
      </c>
      <c r="AL45">
        <v>20</v>
      </c>
      <c r="AM45">
        <v>12.3</v>
      </c>
      <c r="AN45">
        <v>119</v>
      </c>
      <c r="AS45">
        <v>23</v>
      </c>
      <c r="AT45">
        <v>4</v>
      </c>
      <c r="AU45">
        <v>191</v>
      </c>
      <c r="AV45" s="6">
        <v>60</v>
      </c>
      <c r="AW45" s="7"/>
      <c r="AZ45">
        <v>208</v>
      </c>
      <c r="BA45">
        <v>22.5</v>
      </c>
      <c r="BB45" s="3">
        <v>9.6999999999999993</v>
      </c>
      <c r="BC45">
        <v>66.56</v>
      </c>
    </row>
    <row r="46" spans="3:55" ht="15" x14ac:dyDescent="0.25">
      <c r="C46">
        <v>28.1</v>
      </c>
      <c r="D46" s="13">
        <v>6.4000000000000001E-2</v>
      </c>
      <c r="E46" s="3">
        <v>25</v>
      </c>
      <c r="F46">
        <v>0.18</v>
      </c>
      <c r="G46">
        <v>188</v>
      </c>
      <c r="H46">
        <v>76</v>
      </c>
      <c r="I46" s="9">
        <v>59.574468085106382</v>
      </c>
      <c r="J46">
        <f t="shared" si="1"/>
        <v>76</v>
      </c>
      <c r="Q46">
        <v>637</v>
      </c>
      <c r="R46">
        <v>17</v>
      </c>
      <c r="S46">
        <v>18</v>
      </c>
      <c r="T46">
        <v>165.62</v>
      </c>
      <c r="AE46">
        <v>28.1</v>
      </c>
      <c r="AF46" s="13">
        <v>6.4000000000000001E-2</v>
      </c>
      <c r="AG46" s="3">
        <v>25</v>
      </c>
      <c r="AH46">
        <v>76</v>
      </c>
      <c r="AJ46" s="9"/>
      <c r="AK46">
        <v>233</v>
      </c>
      <c r="AL46">
        <v>33</v>
      </c>
      <c r="AM46">
        <v>7.5</v>
      </c>
      <c r="AN46">
        <v>63</v>
      </c>
      <c r="AR46" s="3"/>
      <c r="AS46" s="3">
        <v>24</v>
      </c>
      <c r="AT46" s="3">
        <v>48</v>
      </c>
      <c r="AU46" s="3">
        <v>623</v>
      </c>
      <c r="AV46" s="6">
        <v>116</v>
      </c>
      <c r="AW46" s="7"/>
      <c r="AZ46">
        <v>218</v>
      </c>
      <c r="BA46">
        <v>23</v>
      </c>
      <c r="BB46" s="3">
        <v>7.7</v>
      </c>
      <c r="BC46">
        <v>80</v>
      </c>
    </row>
    <row r="47" spans="3:55" ht="15" customHeight="1" x14ac:dyDescent="0.25">
      <c r="C47">
        <v>13</v>
      </c>
      <c r="E47">
        <v>15.6</v>
      </c>
      <c r="F47">
        <v>0.33</v>
      </c>
      <c r="G47">
        <v>193</v>
      </c>
      <c r="H47">
        <v>79</v>
      </c>
      <c r="I47">
        <v>59</v>
      </c>
      <c r="J47">
        <f t="shared" si="1"/>
        <v>79.13000000000001</v>
      </c>
      <c r="Q47">
        <v>637</v>
      </c>
      <c r="R47">
        <v>17</v>
      </c>
      <c r="S47">
        <v>14</v>
      </c>
      <c r="T47">
        <v>178.36</v>
      </c>
      <c r="AE47">
        <v>13</v>
      </c>
      <c r="AG47">
        <v>15.6</v>
      </c>
      <c r="AH47">
        <v>79</v>
      </c>
      <c r="AK47" s="6">
        <v>243</v>
      </c>
      <c r="AL47">
        <v>19</v>
      </c>
      <c r="AM47">
        <v>12</v>
      </c>
      <c r="AN47">
        <v>76</v>
      </c>
      <c r="AS47" s="3">
        <v>24</v>
      </c>
      <c r="AT47">
        <v>96</v>
      </c>
      <c r="AU47" s="3">
        <v>623</v>
      </c>
      <c r="AV47">
        <v>113</v>
      </c>
      <c r="AZ47">
        <v>218</v>
      </c>
      <c r="BA47">
        <v>23</v>
      </c>
      <c r="BB47">
        <v>7.9</v>
      </c>
      <c r="BC47">
        <v>143</v>
      </c>
    </row>
    <row r="48" spans="3:55" ht="15" x14ac:dyDescent="0.25">
      <c r="C48" s="3">
        <v>20</v>
      </c>
      <c r="D48" t="s">
        <v>43</v>
      </c>
      <c r="E48" s="3">
        <v>6</v>
      </c>
      <c r="F48" s="3">
        <v>1.83</v>
      </c>
      <c r="G48" s="6">
        <v>263.52</v>
      </c>
      <c r="H48" s="3">
        <v>79.056000000000012</v>
      </c>
      <c r="I48" s="7">
        <v>70</v>
      </c>
      <c r="J48">
        <f t="shared" si="1"/>
        <v>79.056000000000012</v>
      </c>
      <c r="Q48">
        <v>637</v>
      </c>
      <c r="R48">
        <v>17</v>
      </c>
      <c r="S48">
        <v>10</v>
      </c>
      <c r="T48">
        <v>254.8</v>
      </c>
      <c r="AE48" s="3">
        <v>20</v>
      </c>
      <c r="AF48" t="s">
        <v>43</v>
      </c>
      <c r="AG48" s="3">
        <v>6</v>
      </c>
      <c r="AH48" s="3">
        <v>79.056000000000012</v>
      </c>
      <c r="AI48" s="3"/>
      <c r="AJ48" s="7"/>
      <c r="AK48" s="6">
        <v>243</v>
      </c>
      <c r="AL48">
        <v>21</v>
      </c>
      <c r="AM48">
        <v>6</v>
      </c>
      <c r="AN48">
        <v>165</v>
      </c>
      <c r="AS48">
        <v>24.3</v>
      </c>
      <c r="AT48">
        <v>5.9</v>
      </c>
      <c r="AU48">
        <v>233</v>
      </c>
      <c r="AV48">
        <v>107.17999999999999</v>
      </c>
      <c r="AZ48">
        <v>218</v>
      </c>
      <c r="BA48">
        <v>23</v>
      </c>
      <c r="BB48">
        <v>7.8</v>
      </c>
      <c r="BC48">
        <v>81</v>
      </c>
    </row>
    <row r="49" spans="3:55" ht="15" customHeight="1" x14ac:dyDescent="0.25">
      <c r="C49">
        <v>13</v>
      </c>
      <c r="E49">
        <v>12.5</v>
      </c>
      <c r="F49">
        <v>0.43</v>
      </c>
      <c r="G49">
        <v>187</v>
      </c>
      <c r="H49">
        <v>80</v>
      </c>
      <c r="I49">
        <v>57</v>
      </c>
      <c r="J49">
        <f t="shared" si="1"/>
        <v>80.410000000000011</v>
      </c>
      <c r="Q49">
        <v>637</v>
      </c>
      <c r="R49">
        <v>19</v>
      </c>
      <c r="S49">
        <v>36</v>
      </c>
      <c r="T49">
        <v>203.83999999999997</v>
      </c>
      <c r="AE49">
        <v>13</v>
      </c>
      <c r="AG49">
        <v>12.5</v>
      </c>
      <c r="AH49">
        <v>80</v>
      </c>
      <c r="AK49" s="6">
        <v>243</v>
      </c>
      <c r="AL49">
        <v>26</v>
      </c>
      <c r="AM49">
        <v>24</v>
      </c>
      <c r="AN49">
        <v>58</v>
      </c>
      <c r="AS49">
        <v>24.3</v>
      </c>
      <c r="AT49" s="3">
        <v>13.6</v>
      </c>
      <c r="AU49">
        <v>403</v>
      </c>
      <c r="AV49" s="6">
        <v>141</v>
      </c>
      <c r="AW49" s="7"/>
      <c r="AZ49">
        <v>219</v>
      </c>
      <c r="BA49">
        <v>22</v>
      </c>
      <c r="BB49">
        <v>7.2</v>
      </c>
      <c r="BC49">
        <v>74</v>
      </c>
    </row>
    <row r="50" spans="3:55" ht="15" x14ac:dyDescent="0.25">
      <c r="C50">
        <v>31.5</v>
      </c>
      <c r="D50" s="13">
        <v>4.7761194029850747E-2</v>
      </c>
      <c r="E50" s="3">
        <v>33.5</v>
      </c>
      <c r="F50">
        <v>0.13</v>
      </c>
      <c r="G50">
        <v>179</v>
      </c>
      <c r="H50">
        <v>81</v>
      </c>
      <c r="I50" s="9">
        <v>54.748603351955303</v>
      </c>
      <c r="J50">
        <f t="shared" si="1"/>
        <v>81</v>
      </c>
      <c r="Q50">
        <v>637</v>
      </c>
      <c r="R50">
        <v>19</v>
      </c>
      <c r="S50">
        <v>24</v>
      </c>
      <c r="T50">
        <v>229.32</v>
      </c>
      <c r="AE50">
        <v>31.5</v>
      </c>
      <c r="AF50" s="13">
        <v>4.7761194029850747E-2</v>
      </c>
      <c r="AG50" s="3">
        <v>33.5</v>
      </c>
      <c r="AH50">
        <v>81</v>
      </c>
      <c r="AJ50" s="9"/>
      <c r="AK50">
        <v>250</v>
      </c>
      <c r="AL50">
        <v>25</v>
      </c>
      <c r="AM50">
        <v>9.1</v>
      </c>
      <c r="AN50">
        <v>92</v>
      </c>
      <c r="AS50">
        <v>25</v>
      </c>
      <c r="AT50">
        <v>9.5</v>
      </c>
      <c r="AU50">
        <v>562</v>
      </c>
      <c r="AV50">
        <v>516</v>
      </c>
      <c r="AW50" s="9"/>
      <c r="AZ50">
        <v>224</v>
      </c>
      <c r="BA50">
        <v>20</v>
      </c>
      <c r="BB50">
        <v>9.5</v>
      </c>
      <c r="BC50">
        <v>53</v>
      </c>
    </row>
    <row r="51" spans="3:55" ht="15" x14ac:dyDescent="0.25">
      <c r="C51">
        <v>28</v>
      </c>
      <c r="E51">
        <v>6.1</v>
      </c>
      <c r="F51" s="12">
        <v>0.73967213114754105</v>
      </c>
      <c r="G51">
        <v>188</v>
      </c>
      <c r="H51">
        <v>83</v>
      </c>
      <c r="I51" s="9">
        <v>55.851063829787229</v>
      </c>
      <c r="J51">
        <f t="shared" si="1"/>
        <v>83.000000000000014</v>
      </c>
      <c r="Q51">
        <v>637</v>
      </c>
      <c r="R51">
        <v>19</v>
      </c>
      <c r="S51">
        <v>18</v>
      </c>
      <c r="T51">
        <v>171.99</v>
      </c>
      <c r="AE51">
        <v>28</v>
      </c>
      <c r="AG51">
        <v>6.1</v>
      </c>
      <c r="AH51">
        <v>83</v>
      </c>
      <c r="AJ51" s="9"/>
      <c r="AK51">
        <v>252</v>
      </c>
      <c r="AL51">
        <v>27</v>
      </c>
      <c r="AM51">
        <v>9.3000000000000007</v>
      </c>
      <c r="AN51">
        <v>143</v>
      </c>
      <c r="AS51">
        <v>25</v>
      </c>
      <c r="AT51">
        <v>8.8000000000000007</v>
      </c>
      <c r="AU51">
        <v>425</v>
      </c>
      <c r="AV51">
        <v>326</v>
      </c>
      <c r="AZ51">
        <v>229</v>
      </c>
      <c r="BA51">
        <v>20</v>
      </c>
      <c r="BB51">
        <v>9.6</v>
      </c>
      <c r="BC51">
        <v>56</v>
      </c>
    </row>
    <row r="52" spans="3:55" ht="15" x14ac:dyDescent="0.25">
      <c r="C52">
        <v>34</v>
      </c>
      <c r="D52" s="13">
        <v>4.2440318302387273E-2</v>
      </c>
      <c r="E52" s="3">
        <v>37.700000000000003</v>
      </c>
      <c r="F52">
        <v>0.11</v>
      </c>
      <c r="G52">
        <v>182</v>
      </c>
      <c r="H52">
        <v>83</v>
      </c>
      <c r="I52" s="9">
        <v>54.395604395604394</v>
      </c>
      <c r="J52">
        <f t="shared" si="1"/>
        <v>83.000000000000014</v>
      </c>
      <c r="Q52">
        <v>637</v>
      </c>
      <c r="R52">
        <v>19</v>
      </c>
      <c r="S52">
        <v>14</v>
      </c>
      <c r="T52">
        <v>171.99</v>
      </c>
      <c r="AE52">
        <v>34</v>
      </c>
      <c r="AF52" s="13">
        <v>4.2440318302387273E-2</v>
      </c>
      <c r="AG52" s="3">
        <v>37.700000000000003</v>
      </c>
      <c r="AH52">
        <v>83</v>
      </c>
      <c r="AJ52" s="9"/>
      <c r="AK52">
        <v>258</v>
      </c>
      <c r="AL52">
        <v>25</v>
      </c>
      <c r="AM52">
        <v>6.2</v>
      </c>
      <c r="AN52">
        <v>103</v>
      </c>
      <c r="AR52" s="3"/>
      <c r="AS52">
        <v>25</v>
      </c>
      <c r="AT52">
        <v>11.2</v>
      </c>
      <c r="AU52">
        <v>423</v>
      </c>
      <c r="AV52">
        <v>255</v>
      </c>
      <c r="AW52" s="9"/>
      <c r="AZ52">
        <v>232</v>
      </c>
      <c r="BA52">
        <v>12.7</v>
      </c>
      <c r="BB52">
        <v>13.6</v>
      </c>
      <c r="BC52">
        <v>65</v>
      </c>
    </row>
    <row r="53" spans="3:55" ht="15" x14ac:dyDescent="0.25">
      <c r="C53" s="3">
        <v>20</v>
      </c>
      <c r="D53" t="s">
        <v>43</v>
      </c>
      <c r="E53" s="3">
        <v>6</v>
      </c>
      <c r="F53" s="3">
        <v>2</v>
      </c>
      <c r="G53" s="6">
        <v>288</v>
      </c>
      <c r="H53" s="3">
        <v>86.4</v>
      </c>
      <c r="I53" s="7">
        <v>70</v>
      </c>
      <c r="J53">
        <f t="shared" si="1"/>
        <v>86.4</v>
      </c>
      <c r="Q53">
        <v>637</v>
      </c>
      <c r="R53">
        <v>19</v>
      </c>
      <c r="S53">
        <v>10</v>
      </c>
      <c r="T53">
        <v>229.32</v>
      </c>
      <c r="AE53" s="3">
        <v>20</v>
      </c>
      <c r="AF53" t="s">
        <v>43</v>
      </c>
      <c r="AG53" s="3">
        <v>6</v>
      </c>
      <c r="AH53" s="3">
        <v>86.4</v>
      </c>
      <c r="AI53" s="3"/>
      <c r="AJ53" s="7"/>
      <c r="AK53" s="6">
        <v>263.52</v>
      </c>
      <c r="AL53">
        <v>20</v>
      </c>
      <c r="AM53">
        <v>6</v>
      </c>
      <c r="AN53">
        <v>79.056000000000012</v>
      </c>
      <c r="AS53">
        <v>25</v>
      </c>
      <c r="AT53">
        <v>4</v>
      </c>
      <c r="AU53">
        <v>134</v>
      </c>
      <c r="AV53">
        <v>75</v>
      </c>
      <c r="AZ53">
        <v>233</v>
      </c>
      <c r="BA53">
        <v>22.7</v>
      </c>
      <c r="BB53">
        <v>5.7</v>
      </c>
      <c r="BC53">
        <v>125.82</v>
      </c>
    </row>
    <row r="54" spans="3:55" ht="14.25" customHeight="1" x14ac:dyDescent="0.25">
      <c r="C54">
        <v>19</v>
      </c>
      <c r="D54" t="s">
        <v>43</v>
      </c>
      <c r="E54">
        <v>4.7</v>
      </c>
      <c r="F54" s="12">
        <v>1.5931914893617023</v>
      </c>
      <c r="G54">
        <v>312</v>
      </c>
      <c r="H54">
        <v>87.360000000000014</v>
      </c>
      <c r="I54">
        <v>72</v>
      </c>
      <c r="J54">
        <f t="shared" si="1"/>
        <v>87.360000000000014</v>
      </c>
      <c r="Q54">
        <v>637</v>
      </c>
      <c r="R54">
        <v>19</v>
      </c>
      <c r="S54">
        <v>8</v>
      </c>
      <c r="T54">
        <v>222.95</v>
      </c>
      <c r="AE54">
        <v>19</v>
      </c>
      <c r="AF54" t="s">
        <v>43</v>
      </c>
      <c r="AG54">
        <v>4.7</v>
      </c>
      <c r="AH54">
        <v>87.360000000000014</v>
      </c>
      <c r="AK54">
        <v>274</v>
      </c>
      <c r="AL54">
        <v>13.6</v>
      </c>
      <c r="AM54">
        <v>7.7</v>
      </c>
      <c r="AN54">
        <v>201</v>
      </c>
      <c r="AS54">
        <v>25</v>
      </c>
      <c r="AT54">
        <v>4</v>
      </c>
      <c r="AU54">
        <v>258</v>
      </c>
      <c r="AV54">
        <v>143</v>
      </c>
      <c r="AW54" s="9"/>
      <c r="AZ54">
        <v>233</v>
      </c>
      <c r="BA54">
        <v>24.3</v>
      </c>
      <c r="BB54">
        <v>5.9</v>
      </c>
      <c r="BC54">
        <v>107.17999999999999</v>
      </c>
    </row>
    <row r="55" spans="3:55" ht="15" customHeight="1" x14ac:dyDescent="0.2">
      <c r="C55">
        <v>14.7</v>
      </c>
      <c r="E55">
        <v>12.8</v>
      </c>
      <c r="F55">
        <v>0.27</v>
      </c>
      <c r="G55">
        <v>146</v>
      </c>
      <c r="H55">
        <v>88</v>
      </c>
      <c r="I55" s="9">
        <v>39.726027397260275</v>
      </c>
      <c r="J55">
        <f t="shared" si="1"/>
        <v>88</v>
      </c>
      <c r="Q55">
        <v>637</v>
      </c>
      <c r="R55">
        <v>19</v>
      </c>
      <c r="S55">
        <v>6</v>
      </c>
      <c r="T55">
        <v>248.43</v>
      </c>
      <c r="AE55">
        <v>14.7</v>
      </c>
      <c r="AG55">
        <v>12.8</v>
      </c>
      <c r="AH55">
        <v>88</v>
      </c>
      <c r="AJ55" s="9"/>
      <c r="AK55">
        <v>285</v>
      </c>
      <c r="AL55">
        <v>18</v>
      </c>
      <c r="AM55">
        <v>4.4000000000000004</v>
      </c>
      <c r="AN55">
        <v>189</v>
      </c>
      <c r="AS55">
        <v>25</v>
      </c>
      <c r="AT55">
        <v>4</v>
      </c>
      <c r="AU55">
        <v>258</v>
      </c>
      <c r="AV55">
        <v>142</v>
      </c>
      <c r="AZ55">
        <v>235</v>
      </c>
      <c r="BA55">
        <v>23</v>
      </c>
      <c r="BB55">
        <v>5.7</v>
      </c>
      <c r="BC55">
        <v>101</v>
      </c>
    </row>
    <row r="56" spans="3:55" ht="15" x14ac:dyDescent="0.25">
      <c r="C56">
        <v>25</v>
      </c>
      <c r="E56">
        <v>7.5</v>
      </c>
      <c r="F56" s="12">
        <v>0.62079999999999991</v>
      </c>
      <c r="G56">
        <v>194</v>
      </c>
      <c r="H56">
        <v>89</v>
      </c>
      <c r="I56" s="9">
        <v>54.123711340206185</v>
      </c>
      <c r="J56">
        <f t="shared" si="1"/>
        <v>89</v>
      </c>
      <c r="Q56">
        <v>644</v>
      </c>
      <c r="R56">
        <v>27.4</v>
      </c>
      <c r="S56">
        <v>7.5</v>
      </c>
      <c r="T56">
        <v>129</v>
      </c>
      <c r="AE56">
        <v>25</v>
      </c>
      <c r="AG56">
        <v>7.5</v>
      </c>
      <c r="AH56">
        <v>89</v>
      </c>
      <c r="AJ56" s="9"/>
      <c r="AK56" s="6">
        <v>285.12</v>
      </c>
      <c r="AL56">
        <v>20</v>
      </c>
      <c r="AM56">
        <v>6.6</v>
      </c>
      <c r="AN56">
        <v>14.256000000000029</v>
      </c>
      <c r="AS56">
        <v>25</v>
      </c>
      <c r="AT56">
        <v>6</v>
      </c>
      <c r="AU56">
        <v>134</v>
      </c>
      <c r="AV56">
        <v>71</v>
      </c>
      <c r="AZ56">
        <v>235</v>
      </c>
      <c r="BA56">
        <v>23</v>
      </c>
      <c r="BB56">
        <v>5.7</v>
      </c>
      <c r="BC56">
        <v>145</v>
      </c>
    </row>
    <row r="57" spans="3:55" ht="14.25" customHeight="1" x14ac:dyDescent="0.25">
      <c r="C57">
        <v>27</v>
      </c>
      <c r="D57" s="13">
        <v>0.63661977236758127</v>
      </c>
      <c r="E57">
        <v>6</v>
      </c>
      <c r="F57" s="12">
        <v>0.77999999999999992</v>
      </c>
      <c r="G57">
        <v>195</v>
      </c>
      <c r="H57">
        <v>89</v>
      </c>
      <c r="I57" s="9">
        <v>54.358974358974358</v>
      </c>
      <c r="J57">
        <f t="shared" si="1"/>
        <v>89.000000000000014</v>
      </c>
      <c r="Q57">
        <v>653</v>
      </c>
      <c r="R57">
        <v>25</v>
      </c>
      <c r="S57">
        <v>8.8000000000000007</v>
      </c>
      <c r="T57">
        <v>518</v>
      </c>
      <c r="AE57">
        <v>27</v>
      </c>
      <c r="AF57" s="13">
        <v>0.63661977236758127</v>
      </c>
      <c r="AG57">
        <v>6</v>
      </c>
      <c r="AH57">
        <v>89</v>
      </c>
      <c r="AJ57" s="9"/>
      <c r="AK57" s="6">
        <v>288</v>
      </c>
      <c r="AL57">
        <v>20</v>
      </c>
      <c r="AM57">
        <v>6</v>
      </c>
      <c r="AN57">
        <v>72</v>
      </c>
      <c r="AS57">
        <v>25</v>
      </c>
      <c r="AT57">
        <v>10.5</v>
      </c>
      <c r="AU57">
        <v>479</v>
      </c>
      <c r="AV57">
        <v>209</v>
      </c>
      <c r="AW57" s="9"/>
      <c r="AZ57">
        <v>236</v>
      </c>
      <c r="BA57">
        <v>18</v>
      </c>
      <c r="BB57">
        <v>4.4000000000000004</v>
      </c>
      <c r="BC57">
        <v>105</v>
      </c>
    </row>
    <row r="58" spans="3:55" ht="14.25" customHeight="1" x14ac:dyDescent="0.25">
      <c r="C58">
        <v>10.3</v>
      </c>
      <c r="D58">
        <v>0.4</v>
      </c>
      <c r="E58">
        <v>8</v>
      </c>
      <c r="F58" s="8">
        <v>0.41459999999999997</v>
      </c>
      <c r="G58">
        <v>138.19999999999999</v>
      </c>
      <c r="H58">
        <v>89.4</v>
      </c>
      <c r="I58" s="9">
        <v>35.311143270622274</v>
      </c>
      <c r="J58">
        <f t="shared" si="1"/>
        <v>89.4</v>
      </c>
      <c r="Q58">
        <v>659</v>
      </c>
      <c r="R58">
        <v>25</v>
      </c>
      <c r="S58">
        <v>11.2</v>
      </c>
      <c r="T58">
        <v>391</v>
      </c>
      <c r="AE58">
        <v>10.3</v>
      </c>
      <c r="AF58">
        <v>0.4</v>
      </c>
      <c r="AG58">
        <v>8</v>
      </c>
      <c r="AH58">
        <v>89.4</v>
      </c>
      <c r="AJ58" s="9"/>
      <c r="AK58" s="6">
        <v>288</v>
      </c>
      <c r="AL58">
        <v>20</v>
      </c>
      <c r="AM58">
        <v>6</v>
      </c>
      <c r="AN58">
        <v>72</v>
      </c>
      <c r="AS58">
        <v>25</v>
      </c>
      <c r="AT58">
        <v>25</v>
      </c>
      <c r="AU58">
        <v>431</v>
      </c>
      <c r="AV58">
        <v>172.40000000000003</v>
      </c>
      <c r="AZ58">
        <v>236</v>
      </c>
      <c r="BA58">
        <v>20.5</v>
      </c>
      <c r="BB58">
        <v>14.3</v>
      </c>
      <c r="BC58">
        <v>142</v>
      </c>
    </row>
    <row r="59" spans="3:55" ht="14.25" customHeight="1" x14ac:dyDescent="0.25">
      <c r="C59">
        <v>16</v>
      </c>
      <c r="D59" t="s">
        <v>43</v>
      </c>
      <c r="E59">
        <v>4.7</v>
      </c>
      <c r="F59" s="12">
        <v>1.5931914893617023</v>
      </c>
      <c r="G59">
        <v>312</v>
      </c>
      <c r="H59">
        <v>90.480000000000018</v>
      </c>
      <c r="I59">
        <v>71</v>
      </c>
      <c r="J59">
        <f t="shared" si="1"/>
        <v>90.480000000000018</v>
      </c>
      <c r="Q59">
        <v>672</v>
      </c>
      <c r="R59">
        <v>25</v>
      </c>
      <c r="S59">
        <v>4</v>
      </c>
      <c r="T59">
        <v>238</v>
      </c>
      <c r="AE59">
        <v>16</v>
      </c>
      <c r="AF59" t="s">
        <v>43</v>
      </c>
      <c r="AG59">
        <v>4.7</v>
      </c>
      <c r="AH59">
        <v>90.480000000000018</v>
      </c>
      <c r="AK59" s="6">
        <v>288</v>
      </c>
      <c r="AL59">
        <v>20</v>
      </c>
      <c r="AM59">
        <v>6</v>
      </c>
      <c r="AN59">
        <v>86.4</v>
      </c>
      <c r="AS59">
        <v>25</v>
      </c>
      <c r="AT59">
        <v>6</v>
      </c>
      <c r="AU59">
        <v>138</v>
      </c>
      <c r="AV59">
        <v>56</v>
      </c>
      <c r="AZ59">
        <v>258</v>
      </c>
      <c r="BA59">
        <v>25</v>
      </c>
      <c r="BB59">
        <v>4</v>
      </c>
      <c r="BC59">
        <v>143</v>
      </c>
    </row>
    <row r="60" spans="3:55" ht="14.25" customHeight="1" x14ac:dyDescent="0.25">
      <c r="C60">
        <v>27.4</v>
      </c>
      <c r="D60" t="s">
        <v>43</v>
      </c>
      <c r="E60">
        <v>7.5</v>
      </c>
      <c r="F60" s="8">
        <v>2.5888</v>
      </c>
      <c r="G60">
        <v>809</v>
      </c>
      <c r="H60">
        <v>92</v>
      </c>
      <c r="I60" s="9">
        <v>88.627935723114959</v>
      </c>
      <c r="J60">
        <f t="shared" si="1"/>
        <v>92</v>
      </c>
      <c r="Q60">
        <v>686</v>
      </c>
      <c r="R60">
        <v>22</v>
      </c>
      <c r="S60">
        <v>4</v>
      </c>
      <c r="T60">
        <v>584</v>
      </c>
      <c r="AE60">
        <v>27.4</v>
      </c>
      <c r="AF60" t="s">
        <v>43</v>
      </c>
      <c r="AG60">
        <v>7.5</v>
      </c>
      <c r="AH60">
        <v>92</v>
      </c>
      <c r="AJ60" s="9"/>
      <c r="AK60">
        <v>290</v>
      </c>
      <c r="AL60">
        <v>31</v>
      </c>
      <c r="AM60">
        <v>8.8000000000000007</v>
      </c>
      <c r="AN60">
        <v>125</v>
      </c>
      <c r="AS60">
        <v>25</v>
      </c>
      <c r="AT60">
        <v>7.5</v>
      </c>
      <c r="AU60">
        <v>91</v>
      </c>
      <c r="AV60">
        <v>34</v>
      </c>
      <c r="AW60" s="9"/>
      <c r="AZ60">
        <v>258</v>
      </c>
      <c r="BA60">
        <v>25</v>
      </c>
      <c r="BB60">
        <v>4</v>
      </c>
      <c r="BC60">
        <v>142</v>
      </c>
    </row>
    <row r="61" spans="3:55" ht="14.25" customHeight="1" x14ac:dyDescent="0.2">
      <c r="C61">
        <v>25</v>
      </c>
      <c r="E61">
        <v>9.1</v>
      </c>
      <c r="F61">
        <v>0.48</v>
      </c>
      <c r="G61">
        <v>250</v>
      </c>
      <c r="H61">
        <v>92</v>
      </c>
      <c r="I61">
        <v>63</v>
      </c>
      <c r="J61">
        <f t="shared" si="1"/>
        <v>92.5</v>
      </c>
      <c r="Q61">
        <v>687</v>
      </c>
      <c r="R61" s="9">
        <v>26</v>
      </c>
      <c r="S61">
        <v>8</v>
      </c>
      <c r="T61">
        <v>234</v>
      </c>
      <c r="AE61">
        <v>25</v>
      </c>
      <c r="AG61">
        <v>9.1</v>
      </c>
      <c r="AH61">
        <v>92</v>
      </c>
      <c r="AK61">
        <v>296</v>
      </c>
      <c r="AL61">
        <v>27</v>
      </c>
      <c r="AM61">
        <v>8.8000000000000007</v>
      </c>
      <c r="AN61">
        <v>111</v>
      </c>
      <c r="AS61">
        <v>25</v>
      </c>
      <c r="AT61">
        <v>13</v>
      </c>
      <c r="AU61">
        <v>458</v>
      </c>
      <c r="AV61">
        <v>142</v>
      </c>
      <c r="AW61" s="9"/>
      <c r="AZ61">
        <v>267</v>
      </c>
      <c r="BA61">
        <v>25.5</v>
      </c>
      <c r="BB61">
        <v>72</v>
      </c>
      <c r="BC61">
        <v>131</v>
      </c>
    </row>
    <row r="62" spans="3:55" ht="14.25" customHeight="1" x14ac:dyDescent="0.25">
      <c r="C62">
        <v>7.1</v>
      </c>
      <c r="D62">
        <v>0.4</v>
      </c>
      <c r="E62">
        <v>8</v>
      </c>
      <c r="F62" s="8">
        <v>0.41459999999999997</v>
      </c>
      <c r="G62">
        <v>138.19999999999999</v>
      </c>
      <c r="H62">
        <v>92.4</v>
      </c>
      <c r="I62" s="9">
        <v>33.14037626628074</v>
      </c>
      <c r="J62">
        <f t="shared" si="1"/>
        <v>92.4</v>
      </c>
      <c r="Q62">
        <v>689</v>
      </c>
      <c r="R62">
        <v>23</v>
      </c>
      <c r="S62">
        <v>14.3</v>
      </c>
      <c r="T62">
        <v>403</v>
      </c>
      <c r="AE62">
        <v>7.1</v>
      </c>
      <c r="AF62">
        <v>0.4</v>
      </c>
      <c r="AG62">
        <v>8</v>
      </c>
      <c r="AH62">
        <v>92.4</v>
      </c>
      <c r="AJ62" s="9"/>
      <c r="AK62">
        <v>298</v>
      </c>
      <c r="AL62">
        <v>27</v>
      </c>
      <c r="AM62">
        <v>6</v>
      </c>
      <c r="AN62">
        <v>104</v>
      </c>
      <c r="AS62">
        <v>25</v>
      </c>
      <c r="AT62">
        <v>6.2</v>
      </c>
      <c r="AU62">
        <v>113</v>
      </c>
      <c r="AV62" s="6">
        <v>37</v>
      </c>
      <c r="AW62" s="7"/>
      <c r="AZ62">
        <v>272</v>
      </c>
      <c r="BA62">
        <v>23</v>
      </c>
      <c r="BB62">
        <v>4.9000000000000004</v>
      </c>
      <c r="BC62">
        <v>204</v>
      </c>
    </row>
    <row r="63" spans="3:55" ht="14.25" customHeight="1" x14ac:dyDescent="0.25">
      <c r="C63" s="3">
        <v>20</v>
      </c>
      <c r="D63" t="s">
        <v>43</v>
      </c>
      <c r="E63" s="3">
        <v>30</v>
      </c>
      <c r="F63" s="3">
        <v>0.43</v>
      </c>
      <c r="G63" s="6">
        <v>309.60000000000002</v>
      </c>
      <c r="H63" s="3">
        <v>92.880000000000024</v>
      </c>
      <c r="I63" s="7">
        <v>70</v>
      </c>
      <c r="J63">
        <f t="shared" si="1"/>
        <v>92.880000000000024</v>
      </c>
      <c r="Q63">
        <v>698</v>
      </c>
      <c r="R63">
        <v>25</v>
      </c>
      <c r="S63">
        <v>6</v>
      </c>
      <c r="T63">
        <v>198</v>
      </c>
      <c r="AE63" s="3">
        <v>20</v>
      </c>
      <c r="AF63" t="s">
        <v>43</v>
      </c>
      <c r="AG63" s="3">
        <v>30</v>
      </c>
      <c r="AH63" s="3">
        <v>92.880000000000024</v>
      </c>
      <c r="AI63" s="3"/>
      <c r="AJ63" s="7"/>
      <c r="AK63">
        <v>307</v>
      </c>
      <c r="AL63">
        <v>21</v>
      </c>
      <c r="AM63">
        <v>5.0999999999999996</v>
      </c>
      <c r="AN63">
        <v>117</v>
      </c>
      <c r="AS63">
        <v>25</v>
      </c>
      <c r="AT63">
        <v>16</v>
      </c>
      <c r="AU63">
        <v>334</v>
      </c>
      <c r="AV63">
        <v>66.8</v>
      </c>
      <c r="AW63" s="9"/>
      <c r="AZ63">
        <v>272</v>
      </c>
      <c r="BA63">
        <v>23</v>
      </c>
      <c r="BB63">
        <v>5.0999999999999996</v>
      </c>
      <c r="BC63">
        <v>180</v>
      </c>
    </row>
    <row r="64" spans="3:55" ht="15" x14ac:dyDescent="0.25">
      <c r="C64">
        <v>25</v>
      </c>
      <c r="D64" t="s">
        <v>43</v>
      </c>
      <c r="E64">
        <v>4.7</v>
      </c>
      <c r="F64" s="12">
        <v>1.5931914893617023</v>
      </c>
      <c r="G64">
        <v>312</v>
      </c>
      <c r="H64">
        <v>93.600000000000023</v>
      </c>
      <c r="I64">
        <v>70</v>
      </c>
      <c r="J64">
        <f t="shared" si="1"/>
        <v>93.600000000000023</v>
      </c>
      <c r="Q64">
        <v>700</v>
      </c>
      <c r="R64">
        <v>12</v>
      </c>
      <c r="S64">
        <v>7</v>
      </c>
      <c r="T64">
        <v>207</v>
      </c>
      <c r="AE64">
        <v>25</v>
      </c>
      <c r="AF64" t="s">
        <v>43</v>
      </c>
      <c r="AG64">
        <v>4.7</v>
      </c>
      <c r="AH64">
        <v>93.600000000000023</v>
      </c>
      <c r="AK64" s="6">
        <v>309.60000000000002</v>
      </c>
      <c r="AL64">
        <v>20</v>
      </c>
      <c r="AM64">
        <v>30</v>
      </c>
      <c r="AN64">
        <v>92.880000000000024</v>
      </c>
      <c r="AR64" s="22"/>
      <c r="AS64">
        <v>25</v>
      </c>
      <c r="AT64">
        <v>16</v>
      </c>
      <c r="AU64">
        <v>334</v>
      </c>
      <c r="AV64">
        <v>57.8</v>
      </c>
      <c r="AZ64">
        <v>274</v>
      </c>
      <c r="BA64">
        <v>20.5</v>
      </c>
      <c r="BB64">
        <v>10.199999999999999</v>
      </c>
      <c r="BC64">
        <v>128</v>
      </c>
    </row>
    <row r="65" spans="3:55" ht="15" x14ac:dyDescent="0.25">
      <c r="C65">
        <v>22</v>
      </c>
      <c r="D65" t="s">
        <v>43</v>
      </c>
      <c r="E65">
        <v>4.7</v>
      </c>
      <c r="F65" s="12">
        <v>1.5931914893617023</v>
      </c>
      <c r="G65">
        <v>312</v>
      </c>
      <c r="H65">
        <v>93.600000000000023</v>
      </c>
      <c r="I65">
        <v>70</v>
      </c>
      <c r="J65">
        <f t="shared" si="1"/>
        <v>93.600000000000023</v>
      </c>
      <c r="Q65">
        <v>700</v>
      </c>
      <c r="R65">
        <v>12</v>
      </c>
      <c r="S65">
        <v>7</v>
      </c>
      <c r="T65">
        <v>202</v>
      </c>
      <c r="AE65">
        <v>22</v>
      </c>
      <c r="AF65" t="s">
        <v>43</v>
      </c>
      <c r="AG65">
        <v>4.7</v>
      </c>
      <c r="AH65">
        <v>93.600000000000023</v>
      </c>
      <c r="AK65">
        <v>312</v>
      </c>
      <c r="AL65">
        <v>13</v>
      </c>
      <c r="AM65">
        <v>4.7</v>
      </c>
      <c r="AN65">
        <v>112.32</v>
      </c>
      <c r="AS65">
        <v>25.5</v>
      </c>
      <c r="AT65">
        <v>72</v>
      </c>
      <c r="AU65">
        <v>267</v>
      </c>
      <c r="AV65">
        <v>131</v>
      </c>
      <c r="AZ65">
        <v>280</v>
      </c>
      <c r="BA65">
        <v>26</v>
      </c>
      <c r="BB65">
        <v>2.7</v>
      </c>
      <c r="BC65">
        <v>150</v>
      </c>
    </row>
    <row r="66" spans="3:55" ht="15" customHeight="1" x14ac:dyDescent="0.25">
      <c r="C66">
        <v>20</v>
      </c>
      <c r="D66" t="s">
        <v>43</v>
      </c>
      <c r="E66">
        <v>25</v>
      </c>
      <c r="F66">
        <v>0.38</v>
      </c>
      <c r="G66" s="9">
        <v>403.64583333333326</v>
      </c>
      <c r="H66" s="9">
        <v>100.26041666666666</v>
      </c>
      <c r="I66" s="9">
        <v>75.161290322580655</v>
      </c>
      <c r="J66">
        <f t="shared" si="1"/>
        <v>100.26041666666663</v>
      </c>
      <c r="Q66">
        <v>745</v>
      </c>
      <c r="R66">
        <v>25</v>
      </c>
      <c r="S66">
        <v>10.5</v>
      </c>
      <c r="T66">
        <v>506</v>
      </c>
      <c r="AE66">
        <v>20</v>
      </c>
      <c r="AF66" t="s">
        <v>43</v>
      </c>
      <c r="AG66">
        <v>25</v>
      </c>
      <c r="AH66" s="9">
        <v>100.26041666666666</v>
      </c>
      <c r="AI66" s="9"/>
      <c r="AJ66" s="9"/>
      <c r="AK66">
        <v>312</v>
      </c>
      <c r="AL66">
        <v>16</v>
      </c>
      <c r="AM66">
        <v>4.7</v>
      </c>
      <c r="AN66">
        <v>90.480000000000018</v>
      </c>
      <c r="AS66">
        <v>25.5</v>
      </c>
      <c r="AT66" s="3">
        <v>13.7</v>
      </c>
      <c r="AU66">
        <v>58</v>
      </c>
      <c r="AV66">
        <v>6.4</v>
      </c>
      <c r="AZ66">
        <v>280</v>
      </c>
      <c r="BA66">
        <v>26</v>
      </c>
      <c r="BB66">
        <v>2.7</v>
      </c>
      <c r="BC66">
        <v>147</v>
      </c>
    </row>
    <row r="67" spans="3:55" ht="15" x14ac:dyDescent="0.25">
      <c r="C67">
        <v>27.4</v>
      </c>
      <c r="D67" t="s">
        <v>43</v>
      </c>
      <c r="E67">
        <v>7.5</v>
      </c>
      <c r="F67" s="8">
        <v>1.9903999999999997</v>
      </c>
      <c r="G67">
        <v>622</v>
      </c>
      <c r="H67">
        <v>102</v>
      </c>
      <c r="I67" s="9">
        <v>83.60128617363344</v>
      </c>
      <c r="J67">
        <f t="shared" si="1"/>
        <v>102</v>
      </c>
      <c r="Q67">
        <v>749</v>
      </c>
      <c r="R67" s="9">
        <v>26</v>
      </c>
      <c r="S67" t="s">
        <v>290</v>
      </c>
      <c r="T67">
        <v>374.5</v>
      </c>
      <c r="AE67">
        <v>27.4</v>
      </c>
      <c r="AF67" t="s">
        <v>43</v>
      </c>
      <c r="AG67">
        <v>7.5</v>
      </c>
      <c r="AH67">
        <v>102</v>
      </c>
      <c r="AJ67" s="9"/>
      <c r="AK67">
        <v>312</v>
      </c>
      <c r="AL67">
        <v>19</v>
      </c>
      <c r="AM67">
        <v>4.7</v>
      </c>
      <c r="AN67">
        <v>87.360000000000014</v>
      </c>
      <c r="AS67">
        <v>26</v>
      </c>
      <c r="AT67">
        <v>2.7</v>
      </c>
      <c r="AU67">
        <v>280</v>
      </c>
      <c r="AV67">
        <v>150</v>
      </c>
      <c r="AZ67">
        <v>289</v>
      </c>
      <c r="BA67">
        <v>17</v>
      </c>
      <c r="BB67">
        <v>5.5</v>
      </c>
      <c r="BC67">
        <v>167</v>
      </c>
    </row>
    <row r="68" spans="3:55" ht="15" x14ac:dyDescent="0.25">
      <c r="C68">
        <v>25</v>
      </c>
      <c r="E68">
        <v>6.2</v>
      </c>
      <c r="F68" s="12">
        <v>0.9987096774193549</v>
      </c>
      <c r="G68">
        <v>258</v>
      </c>
      <c r="H68">
        <v>103</v>
      </c>
      <c r="I68" s="9">
        <v>60.077519379844958</v>
      </c>
      <c r="J68">
        <f t="shared" si="1"/>
        <v>103</v>
      </c>
      <c r="Q68">
        <v>750</v>
      </c>
      <c r="R68">
        <v>25</v>
      </c>
      <c r="S68">
        <v>3</v>
      </c>
      <c r="T68">
        <v>432</v>
      </c>
      <c r="AE68">
        <v>25</v>
      </c>
      <c r="AG68">
        <v>6.2</v>
      </c>
      <c r="AH68">
        <v>103</v>
      </c>
      <c r="AJ68" s="9"/>
      <c r="AK68">
        <v>312</v>
      </c>
      <c r="AL68">
        <v>22</v>
      </c>
      <c r="AM68">
        <v>4.7</v>
      </c>
      <c r="AN68">
        <v>93.600000000000023</v>
      </c>
      <c r="AS68">
        <v>26</v>
      </c>
      <c r="AT68">
        <v>2.7</v>
      </c>
      <c r="AU68">
        <v>280</v>
      </c>
      <c r="AV68">
        <v>147</v>
      </c>
      <c r="AW68" s="9"/>
      <c r="AZ68">
        <v>289</v>
      </c>
      <c r="BA68">
        <v>17</v>
      </c>
      <c r="BB68">
        <v>5.5</v>
      </c>
      <c r="BC68">
        <v>162</v>
      </c>
    </row>
    <row r="69" spans="3:55" ht="15" x14ac:dyDescent="0.25">
      <c r="C69">
        <v>27</v>
      </c>
      <c r="D69" s="13">
        <v>0.63661977236758127</v>
      </c>
      <c r="E69">
        <v>6</v>
      </c>
      <c r="F69" s="12">
        <v>1.1919999999999999</v>
      </c>
      <c r="G69">
        <v>298</v>
      </c>
      <c r="H69">
        <v>104</v>
      </c>
      <c r="I69" s="9">
        <v>65.100671140939596</v>
      </c>
      <c r="J69">
        <f t="shared" si="1"/>
        <v>104.00000000000003</v>
      </c>
      <c r="Q69">
        <v>756</v>
      </c>
      <c r="R69">
        <v>25</v>
      </c>
      <c r="S69">
        <v>13</v>
      </c>
      <c r="T69">
        <v>234</v>
      </c>
      <c r="AE69">
        <v>27</v>
      </c>
      <c r="AF69" s="13">
        <v>0.63661977236758127</v>
      </c>
      <c r="AG69">
        <v>6</v>
      </c>
      <c r="AH69">
        <v>104</v>
      </c>
      <c r="AJ69" s="9"/>
      <c r="AK69">
        <v>312</v>
      </c>
      <c r="AL69">
        <v>25</v>
      </c>
      <c r="AM69">
        <v>4.7</v>
      </c>
      <c r="AN69">
        <v>93.600000000000023</v>
      </c>
      <c r="AS69" s="5">
        <v>26</v>
      </c>
      <c r="AT69" s="3">
        <v>24</v>
      </c>
      <c r="AU69" s="3">
        <v>400</v>
      </c>
      <c r="AV69">
        <v>55</v>
      </c>
      <c r="AZ69">
        <v>292</v>
      </c>
      <c r="BA69">
        <v>27</v>
      </c>
      <c r="BB69">
        <v>9.5</v>
      </c>
      <c r="BC69">
        <v>242</v>
      </c>
    </row>
    <row r="70" spans="3:55" ht="15" customHeight="1" x14ac:dyDescent="0.25">
      <c r="C70">
        <v>20</v>
      </c>
      <c r="D70" t="s">
        <v>43</v>
      </c>
      <c r="E70">
        <v>40</v>
      </c>
      <c r="F70">
        <v>0.3</v>
      </c>
      <c r="G70" s="9">
        <v>437.5</v>
      </c>
      <c r="H70" s="9">
        <v>108.33333333333333</v>
      </c>
      <c r="I70" s="9">
        <v>75.238095238095241</v>
      </c>
      <c r="J70">
        <f t="shared" si="1"/>
        <v>108.33333333333331</v>
      </c>
      <c r="Q70">
        <v>756</v>
      </c>
      <c r="R70">
        <v>23</v>
      </c>
      <c r="S70">
        <v>10.9</v>
      </c>
      <c r="T70">
        <v>450</v>
      </c>
      <c r="AE70">
        <v>20</v>
      </c>
      <c r="AF70" t="s">
        <v>43</v>
      </c>
      <c r="AG70">
        <v>40</v>
      </c>
      <c r="AH70" s="9">
        <v>108.33333333333333</v>
      </c>
      <c r="AI70" s="9"/>
      <c r="AJ70" s="9"/>
      <c r="AK70">
        <v>318</v>
      </c>
      <c r="AL70">
        <v>32</v>
      </c>
      <c r="AM70">
        <v>24</v>
      </c>
      <c r="AN70">
        <v>133.87800000000001</v>
      </c>
      <c r="AS70" s="3">
        <v>27</v>
      </c>
      <c r="AT70" s="3">
        <v>48</v>
      </c>
      <c r="AU70" s="10">
        <v>2500</v>
      </c>
      <c r="AV70" s="6">
        <v>1125</v>
      </c>
      <c r="AW70" s="7"/>
      <c r="AZ70">
        <v>296</v>
      </c>
      <c r="BA70">
        <v>31</v>
      </c>
      <c r="BB70">
        <v>1.4</v>
      </c>
      <c r="BC70">
        <v>151</v>
      </c>
    </row>
    <row r="71" spans="3:55" ht="15" x14ac:dyDescent="0.25">
      <c r="C71" t="s">
        <v>320</v>
      </c>
      <c r="D71" s="13">
        <v>0.54166666666666663</v>
      </c>
      <c r="E71">
        <v>8.8000000000000007</v>
      </c>
      <c r="F71" s="12">
        <v>0.80727272727272714</v>
      </c>
      <c r="G71">
        <v>296</v>
      </c>
      <c r="H71">
        <v>111</v>
      </c>
      <c r="I71" s="9">
        <v>62.5</v>
      </c>
      <c r="J71">
        <f t="shared" si="1"/>
        <v>111</v>
      </c>
      <c r="Q71">
        <v>776</v>
      </c>
      <c r="R71">
        <v>25</v>
      </c>
      <c r="S71">
        <v>2.4</v>
      </c>
      <c r="T71">
        <v>398</v>
      </c>
      <c r="AE71" t="s">
        <v>320</v>
      </c>
      <c r="AF71" s="13">
        <v>0.54166666666666663</v>
      </c>
      <c r="AG71">
        <v>8.8000000000000007</v>
      </c>
      <c r="AH71">
        <v>111</v>
      </c>
      <c r="AJ71" s="9"/>
      <c r="AK71">
        <v>318</v>
      </c>
      <c r="AL71">
        <v>32</v>
      </c>
      <c r="AM71">
        <v>24</v>
      </c>
      <c r="AN71">
        <v>136.74</v>
      </c>
      <c r="AS71">
        <v>27.3</v>
      </c>
      <c r="AT71" s="3">
        <v>10</v>
      </c>
      <c r="AU71">
        <v>69</v>
      </c>
      <c r="AV71">
        <v>24</v>
      </c>
      <c r="AZ71">
        <v>296</v>
      </c>
      <c r="BA71">
        <v>31</v>
      </c>
      <c r="BB71">
        <v>1.4</v>
      </c>
      <c r="BC71">
        <v>146</v>
      </c>
    </row>
    <row r="72" spans="3:55" ht="15" x14ac:dyDescent="0.25">
      <c r="C72">
        <v>13</v>
      </c>
      <c r="D72" t="s">
        <v>43</v>
      </c>
      <c r="E72">
        <v>4.7</v>
      </c>
      <c r="F72" s="12">
        <v>1.5931914893617023</v>
      </c>
      <c r="G72">
        <v>312</v>
      </c>
      <c r="H72">
        <v>112.32</v>
      </c>
      <c r="I72">
        <v>64</v>
      </c>
      <c r="J72">
        <f t="shared" si="1"/>
        <v>112.32</v>
      </c>
      <c r="Q72">
        <v>796</v>
      </c>
      <c r="R72">
        <v>27</v>
      </c>
      <c r="S72">
        <v>9.8000000000000007</v>
      </c>
      <c r="T72">
        <v>667</v>
      </c>
      <c r="AE72">
        <v>13</v>
      </c>
      <c r="AF72" t="s">
        <v>43</v>
      </c>
      <c r="AG72">
        <v>4.7</v>
      </c>
      <c r="AH72">
        <v>112.32</v>
      </c>
      <c r="AK72">
        <v>321</v>
      </c>
      <c r="AL72" s="9">
        <v>26</v>
      </c>
      <c r="AM72">
        <v>4</v>
      </c>
      <c r="AN72">
        <v>153</v>
      </c>
      <c r="AS72">
        <v>27.4</v>
      </c>
      <c r="AT72">
        <v>7.5</v>
      </c>
      <c r="AU72">
        <v>384</v>
      </c>
      <c r="AV72">
        <v>46</v>
      </c>
      <c r="AW72" s="9"/>
      <c r="AZ72">
        <v>296</v>
      </c>
      <c r="BA72">
        <v>22</v>
      </c>
      <c r="BB72">
        <v>21.6</v>
      </c>
      <c r="BC72" s="6">
        <v>51</v>
      </c>
    </row>
    <row r="73" spans="3:55" ht="15" x14ac:dyDescent="0.25">
      <c r="C73" t="s">
        <v>339</v>
      </c>
      <c r="D73">
        <v>1.25</v>
      </c>
      <c r="E73">
        <v>7</v>
      </c>
      <c r="F73" s="12">
        <v>1.3782857142857143</v>
      </c>
      <c r="G73">
        <v>402</v>
      </c>
      <c r="H73">
        <v>112.56</v>
      </c>
      <c r="I73" s="9">
        <v>72</v>
      </c>
      <c r="J73">
        <f t="shared" si="1"/>
        <v>112.56</v>
      </c>
      <c r="Q73">
        <v>809</v>
      </c>
      <c r="R73">
        <v>27.4</v>
      </c>
      <c r="S73">
        <v>7.5</v>
      </c>
      <c r="T73">
        <v>92</v>
      </c>
      <c r="AE73" t="s">
        <v>339</v>
      </c>
      <c r="AF73">
        <v>1.25</v>
      </c>
      <c r="AG73">
        <v>7</v>
      </c>
      <c r="AH73">
        <v>112.56</v>
      </c>
      <c r="AJ73" s="9"/>
      <c r="AK73">
        <v>341</v>
      </c>
      <c r="AL73">
        <v>20</v>
      </c>
      <c r="AM73">
        <v>3.2</v>
      </c>
      <c r="AN73">
        <v>273</v>
      </c>
      <c r="AS73">
        <v>27.4</v>
      </c>
      <c r="AT73">
        <v>7.5</v>
      </c>
      <c r="AU73">
        <v>343</v>
      </c>
      <c r="AV73">
        <v>29</v>
      </c>
      <c r="AW73" s="9"/>
      <c r="AZ73">
        <v>303</v>
      </c>
      <c r="BA73" s="22">
        <v>25.5</v>
      </c>
      <c r="BB73">
        <v>8</v>
      </c>
      <c r="BC73">
        <v>95</v>
      </c>
    </row>
    <row r="74" spans="3:55" ht="15" customHeight="1" x14ac:dyDescent="0.2">
      <c r="C74">
        <v>25</v>
      </c>
      <c r="E74">
        <v>24</v>
      </c>
      <c r="F74">
        <v>0.14000000000000001</v>
      </c>
      <c r="G74">
        <v>167</v>
      </c>
      <c r="H74">
        <v>117</v>
      </c>
      <c r="I74">
        <v>30</v>
      </c>
      <c r="J74">
        <f t="shared" si="1"/>
        <v>116.9</v>
      </c>
      <c r="Q74">
        <v>820</v>
      </c>
      <c r="R74">
        <v>25</v>
      </c>
      <c r="S74">
        <v>9.5</v>
      </c>
      <c r="T74">
        <v>631</v>
      </c>
      <c r="AE74">
        <v>25</v>
      </c>
      <c r="AG74">
        <v>24</v>
      </c>
      <c r="AH74">
        <v>117</v>
      </c>
      <c r="AK74">
        <v>341</v>
      </c>
      <c r="AL74">
        <v>35</v>
      </c>
      <c r="AM74">
        <v>4</v>
      </c>
      <c r="AN74">
        <v>119</v>
      </c>
      <c r="AR74" s="22"/>
      <c r="AS74">
        <v>27.4</v>
      </c>
      <c r="AT74">
        <v>7.5</v>
      </c>
      <c r="AU74">
        <v>692</v>
      </c>
      <c r="AV74">
        <v>18</v>
      </c>
      <c r="AZ74">
        <v>311</v>
      </c>
      <c r="BA74">
        <v>12</v>
      </c>
      <c r="BB74">
        <v>7</v>
      </c>
      <c r="BC74">
        <v>164</v>
      </c>
    </row>
    <row r="75" spans="3:55" ht="15" x14ac:dyDescent="0.25">
      <c r="C75">
        <v>21</v>
      </c>
      <c r="E75">
        <v>5.0999999999999996</v>
      </c>
      <c r="F75" s="12">
        <v>1.4447058823529413</v>
      </c>
      <c r="G75">
        <v>307</v>
      </c>
      <c r="H75">
        <v>117</v>
      </c>
      <c r="I75" s="9">
        <v>61.88925081433225</v>
      </c>
      <c r="J75">
        <f t="shared" si="1"/>
        <v>116.99999999999997</v>
      </c>
      <c r="Q75">
        <v>821</v>
      </c>
      <c r="R75">
        <v>12.9</v>
      </c>
      <c r="S75">
        <v>57.2</v>
      </c>
      <c r="T75">
        <v>789.5</v>
      </c>
      <c r="AE75">
        <v>21</v>
      </c>
      <c r="AG75">
        <v>5.0999999999999996</v>
      </c>
      <c r="AH75">
        <v>117</v>
      </c>
      <c r="AJ75" s="9"/>
      <c r="AK75">
        <v>342</v>
      </c>
      <c r="AL75" s="9">
        <v>19.149999999999999</v>
      </c>
      <c r="AM75">
        <v>8</v>
      </c>
      <c r="AN75">
        <v>118</v>
      </c>
      <c r="AS75">
        <v>27.9</v>
      </c>
      <c r="AT75" s="3">
        <v>16.7</v>
      </c>
      <c r="AU75">
        <v>71</v>
      </c>
      <c r="AV75">
        <v>10.3</v>
      </c>
      <c r="AZ75">
        <v>311</v>
      </c>
      <c r="BA75">
        <v>12</v>
      </c>
      <c r="BB75">
        <v>7</v>
      </c>
      <c r="BC75">
        <v>157</v>
      </c>
    </row>
    <row r="76" spans="3:55" ht="15" x14ac:dyDescent="0.25">
      <c r="C76" s="22" t="s">
        <v>392</v>
      </c>
      <c r="D76" t="s">
        <v>43</v>
      </c>
      <c r="E76" s="3">
        <v>8</v>
      </c>
      <c r="F76" s="12">
        <v>1.026</v>
      </c>
      <c r="G76">
        <v>342</v>
      </c>
      <c r="H76">
        <v>118</v>
      </c>
      <c r="I76" s="7">
        <v>66</v>
      </c>
      <c r="J76">
        <f t="shared" si="1"/>
        <v>116.28</v>
      </c>
      <c r="Q76">
        <v>905</v>
      </c>
      <c r="R76">
        <v>17</v>
      </c>
      <c r="S76">
        <v>48</v>
      </c>
      <c r="T76">
        <v>433</v>
      </c>
      <c r="AE76" s="22" t="s">
        <v>392</v>
      </c>
      <c r="AF76" t="s">
        <v>43</v>
      </c>
      <c r="AG76" s="3">
        <v>8</v>
      </c>
      <c r="AH76">
        <v>118</v>
      </c>
      <c r="AJ76" s="7"/>
      <c r="AK76" s="6">
        <v>342.72</v>
      </c>
      <c r="AL76">
        <v>20</v>
      </c>
      <c r="AM76">
        <v>7</v>
      </c>
      <c r="AN76">
        <v>34.271999999999991</v>
      </c>
      <c r="AR76" s="3"/>
      <c r="AS76">
        <v>28</v>
      </c>
      <c r="AT76">
        <v>6.1</v>
      </c>
      <c r="AU76">
        <v>67</v>
      </c>
      <c r="AV76">
        <v>24</v>
      </c>
      <c r="AW76" s="9"/>
      <c r="AZ76">
        <v>326</v>
      </c>
      <c r="BA76">
        <v>27</v>
      </c>
      <c r="BB76">
        <v>10.4</v>
      </c>
      <c r="BC76">
        <v>141</v>
      </c>
    </row>
    <row r="77" spans="3:55" ht="15" x14ac:dyDescent="0.25">
      <c r="C77">
        <v>35</v>
      </c>
      <c r="D77">
        <v>0.7</v>
      </c>
      <c r="E77">
        <v>4</v>
      </c>
      <c r="F77" s="12">
        <v>2.0460000000000003</v>
      </c>
      <c r="G77">
        <v>341</v>
      </c>
      <c r="H77">
        <v>119</v>
      </c>
      <c r="I77" s="9">
        <v>65.102639296187675</v>
      </c>
      <c r="J77">
        <f t="shared" si="1"/>
        <v>119.00000000000006</v>
      </c>
      <c r="Q77">
        <v>905</v>
      </c>
      <c r="R77">
        <v>17</v>
      </c>
      <c r="S77">
        <v>96</v>
      </c>
      <c r="T77">
        <v>408</v>
      </c>
      <c r="AE77">
        <v>35</v>
      </c>
      <c r="AF77">
        <v>0.7</v>
      </c>
      <c r="AG77">
        <v>4</v>
      </c>
      <c r="AH77">
        <v>119</v>
      </c>
      <c r="AJ77" s="9"/>
      <c r="AK77">
        <v>344</v>
      </c>
      <c r="AL77">
        <v>13</v>
      </c>
      <c r="AM77">
        <v>8</v>
      </c>
      <c r="AS77">
        <v>28.1</v>
      </c>
      <c r="AT77" s="3">
        <v>25</v>
      </c>
      <c r="AU77">
        <v>62</v>
      </c>
      <c r="AV77">
        <v>13.1</v>
      </c>
      <c r="AZ77">
        <v>330</v>
      </c>
      <c r="BA77">
        <v>15.75</v>
      </c>
      <c r="BB77">
        <v>6</v>
      </c>
      <c r="BC77">
        <v>83</v>
      </c>
    </row>
    <row r="78" spans="3:55" ht="15" customHeight="1" x14ac:dyDescent="0.25">
      <c r="C78">
        <v>20</v>
      </c>
      <c r="E78">
        <v>12.3</v>
      </c>
      <c r="F78">
        <v>0.43</v>
      </c>
      <c r="G78">
        <v>219</v>
      </c>
      <c r="H78">
        <v>119</v>
      </c>
      <c r="I78" s="9">
        <v>45.662100456621005</v>
      </c>
      <c r="J78">
        <f t="shared" si="1"/>
        <v>119</v>
      </c>
      <c r="Q78">
        <v>925.6</v>
      </c>
      <c r="R78">
        <v>25</v>
      </c>
      <c r="S78">
        <v>16</v>
      </c>
      <c r="T78">
        <v>280.39999999999998</v>
      </c>
      <c r="AE78">
        <v>20</v>
      </c>
      <c r="AG78">
        <v>12.3</v>
      </c>
      <c r="AH78">
        <v>119</v>
      </c>
      <c r="AJ78" s="9"/>
      <c r="AK78">
        <v>346</v>
      </c>
      <c r="AL78">
        <v>13.7</v>
      </c>
      <c r="AM78">
        <v>14.5</v>
      </c>
      <c r="AN78">
        <v>192</v>
      </c>
      <c r="AR78" s="5"/>
      <c r="AS78">
        <v>30</v>
      </c>
      <c r="AT78">
        <v>9.6999999999999993</v>
      </c>
      <c r="AU78">
        <v>204</v>
      </c>
      <c r="AV78">
        <v>80</v>
      </c>
      <c r="AZ78">
        <v>334</v>
      </c>
      <c r="BA78">
        <v>25</v>
      </c>
      <c r="BB78">
        <v>16</v>
      </c>
      <c r="BC78">
        <v>66.8</v>
      </c>
    </row>
    <row r="79" spans="3:55" ht="14.25" customHeight="1" x14ac:dyDescent="0.25">
      <c r="C79">
        <v>31</v>
      </c>
      <c r="D79">
        <v>0.56999999999999995</v>
      </c>
      <c r="E79">
        <v>8.8000000000000007</v>
      </c>
      <c r="F79" s="12">
        <v>0.79090909090909089</v>
      </c>
      <c r="G79">
        <v>290</v>
      </c>
      <c r="H79">
        <v>125</v>
      </c>
      <c r="I79" s="9">
        <v>56.896551724137936</v>
      </c>
      <c r="J79">
        <f t="shared" si="1"/>
        <v>125</v>
      </c>
      <c r="Q79">
        <v>925.6</v>
      </c>
      <c r="R79">
        <v>25</v>
      </c>
      <c r="S79">
        <v>16</v>
      </c>
      <c r="T79">
        <v>263.89999999999998</v>
      </c>
      <c r="AE79">
        <v>31</v>
      </c>
      <c r="AF79">
        <v>0.56999999999999995</v>
      </c>
      <c r="AG79">
        <v>8.8000000000000007</v>
      </c>
      <c r="AH79">
        <v>125</v>
      </c>
      <c r="AJ79" s="9"/>
      <c r="AK79">
        <v>351</v>
      </c>
      <c r="AL79">
        <v>20</v>
      </c>
      <c r="AM79">
        <v>9.1</v>
      </c>
      <c r="AN79">
        <v>159</v>
      </c>
      <c r="AS79">
        <v>30</v>
      </c>
      <c r="AT79">
        <v>32</v>
      </c>
      <c r="AU79">
        <v>481</v>
      </c>
      <c r="AV79">
        <v>116</v>
      </c>
      <c r="AW79" s="9"/>
      <c r="AZ79">
        <v>334</v>
      </c>
      <c r="BA79">
        <v>25</v>
      </c>
      <c r="BB79">
        <v>16</v>
      </c>
      <c r="BC79">
        <v>57.8</v>
      </c>
    </row>
    <row r="80" spans="3:55" ht="14.25" customHeight="1" x14ac:dyDescent="0.25">
      <c r="C80">
        <v>27.4</v>
      </c>
      <c r="D80" t="s">
        <v>43</v>
      </c>
      <c r="E80">
        <v>7.5</v>
      </c>
      <c r="F80" s="8">
        <v>2.0608000000000004</v>
      </c>
      <c r="G80">
        <v>644</v>
      </c>
      <c r="H80">
        <v>129</v>
      </c>
      <c r="I80" s="9">
        <v>79.968944099378874</v>
      </c>
      <c r="J80">
        <f>G80-G80*(I80/100)</f>
        <v>129.00000000000011</v>
      </c>
      <c r="Q80">
        <v>976</v>
      </c>
      <c r="R80">
        <v>13.8</v>
      </c>
      <c r="S80">
        <v>44.3</v>
      </c>
      <c r="T80">
        <v>670.6</v>
      </c>
      <c r="AE80">
        <v>27.4</v>
      </c>
      <c r="AF80" t="s">
        <v>43</v>
      </c>
      <c r="AG80">
        <v>7.5</v>
      </c>
      <c r="AH80">
        <v>129</v>
      </c>
      <c r="AJ80" s="9"/>
      <c r="AK80">
        <v>363</v>
      </c>
      <c r="AL80">
        <v>20</v>
      </c>
      <c r="AM80">
        <v>9.5</v>
      </c>
      <c r="AN80">
        <v>150</v>
      </c>
      <c r="AS80">
        <v>31</v>
      </c>
      <c r="AT80">
        <v>1.4</v>
      </c>
      <c r="AU80">
        <v>296</v>
      </c>
      <c r="AV80">
        <v>151</v>
      </c>
      <c r="AZ80" s="3">
        <v>335</v>
      </c>
      <c r="BA80" s="3">
        <v>17</v>
      </c>
      <c r="BB80" s="3">
        <v>18</v>
      </c>
      <c r="BC80">
        <v>113</v>
      </c>
    </row>
    <row r="81" spans="3:55" ht="14.25" customHeight="1" x14ac:dyDescent="0.25">
      <c r="C81">
        <v>14.4</v>
      </c>
      <c r="E81">
        <v>9.6999999999999993</v>
      </c>
      <c r="F81">
        <v>0.53</v>
      </c>
      <c r="G81">
        <v>216</v>
      </c>
      <c r="H81">
        <v>130</v>
      </c>
      <c r="I81" s="9">
        <v>39.814814814814817</v>
      </c>
      <c r="J81">
        <f>G81-G81*(I81/100)</f>
        <v>130</v>
      </c>
      <c r="Q81">
        <v>980</v>
      </c>
      <c r="R81">
        <v>35</v>
      </c>
      <c r="S81">
        <v>52.800000000000004</v>
      </c>
      <c r="T81">
        <v>150.92000000000007</v>
      </c>
      <c r="AE81">
        <v>14.4</v>
      </c>
      <c r="AG81">
        <v>9.6999999999999993</v>
      </c>
      <c r="AH81">
        <v>130</v>
      </c>
      <c r="AJ81" s="9"/>
      <c r="AK81">
        <v>373</v>
      </c>
      <c r="AL81">
        <v>25</v>
      </c>
      <c r="AM81">
        <v>6</v>
      </c>
      <c r="AN81">
        <v>167</v>
      </c>
      <c r="AS81">
        <v>31</v>
      </c>
      <c r="AT81">
        <v>1.4</v>
      </c>
      <c r="AU81">
        <v>296</v>
      </c>
      <c r="AV81">
        <v>146</v>
      </c>
      <c r="AZ81" s="3">
        <v>342</v>
      </c>
      <c r="BA81" s="3">
        <v>22</v>
      </c>
      <c r="BB81" s="3">
        <v>5</v>
      </c>
      <c r="BC81">
        <v>224</v>
      </c>
    </row>
    <row r="82" spans="3:55" ht="14.25" customHeight="1" x14ac:dyDescent="0.25">
      <c r="C82">
        <v>32</v>
      </c>
      <c r="D82" t="s">
        <v>43</v>
      </c>
      <c r="E82" s="3">
        <v>24</v>
      </c>
      <c r="F82" s="12">
        <v>0.31799999999999995</v>
      </c>
      <c r="G82">
        <v>318</v>
      </c>
      <c r="H82">
        <v>133.87800000000001</v>
      </c>
      <c r="I82" s="7">
        <v>57.9</v>
      </c>
      <c r="J82">
        <f t="shared" ref="J82:J90" si="2">G82-G82*(I82/100)</f>
        <v>133.87800000000001</v>
      </c>
      <c r="Q82">
        <v>990</v>
      </c>
      <c r="R82">
        <v>35</v>
      </c>
      <c r="S82">
        <v>132</v>
      </c>
      <c r="T82">
        <v>270</v>
      </c>
      <c r="AE82">
        <v>32</v>
      </c>
      <c r="AF82" t="s">
        <v>43</v>
      </c>
      <c r="AG82" s="3">
        <v>24</v>
      </c>
      <c r="AH82">
        <v>133.87800000000001</v>
      </c>
      <c r="AJ82" s="7"/>
      <c r="AK82">
        <v>373</v>
      </c>
      <c r="AL82">
        <v>25</v>
      </c>
      <c r="AM82">
        <v>4</v>
      </c>
      <c r="AN82">
        <v>173</v>
      </c>
      <c r="AS82">
        <v>31</v>
      </c>
      <c r="AT82">
        <v>9.4</v>
      </c>
      <c r="AU82">
        <v>196</v>
      </c>
      <c r="AV82">
        <v>96</v>
      </c>
      <c r="AZ82" s="3">
        <v>343</v>
      </c>
      <c r="BA82" s="3">
        <v>19</v>
      </c>
      <c r="BB82" s="3">
        <v>6</v>
      </c>
      <c r="BC82">
        <v>199</v>
      </c>
    </row>
    <row r="83" spans="3:55" ht="14.25" customHeight="1" x14ac:dyDescent="0.25">
      <c r="C83">
        <v>32</v>
      </c>
      <c r="D83" t="s">
        <v>43</v>
      </c>
      <c r="E83" s="3">
        <v>24</v>
      </c>
      <c r="F83" s="12">
        <v>0.31799999999999995</v>
      </c>
      <c r="G83">
        <v>318</v>
      </c>
      <c r="H83">
        <v>136.74</v>
      </c>
      <c r="I83" s="7">
        <v>57</v>
      </c>
      <c r="J83">
        <f t="shared" si="2"/>
        <v>136.74</v>
      </c>
      <c r="AE83">
        <v>32</v>
      </c>
      <c r="AF83" t="s">
        <v>43</v>
      </c>
      <c r="AG83" s="3">
        <v>24</v>
      </c>
      <c r="AH83">
        <v>136.74</v>
      </c>
      <c r="AJ83" s="7"/>
      <c r="AK83">
        <v>373</v>
      </c>
      <c r="AL83">
        <v>22</v>
      </c>
      <c r="AM83">
        <v>10.327272727272726</v>
      </c>
      <c r="AN83">
        <v>161</v>
      </c>
      <c r="AS83">
        <v>31</v>
      </c>
      <c r="AT83">
        <v>8.8000000000000007</v>
      </c>
      <c r="AU83">
        <v>139</v>
      </c>
      <c r="AV83">
        <v>64</v>
      </c>
      <c r="AZ83">
        <v>343</v>
      </c>
      <c r="BA83">
        <v>27.4</v>
      </c>
      <c r="BB83">
        <v>7.5</v>
      </c>
      <c r="BC83">
        <v>29</v>
      </c>
    </row>
    <row r="84" spans="3:55" ht="14.25" customHeight="1" x14ac:dyDescent="0.25">
      <c r="C84">
        <v>31</v>
      </c>
      <c r="D84">
        <v>0.53</v>
      </c>
      <c r="E84">
        <v>9.4</v>
      </c>
      <c r="F84" s="12">
        <v>1.4017021276595745</v>
      </c>
      <c r="G84">
        <v>549</v>
      </c>
      <c r="H84">
        <v>137</v>
      </c>
      <c r="I84" s="9">
        <v>75.045537340619305</v>
      </c>
      <c r="J84">
        <f t="shared" si="2"/>
        <v>137</v>
      </c>
      <c r="AE84">
        <v>31</v>
      </c>
      <c r="AF84">
        <v>0.53</v>
      </c>
      <c r="AG84">
        <v>9.4</v>
      </c>
      <c r="AH84">
        <v>137</v>
      </c>
      <c r="AJ84" s="9"/>
      <c r="AK84">
        <v>374</v>
      </c>
      <c r="AL84">
        <v>22</v>
      </c>
      <c r="AM84">
        <v>7</v>
      </c>
      <c r="AN84">
        <v>152</v>
      </c>
      <c r="AS84">
        <v>31.5</v>
      </c>
      <c r="AT84" s="3">
        <v>33.5</v>
      </c>
      <c r="AU84">
        <v>68</v>
      </c>
      <c r="AV84">
        <v>13.9</v>
      </c>
      <c r="AZ84" s="3">
        <v>349</v>
      </c>
      <c r="BA84" s="3">
        <v>13</v>
      </c>
      <c r="BB84" s="3">
        <v>8</v>
      </c>
      <c r="BC84" s="6">
        <v>156</v>
      </c>
    </row>
    <row r="85" spans="3:55" ht="14.25" customHeight="1" x14ac:dyDescent="0.25">
      <c r="C85" t="s">
        <v>320</v>
      </c>
      <c r="D85" s="13">
        <v>0.56666666666666665</v>
      </c>
      <c r="E85">
        <v>8.5</v>
      </c>
      <c r="F85" s="12">
        <v>1.5981176470588239</v>
      </c>
      <c r="G85">
        <v>566</v>
      </c>
      <c r="H85">
        <v>139</v>
      </c>
      <c r="I85" s="9">
        <v>75.441696113074215</v>
      </c>
      <c r="J85">
        <f t="shared" si="2"/>
        <v>138.99999999999994</v>
      </c>
      <c r="AE85" t="s">
        <v>320</v>
      </c>
      <c r="AF85" s="13">
        <v>0.56666666666666665</v>
      </c>
      <c r="AG85">
        <v>8.5</v>
      </c>
      <c r="AH85">
        <v>139</v>
      </c>
      <c r="AJ85" s="9"/>
      <c r="AK85">
        <v>379</v>
      </c>
      <c r="AL85">
        <v>27</v>
      </c>
      <c r="AM85">
        <v>10.4</v>
      </c>
      <c r="AN85">
        <v>158</v>
      </c>
      <c r="AS85">
        <v>34</v>
      </c>
      <c r="AT85" s="3">
        <v>37.700000000000003</v>
      </c>
      <c r="AU85">
        <v>71</v>
      </c>
      <c r="AV85" s="6">
        <v>14.6</v>
      </c>
      <c r="AW85" s="7"/>
      <c r="AZ85">
        <v>352</v>
      </c>
      <c r="BA85">
        <v>18</v>
      </c>
      <c r="BB85">
        <v>25</v>
      </c>
      <c r="BC85">
        <v>158.39999999999998</v>
      </c>
    </row>
    <row r="86" spans="3:55" ht="14.25" customHeight="1" x14ac:dyDescent="0.2">
      <c r="C86" t="s">
        <v>43</v>
      </c>
      <c r="D86" t="s">
        <v>43</v>
      </c>
      <c r="E86">
        <v>6</v>
      </c>
      <c r="F86">
        <v>1.76</v>
      </c>
      <c r="G86">
        <v>441</v>
      </c>
      <c r="H86">
        <v>141</v>
      </c>
      <c r="I86">
        <v>68</v>
      </c>
      <c r="J86">
        <f t="shared" si="2"/>
        <v>141.12</v>
      </c>
      <c r="AE86" t="s">
        <v>43</v>
      </c>
      <c r="AF86" t="s">
        <v>43</v>
      </c>
      <c r="AG86">
        <v>6</v>
      </c>
      <c r="AH86">
        <v>141</v>
      </c>
      <c r="AK86" s="9">
        <v>383.33333333333331</v>
      </c>
      <c r="AL86">
        <v>20</v>
      </c>
      <c r="AM86">
        <v>16</v>
      </c>
      <c r="AN86">
        <v>66.666666666666671</v>
      </c>
      <c r="AS86">
        <v>35</v>
      </c>
      <c r="AT86">
        <v>4</v>
      </c>
      <c r="AU86">
        <v>88</v>
      </c>
      <c r="AV86">
        <v>34</v>
      </c>
      <c r="AW86" s="9"/>
      <c r="AZ86">
        <v>361</v>
      </c>
      <c r="BA86">
        <v>20.5</v>
      </c>
      <c r="BB86">
        <v>10.9</v>
      </c>
      <c r="BC86">
        <v>146</v>
      </c>
    </row>
    <row r="87" spans="3:55" ht="14.25" customHeight="1" x14ac:dyDescent="0.25">
      <c r="C87">
        <v>23</v>
      </c>
      <c r="D87">
        <v>0.7</v>
      </c>
      <c r="E87">
        <v>4</v>
      </c>
      <c r="F87" s="12">
        <v>2.4359999999999999</v>
      </c>
      <c r="G87">
        <v>406</v>
      </c>
      <c r="H87">
        <v>142</v>
      </c>
      <c r="I87" s="9">
        <v>65.024630541871915</v>
      </c>
      <c r="J87">
        <f t="shared" si="2"/>
        <v>142</v>
      </c>
      <c r="AE87">
        <v>23</v>
      </c>
      <c r="AF87">
        <v>0.7</v>
      </c>
      <c r="AG87">
        <v>4</v>
      </c>
      <c r="AH87">
        <v>142</v>
      </c>
      <c r="AJ87" s="9"/>
      <c r="AK87">
        <v>384</v>
      </c>
      <c r="AL87">
        <v>27</v>
      </c>
      <c r="AM87">
        <v>9.5</v>
      </c>
      <c r="AN87">
        <v>206</v>
      </c>
      <c r="AS87" s="22">
        <v>19.149999999999999</v>
      </c>
      <c r="AT87" s="3">
        <v>8</v>
      </c>
      <c r="AU87">
        <v>120</v>
      </c>
      <c r="AV87">
        <v>66</v>
      </c>
      <c r="AZ87" s="3">
        <v>371</v>
      </c>
      <c r="BA87" s="3">
        <v>17</v>
      </c>
      <c r="BB87" s="3">
        <v>48</v>
      </c>
      <c r="BC87">
        <v>89</v>
      </c>
    </row>
    <row r="88" spans="3:55" ht="14.25" customHeight="1" x14ac:dyDescent="0.25">
      <c r="C88">
        <v>19</v>
      </c>
      <c r="D88" t="s">
        <v>327</v>
      </c>
      <c r="E88">
        <v>14.5</v>
      </c>
      <c r="F88" s="12">
        <v>0.66206896551724137</v>
      </c>
      <c r="G88">
        <v>400</v>
      </c>
      <c r="H88">
        <v>142</v>
      </c>
      <c r="I88" s="9">
        <v>64.5</v>
      </c>
      <c r="J88">
        <f t="shared" si="2"/>
        <v>142</v>
      </c>
      <c r="AE88">
        <v>19</v>
      </c>
      <c r="AF88" t="s">
        <v>327</v>
      </c>
      <c r="AG88">
        <v>14.5</v>
      </c>
      <c r="AH88">
        <v>142</v>
      </c>
      <c r="AJ88" s="9"/>
      <c r="AK88" s="9">
        <v>385.41666666666663</v>
      </c>
      <c r="AL88">
        <v>20</v>
      </c>
      <c r="AM88">
        <v>20</v>
      </c>
      <c r="AN88">
        <v>73.958333333333329</v>
      </c>
      <c r="AS88">
        <v>15.75</v>
      </c>
      <c r="AT88">
        <v>6</v>
      </c>
      <c r="AU88">
        <v>330</v>
      </c>
      <c r="AV88">
        <v>83</v>
      </c>
      <c r="AZ88" s="3">
        <v>371</v>
      </c>
      <c r="BA88" s="3">
        <v>17</v>
      </c>
      <c r="BB88">
        <v>96</v>
      </c>
      <c r="BC88">
        <v>73</v>
      </c>
    </row>
    <row r="89" spans="3:55" ht="14.25" customHeight="1" x14ac:dyDescent="0.25">
      <c r="C89">
        <v>21</v>
      </c>
      <c r="E89">
        <v>8.8000000000000007</v>
      </c>
      <c r="F89" s="12">
        <v>1.1099999999999997</v>
      </c>
      <c r="G89">
        <v>407</v>
      </c>
      <c r="H89">
        <v>142</v>
      </c>
      <c r="I89" s="9">
        <v>65.110565110565105</v>
      </c>
      <c r="J89">
        <f t="shared" si="2"/>
        <v>142.00000000000006</v>
      </c>
      <c r="AE89">
        <v>21</v>
      </c>
      <c r="AG89">
        <v>8.8000000000000007</v>
      </c>
      <c r="AH89">
        <v>142</v>
      </c>
      <c r="AJ89" s="9"/>
      <c r="AK89">
        <v>392</v>
      </c>
      <c r="AL89">
        <v>20</v>
      </c>
      <c r="AM89">
        <v>10.4</v>
      </c>
      <c r="AN89">
        <v>149</v>
      </c>
      <c r="AS89">
        <v>19.5</v>
      </c>
      <c r="AT89">
        <v>7</v>
      </c>
      <c r="AU89">
        <v>379</v>
      </c>
      <c r="AV89">
        <v>50</v>
      </c>
      <c r="AZ89">
        <v>376</v>
      </c>
      <c r="BA89">
        <v>23</v>
      </c>
      <c r="BB89">
        <v>4</v>
      </c>
      <c r="BC89">
        <v>109.04000000000002</v>
      </c>
    </row>
    <row r="90" spans="3:55" ht="15" x14ac:dyDescent="0.25">
      <c r="C90" t="s">
        <v>320</v>
      </c>
      <c r="D90" s="13">
        <v>0.5625</v>
      </c>
      <c r="E90">
        <v>9.3000000000000007</v>
      </c>
      <c r="F90" s="12">
        <v>0.65032258064516124</v>
      </c>
      <c r="G90">
        <v>252</v>
      </c>
      <c r="H90">
        <v>143</v>
      </c>
      <c r="I90" s="9">
        <v>43.253968253968253</v>
      </c>
      <c r="J90">
        <f t="shared" si="2"/>
        <v>143</v>
      </c>
      <c r="AE90" t="s">
        <v>320</v>
      </c>
      <c r="AF90" s="13">
        <v>0.5625</v>
      </c>
      <c r="AG90">
        <v>9.3000000000000007</v>
      </c>
      <c r="AH90">
        <v>143</v>
      </c>
      <c r="AJ90" s="9"/>
      <c r="AK90">
        <v>393</v>
      </c>
      <c r="AL90">
        <v>22</v>
      </c>
      <c r="AM90">
        <v>5</v>
      </c>
      <c r="AN90">
        <v>280</v>
      </c>
      <c r="AS90">
        <v>22.5</v>
      </c>
      <c r="AT90" s="3">
        <v>9.6999999999999993</v>
      </c>
      <c r="AU90">
        <v>208</v>
      </c>
      <c r="AV90">
        <v>66.56</v>
      </c>
      <c r="AZ90">
        <v>379</v>
      </c>
      <c r="BA90">
        <v>19.5</v>
      </c>
      <c r="BB90">
        <v>7</v>
      </c>
      <c r="BC90">
        <v>50</v>
      </c>
    </row>
    <row r="91" spans="3:55" ht="15" x14ac:dyDescent="0.25">
      <c r="C91" t="s">
        <v>359</v>
      </c>
      <c r="D91" t="s">
        <v>43</v>
      </c>
      <c r="E91">
        <v>7.8</v>
      </c>
      <c r="F91" s="12">
        <v>1.2184615384615383</v>
      </c>
      <c r="G91">
        <v>396</v>
      </c>
      <c r="H91">
        <v>144</v>
      </c>
      <c r="I91" s="9">
        <v>58</v>
      </c>
      <c r="J91">
        <f>G91-G91*(I91/100)</f>
        <v>166.32000000000002</v>
      </c>
      <c r="AE91" t="s">
        <v>359</v>
      </c>
      <c r="AF91" t="s">
        <v>43</v>
      </c>
      <c r="AG91">
        <v>7.8</v>
      </c>
      <c r="AH91">
        <v>144</v>
      </c>
      <c r="AJ91" s="9"/>
      <c r="AK91">
        <v>393</v>
      </c>
      <c r="AL91">
        <v>25</v>
      </c>
      <c r="AM91">
        <v>6</v>
      </c>
      <c r="AN91">
        <v>161</v>
      </c>
      <c r="AS91" s="22">
        <v>25.5</v>
      </c>
      <c r="AT91">
        <v>8</v>
      </c>
      <c r="AU91">
        <v>303</v>
      </c>
      <c r="AV91">
        <v>95</v>
      </c>
      <c r="AZ91">
        <v>380</v>
      </c>
      <c r="BA91">
        <v>28</v>
      </c>
      <c r="BB91">
        <v>6</v>
      </c>
      <c r="BC91">
        <v>58</v>
      </c>
    </row>
    <row r="92" spans="3:55" ht="15" x14ac:dyDescent="0.25">
      <c r="C92" t="s">
        <v>393</v>
      </c>
      <c r="D92" t="s">
        <v>43</v>
      </c>
      <c r="E92" s="3">
        <v>9.6999999999999993</v>
      </c>
      <c r="F92" s="12">
        <v>0.99463917525773216</v>
      </c>
      <c r="G92">
        <v>402</v>
      </c>
      <c r="H92">
        <v>144.71999999999997</v>
      </c>
      <c r="I92" s="7">
        <v>64</v>
      </c>
      <c r="J92">
        <f>G92-G92*(I92/100)</f>
        <v>144.71999999999997</v>
      </c>
      <c r="AE92" t="s">
        <v>393</v>
      </c>
      <c r="AF92" t="s">
        <v>43</v>
      </c>
      <c r="AG92" s="3">
        <v>9.6999999999999993</v>
      </c>
      <c r="AH92">
        <v>144.71999999999997</v>
      </c>
      <c r="AJ92" s="7"/>
      <c r="AK92">
        <v>396</v>
      </c>
      <c r="AL92">
        <v>23</v>
      </c>
      <c r="AM92">
        <v>7.8</v>
      </c>
      <c r="AN92">
        <v>144</v>
      </c>
      <c r="AS92">
        <v>23</v>
      </c>
      <c r="AT92">
        <v>24</v>
      </c>
      <c r="AU92">
        <v>612</v>
      </c>
      <c r="AV92">
        <v>157</v>
      </c>
      <c r="AW92" s="9"/>
      <c r="AZ92">
        <v>384</v>
      </c>
      <c r="BA92">
        <v>27.4</v>
      </c>
      <c r="BB92">
        <v>7.5</v>
      </c>
      <c r="BC92">
        <v>46</v>
      </c>
    </row>
    <row r="93" spans="3:55" ht="15" x14ac:dyDescent="0.25">
      <c r="C93">
        <v>18</v>
      </c>
      <c r="E93">
        <v>11</v>
      </c>
      <c r="F93" s="12">
        <v>0.87927272727272721</v>
      </c>
      <c r="G93">
        <v>403</v>
      </c>
      <c r="H93">
        <v>149</v>
      </c>
      <c r="I93" s="9">
        <v>63.027295285359799</v>
      </c>
      <c r="J93">
        <f t="shared" ref="J93:J96" si="3">G93-G93*(I93/100)</f>
        <v>149.00000000000003</v>
      </c>
      <c r="AE93">
        <v>18</v>
      </c>
      <c r="AG93">
        <v>11</v>
      </c>
      <c r="AH93">
        <v>149</v>
      </c>
      <c r="AJ93" s="9"/>
      <c r="AK93">
        <v>396</v>
      </c>
      <c r="AL93">
        <v>23</v>
      </c>
      <c r="AM93">
        <v>7.9</v>
      </c>
      <c r="AN93">
        <v>283</v>
      </c>
      <c r="AS93">
        <v>23</v>
      </c>
      <c r="AT93">
        <v>36</v>
      </c>
      <c r="AU93">
        <v>612</v>
      </c>
      <c r="AV93">
        <v>148</v>
      </c>
      <c r="AZ93">
        <v>386</v>
      </c>
      <c r="BA93">
        <v>27</v>
      </c>
      <c r="BB93">
        <v>8.5</v>
      </c>
      <c r="BC93">
        <v>114</v>
      </c>
    </row>
    <row r="94" spans="3:55" ht="14.25" customHeight="1" x14ac:dyDescent="0.25">
      <c r="C94" t="s">
        <v>330</v>
      </c>
      <c r="D94" t="s">
        <v>43</v>
      </c>
      <c r="E94">
        <v>6</v>
      </c>
      <c r="F94" s="12">
        <v>2.2520000000000002</v>
      </c>
      <c r="G94">
        <v>563</v>
      </c>
      <c r="H94">
        <v>149</v>
      </c>
      <c r="I94" s="9">
        <v>73.53463587921847</v>
      </c>
      <c r="J94">
        <f t="shared" si="3"/>
        <v>149</v>
      </c>
      <c r="AE94" t="s">
        <v>330</v>
      </c>
      <c r="AF94" t="s">
        <v>43</v>
      </c>
      <c r="AG94">
        <v>6</v>
      </c>
      <c r="AH94">
        <v>149</v>
      </c>
      <c r="AJ94" s="9"/>
      <c r="AK94">
        <v>398</v>
      </c>
      <c r="AL94">
        <v>23</v>
      </c>
      <c r="AM94">
        <v>10.6</v>
      </c>
      <c r="AN94">
        <v>153</v>
      </c>
      <c r="AS94">
        <v>23</v>
      </c>
      <c r="AT94">
        <v>48</v>
      </c>
      <c r="AU94">
        <v>612</v>
      </c>
      <c r="AV94">
        <v>125</v>
      </c>
      <c r="AW94" s="9"/>
      <c r="AZ94" s="3">
        <v>398</v>
      </c>
      <c r="BA94" s="3">
        <v>22</v>
      </c>
      <c r="BB94" s="3">
        <v>4</v>
      </c>
      <c r="BC94" s="6">
        <v>318</v>
      </c>
    </row>
    <row r="95" spans="3:55" ht="14.25" customHeight="1" x14ac:dyDescent="0.25">
      <c r="C95">
        <v>20</v>
      </c>
      <c r="E95">
        <v>10.4</v>
      </c>
      <c r="F95">
        <v>0.9</v>
      </c>
      <c r="G95">
        <v>392</v>
      </c>
      <c r="H95">
        <v>149</v>
      </c>
      <c r="I95" s="9">
        <v>61.989795918367349</v>
      </c>
      <c r="J95">
        <f t="shared" si="3"/>
        <v>148.99999999999997</v>
      </c>
      <c r="AE95">
        <v>20</v>
      </c>
      <c r="AG95">
        <v>10.4</v>
      </c>
      <c r="AH95">
        <v>149</v>
      </c>
      <c r="AJ95" s="9"/>
      <c r="AK95">
        <v>398</v>
      </c>
      <c r="AL95">
        <v>23</v>
      </c>
      <c r="AM95">
        <v>9.9</v>
      </c>
      <c r="AN95">
        <v>159</v>
      </c>
      <c r="AS95" s="22">
        <v>26</v>
      </c>
      <c r="AT95" s="3">
        <v>4</v>
      </c>
      <c r="AU95">
        <v>200</v>
      </c>
      <c r="AV95">
        <v>76</v>
      </c>
      <c r="AZ95">
        <v>398</v>
      </c>
      <c r="BA95">
        <v>27</v>
      </c>
      <c r="BB95">
        <v>10.199999999999999</v>
      </c>
      <c r="BC95">
        <v>132</v>
      </c>
    </row>
    <row r="96" spans="3:55" ht="14.25" customHeight="1" x14ac:dyDescent="0.25">
      <c r="C96" t="s">
        <v>43</v>
      </c>
      <c r="D96" t="s">
        <v>43</v>
      </c>
      <c r="E96">
        <v>5</v>
      </c>
      <c r="F96">
        <v>1.85</v>
      </c>
      <c r="G96" s="9">
        <v>386</v>
      </c>
      <c r="H96">
        <v>150</v>
      </c>
      <c r="I96">
        <v>61</v>
      </c>
      <c r="J96">
        <f t="shared" si="3"/>
        <v>150.54</v>
      </c>
      <c r="AE96" t="s">
        <v>43</v>
      </c>
      <c r="AF96" t="s">
        <v>43</v>
      </c>
      <c r="AG96">
        <v>5</v>
      </c>
      <c r="AH96">
        <v>150</v>
      </c>
      <c r="AK96">
        <v>400</v>
      </c>
      <c r="AL96">
        <v>12.7</v>
      </c>
      <c r="AM96">
        <v>13.6</v>
      </c>
      <c r="AN96">
        <v>239</v>
      </c>
      <c r="AS96">
        <v>20.5</v>
      </c>
      <c r="AT96">
        <v>14.3</v>
      </c>
      <c r="AU96">
        <v>236</v>
      </c>
      <c r="AV96">
        <v>142</v>
      </c>
      <c r="AW96" s="9"/>
      <c r="AZ96" s="3">
        <v>400</v>
      </c>
      <c r="BA96" s="5">
        <v>19</v>
      </c>
      <c r="BB96" s="3">
        <v>12</v>
      </c>
      <c r="BC96">
        <v>105</v>
      </c>
    </row>
    <row r="97" spans="3:55" ht="14.25" customHeight="1" x14ac:dyDescent="0.25">
      <c r="C97">
        <v>20</v>
      </c>
      <c r="E97">
        <v>9.5</v>
      </c>
      <c r="F97">
        <v>0.92</v>
      </c>
      <c r="G97">
        <v>363</v>
      </c>
      <c r="H97">
        <v>150</v>
      </c>
      <c r="I97" s="9">
        <v>58.677685950413228</v>
      </c>
      <c r="J97">
        <f>G97-G97*(I97/100)</f>
        <v>149.99999999999997</v>
      </c>
      <c r="AE97">
        <v>20</v>
      </c>
      <c r="AG97">
        <v>9.5</v>
      </c>
      <c r="AH97">
        <v>150</v>
      </c>
      <c r="AJ97" s="9"/>
      <c r="AK97">
        <v>400</v>
      </c>
      <c r="AL97">
        <v>19</v>
      </c>
      <c r="AM97">
        <v>14.5</v>
      </c>
      <c r="AN97">
        <v>142</v>
      </c>
      <c r="AS97">
        <v>20.5</v>
      </c>
      <c r="AT97">
        <v>10.199999999999999</v>
      </c>
      <c r="AU97">
        <v>274</v>
      </c>
      <c r="AV97">
        <v>128</v>
      </c>
      <c r="AW97" s="9"/>
      <c r="AZ97" s="3">
        <v>400</v>
      </c>
      <c r="BA97" s="5">
        <v>21</v>
      </c>
      <c r="BB97" s="3">
        <v>6</v>
      </c>
      <c r="BC97">
        <v>301</v>
      </c>
    </row>
    <row r="98" spans="3:55" ht="14.25" customHeight="1" x14ac:dyDescent="0.25">
      <c r="C98">
        <v>35</v>
      </c>
      <c r="D98" t="s">
        <v>43</v>
      </c>
      <c r="E98">
        <v>52.800000000000004</v>
      </c>
      <c r="F98">
        <v>0.45</v>
      </c>
      <c r="G98" s="9">
        <v>980</v>
      </c>
      <c r="H98">
        <v>150.92000000000007</v>
      </c>
      <c r="I98" s="7">
        <v>84.6</v>
      </c>
      <c r="J98">
        <f>G98-G98*(I98/100)</f>
        <v>150.92000000000007</v>
      </c>
      <c r="AE98">
        <v>35</v>
      </c>
      <c r="AF98" t="s">
        <v>43</v>
      </c>
      <c r="AG98">
        <v>52.800000000000004</v>
      </c>
      <c r="AH98">
        <v>150.92000000000007</v>
      </c>
      <c r="AJ98" s="7"/>
      <c r="AK98">
        <v>402</v>
      </c>
      <c r="AL98" s="9">
        <v>19.5</v>
      </c>
      <c r="AM98">
        <v>7</v>
      </c>
      <c r="AN98">
        <v>112.56</v>
      </c>
      <c r="AS98">
        <v>20.5</v>
      </c>
      <c r="AT98">
        <v>10.9</v>
      </c>
      <c r="AU98">
        <v>361</v>
      </c>
      <c r="AV98">
        <v>146</v>
      </c>
      <c r="AZ98" s="3">
        <v>400</v>
      </c>
      <c r="BA98" s="5">
        <v>26</v>
      </c>
      <c r="BB98" s="3">
        <v>24</v>
      </c>
      <c r="BC98">
        <v>55</v>
      </c>
    </row>
    <row r="99" spans="3:55" ht="14.25" customHeight="1" x14ac:dyDescent="0.25">
      <c r="C99" t="s">
        <v>366</v>
      </c>
      <c r="D99" t="s">
        <v>43</v>
      </c>
      <c r="E99">
        <v>6</v>
      </c>
      <c r="F99" s="12">
        <v>2.9960000000000004</v>
      </c>
      <c r="G99">
        <v>749</v>
      </c>
      <c r="H99">
        <v>151</v>
      </c>
      <c r="I99" s="9">
        <v>79.839786381842458</v>
      </c>
      <c r="J99">
        <f>G99-G99*(I99/100)</f>
        <v>151</v>
      </c>
      <c r="AE99" t="s">
        <v>366</v>
      </c>
      <c r="AF99" t="s">
        <v>43</v>
      </c>
      <c r="AG99">
        <v>6</v>
      </c>
      <c r="AH99">
        <v>151</v>
      </c>
      <c r="AJ99" s="9"/>
      <c r="AK99">
        <v>402</v>
      </c>
      <c r="AL99" s="9">
        <v>22.5</v>
      </c>
      <c r="AM99">
        <v>9.6999999999999993</v>
      </c>
      <c r="AN99">
        <v>144.71999999999997</v>
      </c>
      <c r="AS99">
        <v>23</v>
      </c>
      <c r="AT99">
        <v>4</v>
      </c>
      <c r="AU99">
        <v>376</v>
      </c>
      <c r="AV99">
        <v>109.04000000000002</v>
      </c>
      <c r="AZ99">
        <v>403</v>
      </c>
      <c r="BA99">
        <v>24.3</v>
      </c>
      <c r="BB99" s="3">
        <v>13.6</v>
      </c>
      <c r="BC99" s="6">
        <v>141</v>
      </c>
    </row>
    <row r="100" spans="3:55" ht="14.25" customHeight="1" x14ac:dyDescent="0.25">
      <c r="C100">
        <v>22</v>
      </c>
      <c r="E100">
        <v>7</v>
      </c>
      <c r="F100" s="12">
        <v>1.2822857142857143</v>
      </c>
      <c r="G100">
        <v>374</v>
      </c>
      <c r="H100">
        <v>152</v>
      </c>
      <c r="I100" s="9">
        <v>59.358288770053477</v>
      </c>
      <c r="J100">
        <f t="shared" ref="J100:J117" si="4">G100-G100*(I100/100)</f>
        <v>151.99999999999997</v>
      </c>
      <c r="AE100">
        <v>22</v>
      </c>
      <c r="AG100">
        <v>7</v>
      </c>
      <c r="AH100">
        <v>152</v>
      </c>
      <c r="AJ100" s="9"/>
      <c r="AK100">
        <v>403</v>
      </c>
      <c r="AL100">
        <v>18</v>
      </c>
      <c r="AM100">
        <v>11</v>
      </c>
      <c r="AN100">
        <v>149</v>
      </c>
      <c r="AS100">
        <v>25</v>
      </c>
      <c r="AT100">
        <v>6</v>
      </c>
      <c r="AU100">
        <v>418</v>
      </c>
      <c r="AV100">
        <v>134</v>
      </c>
      <c r="AZ100">
        <v>404</v>
      </c>
      <c r="BA100">
        <v>22</v>
      </c>
      <c r="BB100">
        <v>25</v>
      </c>
      <c r="BC100">
        <v>153.52000000000001</v>
      </c>
    </row>
    <row r="101" spans="3:55" ht="14.25" customHeight="1" x14ac:dyDescent="0.25">
      <c r="C101" t="s">
        <v>359</v>
      </c>
      <c r="D101" t="s">
        <v>43</v>
      </c>
      <c r="E101">
        <v>10.6</v>
      </c>
      <c r="F101" s="12">
        <v>0.90113207547169805</v>
      </c>
      <c r="G101">
        <v>398</v>
      </c>
      <c r="H101">
        <v>153</v>
      </c>
      <c r="I101" s="9">
        <v>52</v>
      </c>
      <c r="J101">
        <f t="shared" si="4"/>
        <v>191.04</v>
      </c>
      <c r="AE101" t="s">
        <v>359</v>
      </c>
      <c r="AF101" t="s">
        <v>43</v>
      </c>
      <c r="AG101">
        <v>10.6</v>
      </c>
      <c r="AH101">
        <v>153</v>
      </c>
      <c r="AJ101" s="9"/>
      <c r="AK101" s="9">
        <v>403.64583333333326</v>
      </c>
      <c r="AL101">
        <v>20</v>
      </c>
      <c r="AM101">
        <v>25</v>
      </c>
      <c r="AN101">
        <v>100.26041666666666</v>
      </c>
      <c r="AS101">
        <v>25</v>
      </c>
      <c r="AT101">
        <v>6</v>
      </c>
      <c r="AU101">
        <v>418</v>
      </c>
      <c r="AV101">
        <v>130</v>
      </c>
      <c r="AZ101">
        <v>418</v>
      </c>
      <c r="BA101">
        <v>25</v>
      </c>
      <c r="BB101">
        <v>6</v>
      </c>
      <c r="BC101">
        <v>134</v>
      </c>
    </row>
    <row r="102" spans="3:55" ht="14.25" customHeight="1" x14ac:dyDescent="0.25">
      <c r="C102" s="22" t="s">
        <v>381</v>
      </c>
      <c r="D102">
        <v>0.42</v>
      </c>
      <c r="E102" s="3">
        <v>4</v>
      </c>
      <c r="F102" s="12">
        <v>1.9259999999999997</v>
      </c>
      <c r="G102">
        <v>321</v>
      </c>
      <c r="H102">
        <v>153</v>
      </c>
      <c r="I102" s="9">
        <v>52.336448598130836</v>
      </c>
      <c r="J102">
        <f t="shared" si="4"/>
        <v>153.00000000000003</v>
      </c>
      <c r="AE102" s="22" t="s">
        <v>381</v>
      </c>
      <c r="AF102">
        <v>0.42</v>
      </c>
      <c r="AG102" s="3">
        <v>4</v>
      </c>
      <c r="AH102">
        <v>153</v>
      </c>
      <c r="AJ102" s="9"/>
      <c r="AK102">
        <v>406</v>
      </c>
      <c r="AL102">
        <v>23</v>
      </c>
      <c r="AM102">
        <v>4</v>
      </c>
      <c r="AN102">
        <v>142</v>
      </c>
      <c r="AS102">
        <v>25</v>
      </c>
      <c r="AT102">
        <v>6</v>
      </c>
      <c r="AU102">
        <v>418</v>
      </c>
      <c r="AV102">
        <v>107</v>
      </c>
      <c r="AZ102">
        <v>418</v>
      </c>
      <c r="BA102">
        <v>25</v>
      </c>
      <c r="BB102">
        <v>6</v>
      </c>
      <c r="BC102">
        <v>130</v>
      </c>
    </row>
    <row r="103" spans="3:55" ht="14.25" customHeight="1" x14ac:dyDescent="0.25">
      <c r="C103">
        <v>35</v>
      </c>
      <c r="D103" t="s">
        <v>43</v>
      </c>
      <c r="E103">
        <v>52.800000000000004</v>
      </c>
      <c r="F103">
        <v>0.45</v>
      </c>
      <c r="G103" s="9">
        <v>1021</v>
      </c>
      <c r="H103">
        <v>153.14999999999998</v>
      </c>
      <c r="I103" s="7">
        <v>85</v>
      </c>
      <c r="J103">
        <f t="shared" si="4"/>
        <v>153.14999999999998</v>
      </c>
      <c r="AE103">
        <v>35</v>
      </c>
      <c r="AF103" t="s">
        <v>43</v>
      </c>
      <c r="AG103">
        <v>52.800000000000004</v>
      </c>
      <c r="AH103">
        <v>153.14999999999998</v>
      </c>
      <c r="AJ103" s="7"/>
      <c r="AK103">
        <v>407</v>
      </c>
      <c r="AL103">
        <v>21</v>
      </c>
      <c r="AM103">
        <v>8.8000000000000007</v>
      </c>
      <c r="AN103">
        <v>142</v>
      </c>
      <c r="AS103">
        <v>22</v>
      </c>
      <c r="AT103" s="9">
        <v>10.327272727272726</v>
      </c>
      <c r="AU103">
        <v>194</v>
      </c>
      <c r="AV103" s="6">
        <v>74</v>
      </c>
      <c r="AW103" s="7"/>
      <c r="AZ103">
        <v>418</v>
      </c>
      <c r="BA103">
        <v>25</v>
      </c>
      <c r="BB103">
        <v>6</v>
      </c>
      <c r="BC103">
        <v>107</v>
      </c>
    </row>
    <row r="104" spans="3:55" ht="14.25" customHeight="1" x14ac:dyDescent="0.25">
      <c r="C104">
        <v>17</v>
      </c>
      <c r="D104" t="s">
        <v>43</v>
      </c>
      <c r="E104">
        <v>5.5</v>
      </c>
      <c r="F104" s="8">
        <v>2.474181818181818</v>
      </c>
      <c r="G104">
        <v>567</v>
      </c>
      <c r="H104">
        <v>155</v>
      </c>
      <c r="I104" s="9">
        <v>72.663139329805986</v>
      </c>
      <c r="J104">
        <f t="shared" si="4"/>
        <v>155.00000000000011</v>
      </c>
      <c r="AE104">
        <v>17</v>
      </c>
      <c r="AF104" t="s">
        <v>43</v>
      </c>
      <c r="AG104">
        <v>5.5</v>
      </c>
      <c r="AH104">
        <v>155</v>
      </c>
      <c r="AJ104" s="9"/>
      <c r="AK104">
        <v>414</v>
      </c>
      <c r="AL104">
        <v>22</v>
      </c>
      <c r="AM104">
        <v>21.6</v>
      </c>
      <c r="AN104">
        <v>179</v>
      </c>
      <c r="AS104">
        <v>22</v>
      </c>
      <c r="AT104">
        <v>21.6</v>
      </c>
      <c r="AU104">
        <v>296</v>
      </c>
      <c r="AV104" s="6">
        <v>51</v>
      </c>
      <c r="AW104" s="7"/>
      <c r="AZ104">
        <v>423</v>
      </c>
      <c r="BA104">
        <v>25</v>
      </c>
      <c r="BB104">
        <v>11.2</v>
      </c>
      <c r="BC104">
        <v>255</v>
      </c>
    </row>
    <row r="105" spans="3:55" ht="14.25" customHeight="1" x14ac:dyDescent="0.25">
      <c r="C105" t="s">
        <v>320</v>
      </c>
      <c r="D105" s="13">
        <v>0.58750000000000002</v>
      </c>
      <c r="E105">
        <v>10.4</v>
      </c>
      <c r="F105" s="12">
        <v>0.87461538461538446</v>
      </c>
      <c r="G105">
        <v>379</v>
      </c>
      <c r="H105">
        <v>158</v>
      </c>
      <c r="I105" s="9">
        <v>58.311345646437992</v>
      </c>
      <c r="J105">
        <f t="shared" si="4"/>
        <v>158</v>
      </c>
      <c r="AE105" t="s">
        <v>320</v>
      </c>
      <c r="AF105" s="13">
        <v>0.58750000000000002</v>
      </c>
      <c r="AG105">
        <v>10.4</v>
      </c>
      <c r="AH105">
        <v>158</v>
      </c>
      <c r="AJ105" s="9"/>
      <c r="AK105" s="6">
        <v>422.40000000000003</v>
      </c>
      <c r="AL105">
        <v>13</v>
      </c>
      <c r="AM105">
        <v>8</v>
      </c>
      <c r="AN105">
        <v>219.16981132075475</v>
      </c>
      <c r="AS105">
        <v>23</v>
      </c>
      <c r="AT105">
        <v>4.9000000000000004</v>
      </c>
      <c r="AU105">
        <v>272</v>
      </c>
      <c r="AV105">
        <v>204</v>
      </c>
      <c r="AZ105">
        <v>425</v>
      </c>
      <c r="BA105">
        <v>25</v>
      </c>
      <c r="BB105">
        <v>8.8000000000000007</v>
      </c>
      <c r="BC105">
        <v>326</v>
      </c>
    </row>
    <row r="106" spans="3:55" ht="15" x14ac:dyDescent="0.25">
      <c r="C106" t="s">
        <v>359</v>
      </c>
      <c r="D106" t="s">
        <v>43</v>
      </c>
      <c r="E106">
        <v>9.9</v>
      </c>
      <c r="F106" s="12">
        <v>0.96484848484848473</v>
      </c>
      <c r="G106">
        <v>398</v>
      </c>
      <c r="H106">
        <v>159</v>
      </c>
      <c r="I106" s="9">
        <v>65</v>
      </c>
      <c r="J106">
        <f t="shared" si="4"/>
        <v>139.30000000000001</v>
      </c>
      <c r="AE106" t="s">
        <v>359</v>
      </c>
      <c r="AF106" t="s">
        <v>43</v>
      </c>
      <c r="AG106">
        <v>9.9</v>
      </c>
      <c r="AH106">
        <v>159</v>
      </c>
      <c r="AJ106" s="9"/>
      <c r="AK106">
        <v>424</v>
      </c>
      <c r="AL106">
        <v>20</v>
      </c>
      <c r="AM106">
        <v>4</v>
      </c>
      <c r="AN106">
        <v>169</v>
      </c>
      <c r="AS106">
        <v>23</v>
      </c>
      <c r="AT106">
        <v>7.9</v>
      </c>
      <c r="AU106">
        <v>218</v>
      </c>
      <c r="AV106">
        <v>143</v>
      </c>
      <c r="AZ106">
        <v>431</v>
      </c>
      <c r="BA106">
        <v>25</v>
      </c>
      <c r="BB106">
        <v>25</v>
      </c>
      <c r="BC106">
        <v>172.40000000000003</v>
      </c>
    </row>
    <row r="107" spans="3:55" ht="15" customHeight="1" x14ac:dyDescent="0.2">
      <c r="C107">
        <v>20</v>
      </c>
      <c r="E107">
        <v>9.1</v>
      </c>
      <c r="F107">
        <v>0.92</v>
      </c>
      <c r="G107">
        <v>351</v>
      </c>
      <c r="H107">
        <v>159</v>
      </c>
      <c r="I107" s="9">
        <v>54.700854700854705</v>
      </c>
      <c r="J107">
        <f t="shared" si="4"/>
        <v>158.99999999999997</v>
      </c>
      <c r="AE107">
        <v>20</v>
      </c>
      <c r="AG107">
        <v>9.1</v>
      </c>
      <c r="AH107">
        <v>159</v>
      </c>
      <c r="AJ107" s="9"/>
      <c r="AK107" s="6">
        <v>432</v>
      </c>
      <c r="AL107">
        <v>17</v>
      </c>
      <c r="AM107">
        <v>18</v>
      </c>
      <c r="AN107">
        <v>186.62400000000002</v>
      </c>
      <c r="AR107" s="22"/>
      <c r="AS107">
        <v>23</v>
      </c>
      <c r="AT107">
        <v>5.0999999999999996</v>
      </c>
      <c r="AU107">
        <v>272</v>
      </c>
      <c r="AV107">
        <v>180</v>
      </c>
      <c r="AZ107">
        <v>458</v>
      </c>
      <c r="BA107">
        <v>25</v>
      </c>
      <c r="BB107">
        <v>13</v>
      </c>
      <c r="BC107">
        <v>142</v>
      </c>
    </row>
    <row r="108" spans="3:55" ht="15" x14ac:dyDescent="0.25">
      <c r="C108">
        <v>25</v>
      </c>
      <c r="D108" t="s">
        <v>43</v>
      </c>
      <c r="E108">
        <v>6</v>
      </c>
      <c r="F108" s="12">
        <v>1.5719999999999998</v>
      </c>
      <c r="G108">
        <v>393</v>
      </c>
      <c r="H108">
        <v>161</v>
      </c>
      <c r="I108">
        <v>58</v>
      </c>
      <c r="J108">
        <f t="shared" si="4"/>
        <v>165.06</v>
      </c>
      <c r="AE108">
        <v>25</v>
      </c>
      <c r="AF108" t="s">
        <v>43</v>
      </c>
      <c r="AG108">
        <v>6</v>
      </c>
      <c r="AH108">
        <v>161</v>
      </c>
      <c r="AK108" s="9">
        <v>434</v>
      </c>
      <c r="AL108">
        <v>25.5</v>
      </c>
      <c r="AM108">
        <v>72</v>
      </c>
      <c r="AN108">
        <v>172</v>
      </c>
      <c r="AS108">
        <v>23</v>
      </c>
      <c r="AT108">
        <v>10.6</v>
      </c>
      <c r="AU108">
        <v>148</v>
      </c>
      <c r="AV108">
        <v>54</v>
      </c>
      <c r="AZ108">
        <v>479</v>
      </c>
      <c r="BA108">
        <v>25</v>
      </c>
      <c r="BB108">
        <v>10.5</v>
      </c>
      <c r="BC108">
        <v>209</v>
      </c>
    </row>
    <row r="109" spans="3:55" ht="15" x14ac:dyDescent="0.25">
      <c r="C109" t="s">
        <v>397</v>
      </c>
      <c r="D109" t="s">
        <v>43</v>
      </c>
      <c r="E109" s="9">
        <v>10.327272727272726</v>
      </c>
      <c r="F109" s="12">
        <v>0.8668309859154929</v>
      </c>
      <c r="G109">
        <v>373</v>
      </c>
      <c r="H109">
        <v>161</v>
      </c>
      <c r="I109" s="9">
        <v>57</v>
      </c>
      <c r="J109">
        <f t="shared" si="4"/>
        <v>160.39000000000001</v>
      </c>
      <c r="AE109" t="s">
        <v>397</v>
      </c>
      <c r="AF109" t="s">
        <v>43</v>
      </c>
      <c r="AG109" s="9">
        <v>10.327272727272726</v>
      </c>
      <c r="AH109">
        <v>161</v>
      </c>
      <c r="AJ109" s="9"/>
      <c r="AK109" s="9">
        <v>437.5</v>
      </c>
      <c r="AL109">
        <v>20</v>
      </c>
      <c r="AM109">
        <v>40</v>
      </c>
      <c r="AN109">
        <v>108.33333333333333</v>
      </c>
      <c r="AS109">
        <v>23</v>
      </c>
      <c r="AT109">
        <v>9.9</v>
      </c>
      <c r="AU109">
        <v>148</v>
      </c>
      <c r="AV109">
        <v>74</v>
      </c>
      <c r="AZ109">
        <v>481</v>
      </c>
      <c r="BA109">
        <v>30</v>
      </c>
      <c r="BB109">
        <v>32</v>
      </c>
      <c r="BC109">
        <v>116</v>
      </c>
    </row>
    <row r="110" spans="3:55" ht="15" x14ac:dyDescent="0.25">
      <c r="C110" t="s">
        <v>322</v>
      </c>
      <c r="D110" t="s">
        <v>43</v>
      </c>
      <c r="E110">
        <v>4</v>
      </c>
      <c r="F110" s="12">
        <v>3.7619999999999996</v>
      </c>
      <c r="G110">
        <v>627</v>
      </c>
      <c r="H110">
        <v>163.01999999999998</v>
      </c>
      <c r="I110">
        <v>74</v>
      </c>
      <c r="J110">
        <f t="shared" si="4"/>
        <v>163.01999999999998</v>
      </c>
      <c r="AE110" t="s">
        <v>322</v>
      </c>
      <c r="AF110" t="s">
        <v>43</v>
      </c>
      <c r="AG110">
        <v>4</v>
      </c>
      <c r="AH110">
        <v>163.01999999999998</v>
      </c>
      <c r="AK110" s="9">
        <v>442.70833333333331</v>
      </c>
      <c r="AL110">
        <v>20</v>
      </c>
      <c r="AM110">
        <v>10</v>
      </c>
      <c r="AN110">
        <v>69.270833333333329</v>
      </c>
      <c r="AR110" s="3"/>
      <c r="AS110">
        <v>23</v>
      </c>
      <c r="AT110">
        <v>5.7</v>
      </c>
      <c r="AU110">
        <v>235</v>
      </c>
      <c r="AV110">
        <v>101</v>
      </c>
      <c r="AZ110" s="3">
        <v>491</v>
      </c>
      <c r="BA110" s="3">
        <v>9</v>
      </c>
      <c r="BB110" s="3">
        <v>12</v>
      </c>
      <c r="BC110">
        <v>201</v>
      </c>
    </row>
    <row r="111" spans="3:55" ht="15" x14ac:dyDescent="0.25">
      <c r="C111" s="5">
        <v>21</v>
      </c>
      <c r="D111" s="13">
        <v>0.16666666666666666</v>
      </c>
      <c r="E111" s="3">
        <v>6</v>
      </c>
      <c r="F111" s="8">
        <v>0.97199999999999998</v>
      </c>
      <c r="G111" s="6">
        <v>243</v>
      </c>
      <c r="H111" s="3">
        <v>165</v>
      </c>
      <c r="I111" s="7">
        <v>31</v>
      </c>
      <c r="J111">
        <f t="shared" si="4"/>
        <v>167.67000000000002</v>
      </c>
      <c r="L111">
        <v>1021</v>
      </c>
      <c r="M111">
        <v>35</v>
      </c>
      <c r="N111">
        <v>52.800000000000004</v>
      </c>
      <c r="O111">
        <v>153.14999999999998</v>
      </c>
      <c r="AE111" s="5">
        <v>21</v>
      </c>
      <c r="AF111" s="13">
        <v>0.16666666666666666</v>
      </c>
      <c r="AG111" s="3">
        <v>6</v>
      </c>
      <c r="AH111" s="3">
        <v>165</v>
      </c>
      <c r="AI111" s="3"/>
      <c r="AJ111" s="7"/>
      <c r="AK111">
        <v>444</v>
      </c>
      <c r="AL111">
        <v>20</v>
      </c>
      <c r="AM111">
        <v>9.6</v>
      </c>
      <c r="AN111">
        <v>228</v>
      </c>
      <c r="AS111">
        <v>23</v>
      </c>
      <c r="AT111">
        <v>5.7</v>
      </c>
      <c r="AU111">
        <v>235</v>
      </c>
      <c r="AV111">
        <v>145</v>
      </c>
      <c r="AZ111">
        <v>562</v>
      </c>
      <c r="BA111">
        <v>25</v>
      </c>
      <c r="BB111">
        <v>9.5</v>
      </c>
      <c r="BC111">
        <v>516</v>
      </c>
    </row>
    <row r="112" spans="3:55" ht="15" x14ac:dyDescent="0.25">
      <c r="C112">
        <v>18.5</v>
      </c>
      <c r="D112">
        <v>7.1999999999999998E-3</v>
      </c>
      <c r="E112">
        <v>3.6</v>
      </c>
      <c r="F112" s="12">
        <v>3.1666666666666665</v>
      </c>
      <c r="G112">
        <v>475</v>
      </c>
      <c r="H112">
        <v>165</v>
      </c>
      <c r="I112" s="9">
        <v>65.26315789473685</v>
      </c>
      <c r="J112">
        <f t="shared" si="4"/>
        <v>165</v>
      </c>
      <c r="L112">
        <v>1026</v>
      </c>
      <c r="M112">
        <v>35</v>
      </c>
      <c r="N112">
        <v>52.800000000000004</v>
      </c>
      <c r="O112">
        <v>167</v>
      </c>
      <c r="AE112">
        <v>18.5</v>
      </c>
      <c r="AF112">
        <v>7.1999999999999998E-3</v>
      </c>
      <c r="AG112">
        <v>3.6</v>
      </c>
      <c r="AH112">
        <v>165</v>
      </c>
      <c r="AJ112" s="9"/>
      <c r="AK112">
        <v>452</v>
      </c>
      <c r="AL112">
        <v>22.7</v>
      </c>
      <c r="AM112">
        <v>5.7</v>
      </c>
      <c r="AN112">
        <v>235.04000000000002</v>
      </c>
      <c r="AS112">
        <v>23</v>
      </c>
      <c r="AT112">
        <v>7.8</v>
      </c>
      <c r="AU112">
        <v>218</v>
      </c>
      <c r="AV112">
        <v>81</v>
      </c>
      <c r="AZ112">
        <v>612</v>
      </c>
      <c r="BA112">
        <v>23</v>
      </c>
      <c r="BB112">
        <v>24</v>
      </c>
      <c r="BC112">
        <v>157</v>
      </c>
    </row>
    <row r="113" spans="3:55" ht="15" x14ac:dyDescent="0.25">
      <c r="C113">
        <v>17</v>
      </c>
      <c r="D113" t="s">
        <v>307</v>
      </c>
      <c r="E113">
        <v>18</v>
      </c>
      <c r="F113" s="12">
        <v>0.84933333333333338</v>
      </c>
      <c r="G113">
        <v>637</v>
      </c>
      <c r="H113">
        <v>165.62</v>
      </c>
      <c r="I113">
        <v>74</v>
      </c>
      <c r="J113">
        <f t="shared" si="4"/>
        <v>165.62</v>
      </c>
      <c r="L113">
        <v>1042</v>
      </c>
      <c r="M113">
        <v>16</v>
      </c>
      <c r="N113">
        <v>48</v>
      </c>
      <c r="O113">
        <v>520</v>
      </c>
      <c r="AE113">
        <v>17</v>
      </c>
      <c r="AF113" t="s">
        <v>307</v>
      </c>
      <c r="AG113">
        <v>18</v>
      </c>
      <c r="AH113">
        <v>165.62</v>
      </c>
      <c r="AK113">
        <v>452</v>
      </c>
      <c r="AL113">
        <v>24.3</v>
      </c>
      <c r="AM113">
        <v>5.9</v>
      </c>
      <c r="AN113">
        <v>230.52</v>
      </c>
      <c r="AS113">
        <v>28</v>
      </c>
      <c r="AT113">
        <v>6</v>
      </c>
      <c r="AU113">
        <v>380</v>
      </c>
      <c r="AV113">
        <v>58</v>
      </c>
      <c r="AZ113">
        <v>612</v>
      </c>
      <c r="BA113">
        <v>23</v>
      </c>
      <c r="BB113">
        <v>36</v>
      </c>
      <c r="BC113">
        <v>148</v>
      </c>
    </row>
    <row r="114" spans="3:55" ht="15" customHeight="1" x14ac:dyDescent="0.2">
      <c r="C114" t="s">
        <v>43</v>
      </c>
      <c r="D114" t="s">
        <v>43</v>
      </c>
      <c r="E114">
        <v>5</v>
      </c>
      <c r="F114">
        <v>1.85</v>
      </c>
      <c r="G114" s="9">
        <v>386</v>
      </c>
      <c r="H114">
        <v>166</v>
      </c>
      <c r="I114">
        <v>57</v>
      </c>
      <c r="J114">
        <f t="shared" si="4"/>
        <v>165.98000000000002</v>
      </c>
      <c r="L114">
        <v>1050</v>
      </c>
      <c r="M114">
        <v>35</v>
      </c>
      <c r="N114">
        <v>33.599999999999994</v>
      </c>
      <c r="O114">
        <v>281</v>
      </c>
      <c r="AE114" t="s">
        <v>43</v>
      </c>
      <c r="AF114" t="s">
        <v>43</v>
      </c>
      <c r="AG114">
        <v>5</v>
      </c>
      <c r="AH114">
        <v>166</v>
      </c>
      <c r="AK114">
        <v>459</v>
      </c>
      <c r="AL114">
        <v>22</v>
      </c>
      <c r="AM114">
        <v>7.2</v>
      </c>
      <c r="AN114">
        <v>206</v>
      </c>
      <c r="AS114">
        <v>27</v>
      </c>
      <c r="AT114">
        <v>9.5</v>
      </c>
      <c r="AU114">
        <v>292</v>
      </c>
      <c r="AV114">
        <v>242</v>
      </c>
      <c r="AZ114">
        <v>612</v>
      </c>
      <c r="BA114">
        <v>23</v>
      </c>
      <c r="BB114">
        <v>48</v>
      </c>
      <c r="BC114">
        <v>125</v>
      </c>
    </row>
    <row r="115" spans="3:55" ht="15" x14ac:dyDescent="0.25">
      <c r="C115">
        <v>35</v>
      </c>
      <c r="D115" t="s">
        <v>43</v>
      </c>
      <c r="E115">
        <v>52.800000000000004</v>
      </c>
      <c r="F115">
        <v>0.45</v>
      </c>
      <c r="G115" s="9">
        <v>1026</v>
      </c>
      <c r="H115" s="3">
        <v>167</v>
      </c>
      <c r="I115" s="7">
        <v>82.4</v>
      </c>
      <c r="J115">
        <f t="shared" si="4"/>
        <v>180.57599999999991</v>
      </c>
      <c r="L115">
        <v>1076</v>
      </c>
      <c r="M115">
        <v>35</v>
      </c>
      <c r="N115">
        <v>72</v>
      </c>
      <c r="O115">
        <v>209</v>
      </c>
      <c r="AE115">
        <v>35</v>
      </c>
      <c r="AF115" t="s">
        <v>43</v>
      </c>
      <c r="AG115">
        <v>52.800000000000004</v>
      </c>
      <c r="AH115" s="3">
        <v>167</v>
      </c>
      <c r="AI115" s="3"/>
      <c r="AJ115" s="7"/>
      <c r="AK115">
        <v>475</v>
      </c>
      <c r="AL115">
        <v>18.5</v>
      </c>
      <c r="AM115">
        <v>3.6</v>
      </c>
      <c r="AN115">
        <v>165</v>
      </c>
      <c r="AS115">
        <v>27</v>
      </c>
      <c r="AT115">
        <v>9.3000000000000007</v>
      </c>
      <c r="AU115">
        <v>121</v>
      </c>
      <c r="AV115">
        <v>72</v>
      </c>
      <c r="AZ115" s="3">
        <v>623</v>
      </c>
      <c r="BA115" s="3">
        <v>24</v>
      </c>
      <c r="BB115" s="3">
        <v>48</v>
      </c>
      <c r="BC115" s="6">
        <v>116</v>
      </c>
    </row>
    <row r="116" spans="3:55" ht="15" x14ac:dyDescent="0.25">
      <c r="C116">
        <v>21</v>
      </c>
      <c r="D116" t="s">
        <v>43</v>
      </c>
      <c r="E116">
        <v>6</v>
      </c>
      <c r="F116" s="12">
        <v>2.2759999999999998</v>
      </c>
      <c r="G116">
        <v>569</v>
      </c>
      <c r="H116">
        <v>167</v>
      </c>
      <c r="I116">
        <v>71</v>
      </c>
      <c r="J116">
        <f t="shared" si="4"/>
        <v>165.01000000000005</v>
      </c>
      <c r="L116">
        <v>1141</v>
      </c>
      <c r="M116">
        <v>27</v>
      </c>
      <c r="N116">
        <v>48</v>
      </c>
      <c r="O116">
        <v>385</v>
      </c>
      <c r="AE116">
        <v>21</v>
      </c>
      <c r="AF116" t="s">
        <v>43</v>
      </c>
      <c r="AG116">
        <v>6</v>
      </c>
      <c r="AH116">
        <v>167</v>
      </c>
      <c r="AK116" s="6">
        <v>475.2</v>
      </c>
      <c r="AL116">
        <v>19</v>
      </c>
      <c r="AM116">
        <v>6</v>
      </c>
      <c r="AN116">
        <v>292.93150684931504</v>
      </c>
      <c r="AS116">
        <v>27</v>
      </c>
      <c r="AT116">
        <v>11.8</v>
      </c>
      <c r="AU116">
        <v>894</v>
      </c>
      <c r="AV116">
        <v>452</v>
      </c>
      <c r="AW116" s="9"/>
      <c r="AZ116" s="3">
        <v>623</v>
      </c>
      <c r="BA116" s="3">
        <v>24</v>
      </c>
      <c r="BB116">
        <v>96</v>
      </c>
      <c r="BC116">
        <v>113</v>
      </c>
    </row>
    <row r="117" spans="3:55" ht="15" x14ac:dyDescent="0.25">
      <c r="C117">
        <v>25</v>
      </c>
      <c r="D117" t="s">
        <v>43</v>
      </c>
      <c r="E117">
        <v>6</v>
      </c>
      <c r="F117" s="12">
        <v>1.4920000000000002</v>
      </c>
      <c r="G117">
        <v>373</v>
      </c>
      <c r="H117">
        <v>167</v>
      </c>
      <c r="I117" s="9">
        <v>55.227882037533519</v>
      </c>
      <c r="J117">
        <f t="shared" si="4"/>
        <v>167</v>
      </c>
      <c r="L117">
        <v>1267</v>
      </c>
      <c r="M117">
        <v>24</v>
      </c>
      <c r="N117">
        <v>48</v>
      </c>
      <c r="O117">
        <v>555</v>
      </c>
      <c r="AE117">
        <v>25</v>
      </c>
      <c r="AF117" t="s">
        <v>43</v>
      </c>
      <c r="AG117">
        <v>6</v>
      </c>
      <c r="AH117">
        <v>167</v>
      </c>
      <c r="AJ117" s="9"/>
      <c r="AK117" s="9">
        <v>475.66</v>
      </c>
      <c r="AL117">
        <v>20</v>
      </c>
      <c r="AN117">
        <v>52.53</v>
      </c>
      <c r="AS117">
        <v>27</v>
      </c>
      <c r="AT117">
        <v>9.8000000000000007</v>
      </c>
      <c r="AU117">
        <v>791</v>
      </c>
      <c r="AV117" s="6">
        <v>386</v>
      </c>
      <c r="AW117" s="7"/>
      <c r="AZ117">
        <v>692</v>
      </c>
      <c r="BA117">
        <v>27.4</v>
      </c>
      <c r="BB117">
        <v>7.5</v>
      </c>
      <c r="BC117">
        <v>18</v>
      </c>
    </row>
    <row r="118" spans="3:55" ht="15" x14ac:dyDescent="0.25">
      <c r="C118">
        <v>20</v>
      </c>
      <c r="D118">
        <v>0.7</v>
      </c>
      <c r="E118">
        <v>4</v>
      </c>
      <c r="F118" s="12">
        <v>2.544</v>
      </c>
      <c r="G118">
        <v>424</v>
      </c>
      <c r="H118">
        <v>169</v>
      </c>
      <c r="I118" s="9">
        <v>60.141509433962256</v>
      </c>
      <c r="J118">
        <f>G118-G118*(I118/100)</f>
        <v>169.00000000000003</v>
      </c>
      <c r="L118">
        <v>1267</v>
      </c>
      <c r="M118">
        <v>24</v>
      </c>
      <c r="N118">
        <v>96</v>
      </c>
      <c r="O118">
        <v>530</v>
      </c>
      <c r="AE118">
        <v>20</v>
      </c>
      <c r="AF118">
        <v>0.7</v>
      </c>
      <c r="AG118">
        <v>4</v>
      </c>
      <c r="AH118">
        <v>169</v>
      </c>
      <c r="AJ118" s="9"/>
      <c r="AK118" s="6">
        <v>489.6</v>
      </c>
      <c r="AL118">
        <v>9</v>
      </c>
      <c r="AM118">
        <v>12</v>
      </c>
      <c r="AN118">
        <v>274.58447276940905</v>
      </c>
      <c r="AR118" s="3"/>
      <c r="AS118">
        <v>27</v>
      </c>
      <c r="AT118">
        <v>10.4</v>
      </c>
      <c r="AU118">
        <v>326</v>
      </c>
      <c r="AV118">
        <v>141</v>
      </c>
      <c r="AW118" s="9"/>
      <c r="AZ118">
        <v>791</v>
      </c>
      <c r="BA118">
        <v>27</v>
      </c>
      <c r="BB118">
        <v>9.8000000000000007</v>
      </c>
      <c r="BC118" s="6">
        <v>386</v>
      </c>
    </row>
    <row r="119" spans="3:55" ht="15" x14ac:dyDescent="0.25">
      <c r="C119" t="s">
        <v>330</v>
      </c>
      <c r="D119" t="s">
        <v>43</v>
      </c>
      <c r="E119">
        <v>6</v>
      </c>
      <c r="F119" s="12">
        <v>2.2520000000000002</v>
      </c>
      <c r="G119">
        <v>563</v>
      </c>
      <c r="H119">
        <v>169</v>
      </c>
      <c r="I119" s="9">
        <v>69.982238010657198</v>
      </c>
      <c r="J119">
        <f t="shared" ref="J119:J136" si="5">G119-G119*(I119/100)</f>
        <v>169</v>
      </c>
      <c r="L119">
        <v>1300</v>
      </c>
      <c r="M119">
        <v>22.7</v>
      </c>
      <c r="N119">
        <v>9.1</v>
      </c>
      <c r="O119">
        <v>752</v>
      </c>
      <c r="AE119" t="s">
        <v>330</v>
      </c>
      <c r="AF119" t="s">
        <v>43</v>
      </c>
      <c r="AG119">
        <v>6</v>
      </c>
      <c r="AH119">
        <v>169</v>
      </c>
      <c r="AJ119" s="9"/>
      <c r="AK119">
        <v>492</v>
      </c>
      <c r="AL119">
        <v>15</v>
      </c>
      <c r="AM119">
        <v>8</v>
      </c>
      <c r="AN119">
        <v>178</v>
      </c>
      <c r="AR119" s="3"/>
      <c r="AS119">
        <v>27</v>
      </c>
      <c r="AT119">
        <v>8.8000000000000007</v>
      </c>
      <c r="AU119">
        <v>151</v>
      </c>
      <c r="AV119">
        <v>58</v>
      </c>
      <c r="AW119" s="9"/>
      <c r="AZ119">
        <v>833</v>
      </c>
      <c r="BA119">
        <v>22.7</v>
      </c>
      <c r="BB119">
        <v>9.1</v>
      </c>
      <c r="BC119">
        <v>569</v>
      </c>
    </row>
    <row r="120" spans="3:55" ht="15" x14ac:dyDescent="0.25">
      <c r="C120">
        <v>19</v>
      </c>
      <c r="D120" t="s">
        <v>307</v>
      </c>
      <c r="E120">
        <v>18</v>
      </c>
      <c r="F120" s="12">
        <v>0.84933333333333338</v>
      </c>
      <c r="G120">
        <v>637</v>
      </c>
      <c r="H120">
        <v>171.99</v>
      </c>
      <c r="I120">
        <v>73</v>
      </c>
      <c r="J120">
        <f t="shared" si="5"/>
        <v>171.99</v>
      </c>
      <c r="L120">
        <v>1716</v>
      </c>
      <c r="M120">
        <v>16</v>
      </c>
      <c r="N120">
        <v>103.19999999999999</v>
      </c>
      <c r="O120">
        <v>1155</v>
      </c>
      <c r="AE120">
        <v>19</v>
      </c>
      <c r="AF120" t="s">
        <v>307</v>
      </c>
      <c r="AG120">
        <v>18</v>
      </c>
      <c r="AH120">
        <v>171.99</v>
      </c>
      <c r="AK120">
        <v>492</v>
      </c>
      <c r="AL120">
        <v>23</v>
      </c>
      <c r="AM120">
        <v>7.7</v>
      </c>
      <c r="AN120">
        <v>202</v>
      </c>
      <c r="AS120">
        <v>27</v>
      </c>
      <c r="AT120">
        <v>10.199999999999999</v>
      </c>
      <c r="AU120">
        <v>398</v>
      </c>
      <c r="AV120">
        <v>132</v>
      </c>
      <c r="AZ120">
        <v>894</v>
      </c>
      <c r="BA120">
        <v>27</v>
      </c>
      <c r="BB120">
        <v>11.8</v>
      </c>
      <c r="BC120">
        <v>452</v>
      </c>
    </row>
    <row r="121" spans="3:55" ht="15" x14ac:dyDescent="0.25">
      <c r="C121">
        <v>19</v>
      </c>
      <c r="D121" t="s">
        <v>307</v>
      </c>
      <c r="E121">
        <v>14</v>
      </c>
      <c r="F121" s="12">
        <v>1.0919999999999999</v>
      </c>
      <c r="G121">
        <v>637</v>
      </c>
      <c r="H121">
        <v>171.99</v>
      </c>
      <c r="I121">
        <v>73</v>
      </c>
      <c r="J121">
        <f t="shared" si="5"/>
        <v>171.99</v>
      </c>
      <c r="L121">
        <v>1716</v>
      </c>
      <c r="M121" s="9">
        <v>9</v>
      </c>
      <c r="N121">
        <v>103.19999999999999</v>
      </c>
      <c r="O121">
        <v>602</v>
      </c>
      <c r="AE121">
        <v>19</v>
      </c>
      <c r="AF121" t="s">
        <v>307</v>
      </c>
      <c r="AG121">
        <v>14</v>
      </c>
      <c r="AH121">
        <v>171.99</v>
      </c>
      <c r="AK121">
        <v>509</v>
      </c>
      <c r="AL121">
        <v>23</v>
      </c>
      <c r="AM121">
        <v>5.7</v>
      </c>
      <c r="AN121">
        <v>259</v>
      </c>
      <c r="AS121">
        <v>27</v>
      </c>
      <c r="AT121">
        <v>8.5</v>
      </c>
      <c r="AU121">
        <v>386</v>
      </c>
      <c r="AV121">
        <v>114</v>
      </c>
      <c r="AW121" s="9"/>
      <c r="AZ121" s="10"/>
      <c r="BA121" s="3"/>
      <c r="BB121" s="3"/>
      <c r="BC121" s="6"/>
    </row>
    <row r="122" spans="3:55" ht="15" x14ac:dyDescent="0.25">
      <c r="C122">
        <v>25.5</v>
      </c>
      <c r="D122" s="20">
        <v>5.6588424210451668E-2</v>
      </c>
      <c r="E122">
        <v>72</v>
      </c>
      <c r="F122" s="12">
        <v>0.14466666666666669</v>
      </c>
      <c r="G122" s="9">
        <v>434</v>
      </c>
      <c r="H122">
        <v>172</v>
      </c>
      <c r="I122" s="9">
        <v>60.36866359447005</v>
      </c>
      <c r="J122">
        <f t="shared" si="5"/>
        <v>172</v>
      </c>
      <c r="L122">
        <v>2404.5</v>
      </c>
      <c r="M122">
        <v>13</v>
      </c>
      <c r="N122">
        <v>60</v>
      </c>
      <c r="O122">
        <v>488.11349999999993</v>
      </c>
      <c r="AE122">
        <v>25.5</v>
      </c>
      <c r="AF122" s="20">
        <v>5.6588424210451668E-2</v>
      </c>
      <c r="AG122">
        <v>72</v>
      </c>
      <c r="AH122">
        <v>172</v>
      </c>
      <c r="AJ122" s="9"/>
      <c r="AK122">
        <v>509</v>
      </c>
      <c r="AL122">
        <v>23</v>
      </c>
      <c r="AM122">
        <v>5.7</v>
      </c>
      <c r="AN122">
        <v>272</v>
      </c>
    </row>
    <row r="123" spans="3:55" ht="15" x14ac:dyDescent="0.25">
      <c r="C123">
        <v>25</v>
      </c>
      <c r="D123" t="s">
        <v>43</v>
      </c>
      <c r="E123">
        <v>4</v>
      </c>
      <c r="F123" s="12">
        <v>2.238</v>
      </c>
      <c r="G123">
        <v>373</v>
      </c>
      <c r="H123">
        <v>173</v>
      </c>
      <c r="I123" s="9">
        <v>53.619302949061662</v>
      </c>
      <c r="J123">
        <f t="shared" si="5"/>
        <v>173</v>
      </c>
      <c r="L123">
        <v>2897</v>
      </c>
      <c r="M123">
        <v>17</v>
      </c>
      <c r="N123">
        <v>103.19999999999999</v>
      </c>
      <c r="O123">
        <v>865</v>
      </c>
      <c r="AE123">
        <v>25</v>
      </c>
      <c r="AF123" t="s">
        <v>43</v>
      </c>
      <c r="AG123">
        <v>4</v>
      </c>
      <c r="AH123">
        <v>173</v>
      </c>
      <c r="AJ123" s="9"/>
      <c r="AK123">
        <v>532</v>
      </c>
      <c r="AL123">
        <v>23</v>
      </c>
      <c r="AM123">
        <v>6</v>
      </c>
      <c r="AN123">
        <v>195</v>
      </c>
      <c r="AR123" s="5"/>
    </row>
    <row r="124" spans="3:55" ht="15" x14ac:dyDescent="0.25">
      <c r="C124">
        <v>17</v>
      </c>
      <c r="D124" t="s">
        <v>43</v>
      </c>
      <c r="E124">
        <v>5.5</v>
      </c>
      <c r="F124" s="8">
        <v>2.474181818181818</v>
      </c>
      <c r="G124">
        <v>567</v>
      </c>
      <c r="H124">
        <v>175</v>
      </c>
      <c r="I124" s="9">
        <v>69.135802469135797</v>
      </c>
      <c r="J124">
        <f t="shared" si="5"/>
        <v>175</v>
      </c>
      <c r="K124" s="9"/>
      <c r="L124">
        <v>4004</v>
      </c>
      <c r="M124">
        <v>18</v>
      </c>
      <c r="N124">
        <v>60</v>
      </c>
      <c r="O124">
        <v>244.24399999999969</v>
      </c>
      <c r="AE124">
        <v>17</v>
      </c>
      <c r="AF124" t="s">
        <v>43</v>
      </c>
      <c r="AG124">
        <v>5.5</v>
      </c>
      <c r="AH124">
        <v>175</v>
      </c>
      <c r="AJ124" s="9"/>
      <c r="AK124">
        <v>539</v>
      </c>
      <c r="AL124" s="9">
        <v>23</v>
      </c>
      <c r="AM124">
        <v>24</v>
      </c>
      <c r="AN124">
        <v>50</v>
      </c>
    </row>
    <row r="125" spans="3:55" ht="15" x14ac:dyDescent="0.25">
      <c r="C125" t="s">
        <v>330</v>
      </c>
      <c r="D125" t="s">
        <v>43</v>
      </c>
      <c r="E125">
        <v>6</v>
      </c>
      <c r="F125" s="12">
        <v>2.2520000000000002</v>
      </c>
      <c r="G125">
        <v>563</v>
      </c>
      <c r="H125">
        <v>178</v>
      </c>
      <c r="I125" s="9">
        <v>68.383658969804614</v>
      </c>
      <c r="J125">
        <f t="shared" si="5"/>
        <v>178</v>
      </c>
      <c r="AE125" t="s">
        <v>330</v>
      </c>
      <c r="AF125" t="s">
        <v>43</v>
      </c>
      <c r="AG125">
        <v>6</v>
      </c>
      <c r="AH125">
        <v>178</v>
      </c>
      <c r="AJ125" s="9"/>
      <c r="AK125">
        <v>539</v>
      </c>
      <c r="AL125" s="9">
        <v>23</v>
      </c>
      <c r="AM125">
        <v>48</v>
      </c>
      <c r="AN125">
        <v>71</v>
      </c>
    </row>
    <row r="126" spans="3:55" ht="15" x14ac:dyDescent="0.25">
      <c r="C126">
        <v>15</v>
      </c>
      <c r="D126">
        <v>0.5</v>
      </c>
      <c r="E126">
        <v>8</v>
      </c>
      <c r="F126" s="12">
        <v>1.4760000000000002</v>
      </c>
      <c r="G126">
        <v>492</v>
      </c>
      <c r="H126">
        <v>178</v>
      </c>
      <c r="I126" s="9">
        <v>61</v>
      </c>
      <c r="J126">
        <f t="shared" si="5"/>
        <v>191.88</v>
      </c>
      <c r="AE126">
        <v>15</v>
      </c>
      <c r="AF126">
        <v>0.5</v>
      </c>
      <c r="AG126">
        <v>8</v>
      </c>
      <c r="AH126">
        <v>178</v>
      </c>
      <c r="AJ126" s="9"/>
      <c r="AK126">
        <v>539</v>
      </c>
      <c r="AL126" s="9">
        <v>23</v>
      </c>
      <c r="AM126">
        <v>36</v>
      </c>
      <c r="AN126">
        <v>71</v>
      </c>
      <c r="AS126" s="22"/>
      <c r="BA126" s="22"/>
    </row>
    <row r="127" spans="3:55" ht="15" x14ac:dyDescent="0.25">
      <c r="C127">
        <v>17</v>
      </c>
      <c r="D127" t="s">
        <v>307</v>
      </c>
      <c r="E127">
        <v>14</v>
      </c>
      <c r="F127" s="12">
        <v>1.0919999999999999</v>
      </c>
      <c r="G127">
        <v>637</v>
      </c>
      <c r="H127">
        <v>178.36</v>
      </c>
      <c r="I127">
        <v>72</v>
      </c>
      <c r="J127">
        <f t="shared" si="5"/>
        <v>178.36</v>
      </c>
      <c r="AE127">
        <v>17</v>
      </c>
      <c r="AF127" t="s">
        <v>307</v>
      </c>
      <c r="AG127">
        <v>14</v>
      </c>
      <c r="AH127">
        <v>178.36</v>
      </c>
      <c r="AK127">
        <v>539</v>
      </c>
      <c r="AL127">
        <v>27</v>
      </c>
      <c r="AM127">
        <v>10.199999999999999</v>
      </c>
      <c r="AN127">
        <v>274</v>
      </c>
    </row>
    <row r="128" spans="3:55" ht="15" x14ac:dyDescent="0.25">
      <c r="C128" t="s">
        <v>397</v>
      </c>
      <c r="D128" t="s">
        <v>43</v>
      </c>
      <c r="E128">
        <v>21.6</v>
      </c>
      <c r="F128" s="12">
        <v>0.45999999999999996</v>
      </c>
      <c r="G128">
        <v>414</v>
      </c>
      <c r="H128">
        <v>179</v>
      </c>
      <c r="I128" s="9">
        <v>57</v>
      </c>
      <c r="J128">
        <f t="shared" si="5"/>
        <v>178.02</v>
      </c>
      <c r="AE128" t="s">
        <v>397</v>
      </c>
      <c r="AF128" t="s">
        <v>43</v>
      </c>
      <c r="AG128">
        <v>21.6</v>
      </c>
      <c r="AH128">
        <v>179</v>
      </c>
      <c r="AJ128" s="9"/>
      <c r="AK128">
        <v>547</v>
      </c>
      <c r="AL128">
        <v>27</v>
      </c>
      <c r="AM128">
        <v>11.8</v>
      </c>
      <c r="AN128">
        <v>245</v>
      </c>
      <c r="AS128" s="22"/>
      <c r="BA128" s="22"/>
    </row>
    <row r="129" spans="3:55" ht="15" customHeight="1" x14ac:dyDescent="0.25">
      <c r="C129" t="s">
        <v>43</v>
      </c>
      <c r="D129" t="s">
        <v>43</v>
      </c>
      <c r="E129">
        <v>6</v>
      </c>
      <c r="F129">
        <v>1.76</v>
      </c>
      <c r="G129">
        <v>441</v>
      </c>
      <c r="H129">
        <v>182</v>
      </c>
      <c r="I129">
        <v>59</v>
      </c>
      <c r="J129">
        <f t="shared" si="5"/>
        <v>180.81</v>
      </c>
      <c r="AE129" t="s">
        <v>43</v>
      </c>
      <c r="AF129" t="s">
        <v>43</v>
      </c>
      <c r="AG129">
        <v>6</v>
      </c>
      <c r="AH129">
        <v>182</v>
      </c>
      <c r="AK129">
        <v>549</v>
      </c>
      <c r="AL129">
        <v>31</v>
      </c>
      <c r="AM129">
        <v>9.4</v>
      </c>
      <c r="AN129">
        <v>137</v>
      </c>
      <c r="AR129" s="3"/>
      <c r="AS129" s="3"/>
      <c r="AT129" s="3"/>
      <c r="AU129" s="3"/>
      <c r="AW129" s="9"/>
      <c r="AZ129" s="3"/>
      <c r="BA129" s="3"/>
      <c r="BB129" s="3"/>
    </row>
    <row r="130" spans="3:55" ht="15" x14ac:dyDescent="0.25">
      <c r="C130">
        <v>25</v>
      </c>
      <c r="D130" t="s">
        <v>43</v>
      </c>
      <c r="E130">
        <v>4</v>
      </c>
      <c r="F130" s="8">
        <v>3.516</v>
      </c>
      <c r="G130">
        <v>586</v>
      </c>
      <c r="H130">
        <v>184</v>
      </c>
      <c r="I130" s="9">
        <v>68.600682593856661</v>
      </c>
      <c r="J130">
        <f t="shared" si="5"/>
        <v>183.99999999999994</v>
      </c>
      <c r="AE130">
        <v>25</v>
      </c>
      <c r="AF130" t="s">
        <v>43</v>
      </c>
      <c r="AG130">
        <v>4</v>
      </c>
      <c r="AH130">
        <v>184</v>
      </c>
      <c r="AJ130" s="9"/>
      <c r="AK130">
        <v>553</v>
      </c>
      <c r="AL130" s="9">
        <v>22.5</v>
      </c>
      <c r="AM130">
        <v>5.7</v>
      </c>
      <c r="AN130">
        <v>243.32</v>
      </c>
      <c r="AS130" s="5"/>
      <c r="AW130" s="9"/>
      <c r="BA130" s="5"/>
    </row>
    <row r="131" spans="3:55" ht="15" x14ac:dyDescent="0.25">
      <c r="C131" s="3">
        <v>17</v>
      </c>
      <c r="D131" s="10"/>
      <c r="E131" s="3">
        <v>18</v>
      </c>
      <c r="F131" s="3">
        <v>1</v>
      </c>
      <c r="G131" s="6">
        <v>432</v>
      </c>
      <c r="H131" s="3">
        <v>186.62400000000002</v>
      </c>
      <c r="I131" s="7">
        <v>56.8</v>
      </c>
      <c r="J131">
        <f t="shared" si="5"/>
        <v>186.62400000000002</v>
      </c>
      <c r="AE131" s="3">
        <v>17</v>
      </c>
      <c r="AF131" s="10"/>
      <c r="AG131" s="3">
        <v>18</v>
      </c>
      <c r="AH131" s="3">
        <v>186.62400000000002</v>
      </c>
      <c r="AI131" s="3"/>
      <c r="AJ131" s="7"/>
      <c r="AK131">
        <v>553</v>
      </c>
      <c r="AL131" s="9">
        <v>22.5</v>
      </c>
      <c r="AM131">
        <v>2.8</v>
      </c>
      <c r="AN131">
        <v>276.5</v>
      </c>
      <c r="AS131" s="5"/>
      <c r="AW131" s="9"/>
      <c r="BA131" s="5"/>
    </row>
    <row r="132" spans="3:55" ht="15" x14ac:dyDescent="0.25">
      <c r="C132">
        <v>18</v>
      </c>
      <c r="E132">
        <v>4.4000000000000004</v>
      </c>
      <c r="F132" s="12">
        <v>1.5545454545454545</v>
      </c>
      <c r="G132">
        <v>285</v>
      </c>
      <c r="H132">
        <v>189</v>
      </c>
      <c r="I132" s="9">
        <v>33.684210526315788</v>
      </c>
      <c r="J132">
        <f t="shared" si="5"/>
        <v>189</v>
      </c>
      <c r="AE132">
        <v>18</v>
      </c>
      <c r="AG132">
        <v>4.4000000000000004</v>
      </c>
      <c r="AH132">
        <v>189</v>
      </c>
      <c r="AJ132" s="9"/>
      <c r="AK132">
        <v>553</v>
      </c>
      <c r="AL132" s="9">
        <v>22.5</v>
      </c>
      <c r="AM132">
        <v>4.4000000000000004</v>
      </c>
      <c r="AN132">
        <v>293.09000000000003</v>
      </c>
      <c r="AS132" s="22"/>
      <c r="AW132" s="9"/>
      <c r="BA132" s="22"/>
    </row>
    <row r="133" spans="3:55" ht="15" x14ac:dyDescent="0.25">
      <c r="C133">
        <v>26</v>
      </c>
      <c r="D133" t="s">
        <v>43</v>
      </c>
      <c r="E133">
        <v>2.7</v>
      </c>
      <c r="F133" s="8">
        <v>5.0844444444444434</v>
      </c>
      <c r="G133">
        <v>572</v>
      </c>
      <c r="H133">
        <v>190</v>
      </c>
      <c r="I133" s="9">
        <v>66.783216783216787</v>
      </c>
      <c r="J133">
        <f t="shared" si="5"/>
        <v>189.99999999999994</v>
      </c>
      <c r="AE133">
        <v>26</v>
      </c>
      <c r="AF133" t="s">
        <v>43</v>
      </c>
      <c r="AG133">
        <v>2.7</v>
      </c>
      <c r="AH133">
        <v>190</v>
      </c>
      <c r="AJ133" s="9"/>
      <c r="AK133">
        <v>555</v>
      </c>
      <c r="AL133">
        <v>27</v>
      </c>
      <c r="AM133">
        <v>6</v>
      </c>
      <c r="AN133">
        <v>213</v>
      </c>
      <c r="AR133" s="22"/>
      <c r="AW133" s="9"/>
    </row>
    <row r="134" spans="3:55" ht="15" customHeight="1" x14ac:dyDescent="0.2">
      <c r="C134">
        <v>13.7</v>
      </c>
      <c r="E134">
        <v>14.5</v>
      </c>
      <c r="F134">
        <v>0.56999999999999995</v>
      </c>
      <c r="G134">
        <v>346</v>
      </c>
      <c r="H134">
        <v>192</v>
      </c>
      <c r="I134" s="9">
        <v>44.508670520231213</v>
      </c>
      <c r="J134">
        <f t="shared" si="5"/>
        <v>192</v>
      </c>
      <c r="AE134">
        <v>13.7</v>
      </c>
      <c r="AG134">
        <v>14.5</v>
      </c>
      <c r="AH134">
        <v>192</v>
      </c>
      <c r="AJ134" s="9"/>
      <c r="AK134">
        <v>559</v>
      </c>
      <c r="AL134">
        <v>23</v>
      </c>
      <c r="AM134">
        <v>5.0999999999999996</v>
      </c>
      <c r="AN134">
        <v>279</v>
      </c>
      <c r="AR134" s="22"/>
      <c r="AW134" s="9"/>
    </row>
    <row r="135" spans="3:55" ht="15" x14ac:dyDescent="0.25">
      <c r="C135">
        <v>25</v>
      </c>
      <c r="D135" t="s">
        <v>43</v>
      </c>
      <c r="E135">
        <v>4</v>
      </c>
      <c r="F135" s="8">
        <v>3.516</v>
      </c>
      <c r="G135">
        <v>586</v>
      </c>
      <c r="H135">
        <v>195</v>
      </c>
      <c r="I135" s="9">
        <v>66.723549488054616</v>
      </c>
      <c r="J135">
        <f t="shared" si="5"/>
        <v>195</v>
      </c>
      <c r="AE135">
        <v>25</v>
      </c>
      <c r="AF135" t="s">
        <v>43</v>
      </c>
      <c r="AG135">
        <v>4</v>
      </c>
      <c r="AH135">
        <v>195</v>
      </c>
      <c r="AJ135" s="9"/>
      <c r="AK135">
        <v>559</v>
      </c>
      <c r="AL135">
        <v>23</v>
      </c>
      <c r="AM135">
        <v>4.9000000000000004</v>
      </c>
      <c r="AN135">
        <v>289</v>
      </c>
      <c r="AR135" s="22"/>
      <c r="AV135" s="6"/>
      <c r="AW135" s="7"/>
      <c r="BC135" s="6"/>
    </row>
    <row r="136" spans="3:55" ht="14.25" customHeight="1" x14ac:dyDescent="0.25">
      <c r="C136" t="s">
        <v>358</v>
      </c>
      <c r="D136" t="s">
        <v>43</v>
      </c>
      <c r="E136">
        <v>6</v>
      </c>
      <c r="F136" s="12">
        <v>2.1280000000000001</v>
      </c>
      <c r="G136">
        <v>532</v>
      </c>
      <c r="H136">
        <v>195</v>
      </c>
      <c r="I136">
        <v>63</v>
      </c>
      <c r="J136">
        <f t="shared" si="5"/>
        <v>196.83999999999997</v>
      </c>
      <c r="AE136" t="s">
        <v>358</v>
      </c>
      <c r="AF136" t="s">
        <v>43</v>
      </c>
      <c r="AG136">
        <v>6</v>
      </c>
      <c r="AH136">
        <v>195</v>
      </c>
      <c r="AK136">
        <v>563</v>
      </c>
      <c r="AL136">
        <v>30</v>
      </c>
      <c r="AM136">
        <v>9.6999999999999993</v>
      </c>
      <c r="AN136">
        <v>202</v>
      </c>
    </row>
    <row r="137" spans="3:55" ht="15" x14ac:dyDescent="0.25">
      <c r="C137">
        <v>25</v>
      </c>
      <c r="D137" s="13">
        <v>0.23578510087688198</v>
      </c>
      <c r="E137">
        <v>6</v>
      </c>
      <c r="F137" s="12">
        <v>2.7919999999999998</v>
      </c>
      <c r="G137">
        <v>698</v>
      </c>
      <c r="H137">
        <v>198</v>
      </c>
      <c r="I137" s="9">
        <v>71.633237822349571</v>
      </c>
      <c r="J137">
        <f>G137-G137*(I137/100)</f>
        <v>198</v>
      </c>
      <c r="AE137">
        <v>25</v>
      </c>
      <c r="AF137" s="13">
        <v>0.23578510087688198</v>
      </c>
      <c r="AG137">
        <v>6</v>
      </c>
      <c r="AH137">
        <v>198</v>
      </c>
      <c r="AJ137" s="9"/>
      <c r="AK137">
        <v>563</v>
      </c>
      <c r="AL137">
        <v>25</v>
      </c>
      <c r="AM137">
        <v>6</v>
      </c>
      <c r="AN137">
        <v>149</v>
      </c>
      <c r="AT137" s="28"/>
      <c r="BB137" s="28"/>
    </row>
    <row r="138" spans="3:55" ht="14.25" customHeight="1" x14ac:dyDescent="0.2">
      <c r="C138">
        <v>13.6</v>
      </c>
      <c r="E138">
        <v>7.7</v>
      </c>
      <c r="F138">
        <v>0.85</v>
      </c>
      <c r="G138">
        <v>274</v>
      </c>
      <c r="H138">
        <v>201</v>
      </c>
      <c r="I138" s="9">
        <v>26.642335766423358</v>
      </c>
      <c r="J138">
        <f>G138-G138*(I138/100)</f>
        <v>201</v>
      </c>
      <c r="AE138">
        <v>13.6</v>
      </c>
      <c r="AG138">
        <v>7.7</v>
      </c>
      <c r="AH138">
        <v>201</v>
      </c>
      <c r="AJ138" s="9"/>
      <c r="AK138">
        <v>563</v>
      </c>
      <c r="AL138">
        <v>25</v>
      </c>
      <c r="AM138">
        <v>6</v>
      </c>
      <c r="AN138">
        <v>169</v>
      </c>
      <c r="AV138" s="9"/>
      <c r="AW138" s="9"/>
      <c r="BC138" s="9"/>
    </row>
    <row r="139" spans="3:55" ht="14.25" customHeight="1" x14ac:dyDescent="0.25">
      <c r="C139">
        <v>12</v>
      </c>
      <c r="D139" t="s">
        <v>43</v>
      </c>
      <c r="E139">
        <v>7</v>
      </c>
      <c r="F139" s="8">
        <v>2.4000000000000004</v>
      </c>
      <c r="G139">
        <v>700</v>
      </c>
      <c r="H139">
        <v>202</v>
      </c>
      <c r="I139" s="9">
        <v>71.142857142857139</v>
      </c>
      <c r="J139">
        <f>G139-G139*(I139/100)</f>
        <v>202</v>
      </c>
      <c r="AE139">
        <v>12</v>
      </c>
      <c r="AF139" t="s">
        <v>43</v>
      </c>
      <c r="AG139">
        <v>7</v>
      </c>
      <c r="AH139">
        <v>202</v>
      </c>
      <c r="AJ139" s="9"/>
      <c r="AK139">
        <v>563</v>
      </c>
      <c r="AL139">
        <v>25</v>
      </c>
      <c r="AM139">
        <v>6</v>
      </c>
      <c r="AN139">
        <v>178</v>
      </c>
      <c r="AV139" s="6"/>
      <c r="AW139" s="7"/>
      <c r="BC139" s="6"/>
    </row>
    <row r="140" spans="3:55" ht="14.25" customHeight="1" x14ac:dyDescent="0.25">
      <c r="C140">
        <v>30</v>
      </c>
      <c r="D140">
        <v>0.52</v>
      </c>
      <c r="E140">
        <v>9.6999999999999993</v>
      </c>
      <c r="F140" s="12">
        <v>1.3929896907216497</v>
      </c>
      <c r="G140">
        <v>563</v>
      </c>
      <c r="H140">
        <v>202</v>
      </c>
      <c r="I140" s="9">
        <v>64.120781527531079</v>
      </c>
      <c r="J140">
        <f t="shared" ref="J140:J157" si="6">G140-G140*(I140/100)</f>
        <v>202</v>
      </c>
      <c r="AE140">
        <v>30</v>
      </c>
      <c r="AF140">
        <v>0.52</v>
      </c>
      <c r="AG140">
        <v>9.6999999999999993</v>
      </c>
      <c r="AH140">
        <v>202</v>
      </c>
      <c r="AJ140" s="9"/>
      <c r="AK140">
        <v>566</v>
      </c>
      <c r="AL140" s="9">
        <v>20.5</v>
      </c>
      <c r="AM140">
        <v>10.199999999999999</v>
      </c>
      <c r="AN140">
        <v>277</v>
      </c>
      <c r="AW140" s="9"/>
    </row>
    <row r="141" spans="3:55" ht="14.25" customHeight="1" x14ac:dyDescent="0.25">
      <c r="C141">
        <v>23</v>
      </c>
      <c r="D141">
        <v>0.59</v>
      </c>
      <c r="E141" s="3">
        <v>7.7</v>
      </c>
      <c r="F141" s="12">
        <v>1.5335064935064935</v>
      </c>
      <c r="G141">
        <v>492</v>
      </c>
      <c r="H141">
        <v>202</v>
      </c>
      <c r="I141" s="9">
        <v>58.943089430894311</v>
      </c>
      <c r="J141">
        <f t="shared" si="6"/>
        <v>202</v>
      </c>
      <c r="AE141">
        <v>23</v>
      </c>
      <c r="AF141">
        <v>0.59</v>
      </c>
      <c r="AG141" s="3">
        <v>7.7</v>
      </c>
      <c r="AH141">
        <v>202</v>
      </c>
      <c r="AJ141" s="9"/>
      <c r="AK141">
        <v>566</v>
      </c>
      <c r="AL141">
        <v>27</v>
      </c>
      <c r="AM141">
        <v>8.5</v>
      </c>
      <c r="AN141">
        <v>139</v>
      </c>
      <c r="AW141" s="9"/>
    </row>
    <row r="142" spans="3:55" ht="14.25" customHeight="1" x14ac:dyDescent="0.25">
      <c r="C142" t="s">
        <v>378</v>
      </c>
      <c r="E142" s="3">
        <v>8</v>
      </c>
      <c r="F142" s="3">
        <v>1.5</v>
      </c>
      <c r="G142">
        <v>699</v>
      </c>
      <c r="H142" s="7">
        <v>203</v>
      </c>
      <c r="I142" s="7">
        <v>69</v>
      </c>
      <c r="J142">
        <f t="shared" si="6"/>
        <v>216.69000000000005</v>
      </c>
      <c r="AE142" t="s">
        <v>378</v>
      </c>
      <c r="AG142" s="3">
        <v>8</v>
      </c>
      <c r="AH142" s="7">
        <v>203</v>
      </c>
      <c r="AI142" s="7"/>
      <c r="AJ142" s="7"/>
      <c r="AK142">
        <v>567</v>
      </c>
      <c r="AL142">
        <v>17</v>
      </c>
      <c r="AM142">
        <v>5.5</v>
      </c>
      <c r="AN142">
        <v>155</v>
      </c>
    </row>
    <row r="143" spans="3:55" ht="15" x14ac:dyDescent="0.25">
      <c r="C143">
        <v>19</v>
      </c>
      <c r="D143" t="s">
        <v>307</v>
      </c>
      <c r="E143">
        <v>36</v>
      </c>
      <c r="F143" s="12">
        <v>0.42466666666666669</v>
      </c>
      <c r="G143">
        <v>637</v>
      </c>
      <c r="H143">
        <v>203.83999999999997</v>
      </c>
      <c r="I143">
        <v>68</v>
      </c>
      <c r="J143">
        <f t="shared" si="6"/>
        <v>203.83999999999997</v>
      </c>
      <c r="AE143">
        <v>19</v>
      </c>
      <c r="AF143" t="s">
        <v>307</v>
      </c>
      <c r="AG143">
        <v>36</v>
      </c>
      <c r="AH143">
        <v>203.83999999999997</v>
      </c>
      <c r="AK143">
        <v>567</v>
      </c>
      <c r="AL143">
        <v>17</v>
      </c>
      <c r="AM143">
        <v>5.5</v>
      </c>
      <c r="AN143">
        <v>175</v>
      </c>
    </row>
    <row r="144" spans="3:55" ht="15" x14ac:dyDescent="0.25">
      <c r="C144" t="s">
        <v>320</v>
      </c>
      <c r="D144" s="13">
        <v>0.53333333333333333</v>
      </c>
      <c r="E144">
        <v>9.5</v>
      </c>
      <c r="F144" s="12">
        <v>0.9701052631578948</v>
      </c>
      <c r="G144">
        <v>384</v>
      </c>
      <c r="H144">
        <v>206</v>
      </c>
      <c r="I144" s="9">
        <v>46.354166666666671</v>
      </c>
      <c r="J144">
        <f t="shared" si="6"/>
        <v>205.99999999999997</v>
      </c>
      <c r="AE144" t="s">
        <v>320</v>
      </c>
      <c r="AF144" s="13">
        <v>0.53333333333333333</v>
      </c>
      <c r="AG144">
        <v>9.5</v>
      </c>
      <c r="AH144">
        <v>206</v>
      </c>
      <c r="AJ144" s="9"/>
      <c r="AK144">
        <v>569</v>
      </c>
      <c r="AL144">
        <v>21</v>
      </c>
      <c r="AM144">
        <v>6</v>
      </c>
      <c r="AN144">
        <v>167</v>
      </c>
      <c r="AS144" s="22"/>
      <c r="AW144" s="9"/>
      <c r="BA144" s="22"/>
    </row>
    <row r="145" spans="3:55" ht="15" x14ac:dyDescent="0.25">
      <c r="C145">
        <v>22</v>
      </c>
      <c r="E145">
        <v>7.2</v>
      </c>
      <c r="F145" s="12">
        <v>1.5300000000000002</v>
      </c>
      <c r="G145">
        <v>459</v>
      </c>
      <c r="H145">
        <v>206</v>
      </c>
      <c r="I145" s="9">
        <v>55.119825708061001</v>
      </c>
      <c r="J145">
        <f t="shared" si="6"/>
        <v>206.00000000000003</v>
      </c>
      <c r="AE145">
        <v>22</v>
      </c>
      <c r="AG145">
        <v>7.2</v>
      </c>
      <c r="AH145">
        <v>206</v>
      </c>
      <c r="AJ145" s="9"/>
      <c r="AK145">
        <v>572</v>
      </c>
      <c r="AL145">
        <v>26</v>
      </c>
      <c r="AM145">
        <v>2.7</v>
      </c>
      <c r="AN145">
        <v>190</v>
      </c>
      <c r="AS145" s="22"/>
      <c r="AW145" s="9"/>
      <c r="BA145" s="22"/>
    </row>
    <row r="146" spans="3:55" ht="15" x14ac:dyDescent="0.25">
      <c r="C146">
        <v>12</v>
      </c>
      <c r="D146" t="s">
        <v>43</v>
      </c>
      <c r="E146">
        <v>7</v>
      </c>
      <c r="F146" s="8">
        <v>2.4000000000000004</v>
      </c>
      <c r="G146">
        <v>700</v>
      </c>
      <c r="H146">
        <v>207</v>
      </c>
      <c r="I146" s="9">
        <v>70.428571428571431</v>
      </c>
      <c r="J146">
        <f t="shared" si="6"/>
        <v>207</v>
      </c>
      <c r="AE146">
        <v>12</v>
      </c>
      <c r="AF146" t="s">
        <v>43</v>
      </c>
      <c r="AG146">
        <v>7</v>
      </c>
      <c r="AH146">
        <v>207</v>
      </c>
      <c r="AJ146" s="9"/>
      <c r="AK146">
        <v>572</v>
      </c>
      <c r="AL146">
        <v>26</v>
      </c>
      <c r="AM146">
        <v>2.7</v>
      </c>
      <c r="AN146">
        <v>211</v>
      </c>
      <c r="AS146" s="22"/>
      <c r="AW146" s="9"/>
      <c r="BA146" s="22"/>
    </row>
    <row r="147" spans="3:55" ht="15" customHeight="1" x14ac:dyDescent="0.2">
      <c r="C147">
        <v>35</v>
      </c>
      <c r="D147" t="s">
        <v>43</v>
      </c>
      <c r="E147">
        <v>72</v>
      </c>
      <c r="F147">
        <v>0.36</v>
      </c>
      <c r="G147" s="9">
        <v>1076</v>
      </c>
      <c r="H147">
        <v>209</v>
      </c>
      <c r="I147" s="9">
        <v>80.576208178438662</v>
      </c>
      <c r="J147">
        <f t="shared" si="6"/>
        <v>209</v>
      </c>
      <c r="AE147">
        <v>35</v>
      </c>
      <c r="AF147" t="s">
        <v>43</v>
      </c>
      <c r="AG147">
        <v>72</v>
      </c>
      <c r="AH147">
        <v>209</v>
      </c>
      <c r="AJ147" s="9"/>
      <c r="AK147">
        <v>586</v>
      </c>
      <c r="AL147">
        <v>25</v>
      </c>
      <c r="AM147">
        <v>4</v>
      </c>
      <c r="AN147">
        <v>184</v>
      </c>
    </row>
    <row r="148" spans="3:55" ht="15" x14ac:dyDescent="0.25">
      <c r="C148">
        <v>26</v>
      </c>
      <c r="D148" t="s">
        <v>43</v>
      </c>
      <c r="E148">
        <v>2.7</v>
      </c>
      <c r="F148" s="8">
        <v>5.0844444444444434</v>
      </c>
      <c r="G148">
        <v>572</v>
      </c>
      <c r="H148">
        <v>211</v>
      </c>
      <c r="I148" s="9">
        <v>63.111888111888113</v>
      </c>
      <c r="J148">
        <f t="shared" si="6"/>
        <v>211</v>
      </c>
      <c r="AE148">
        <v>26</v>
      </c>
      <c r="AF148" t="s">
        <v>43</v>
      </c>
      <c r="AG148">
        <v>2.7</v>
      </c>
      <c r="AH148">
        <v>211</v>
      </c>
      <c r="AJ148" s="9"/>
      <c r="AK148">
        <v>586</v>
      </c>
      <c r="AL148">
        <v>25</v>
      </c>
      <c r="AM148">
        <v>4</v>
      </c>
      <c r="AN148">
        <v>195</v>
      </c>
      <c r="AW148" s="9"/>
    </row>
    <row r="149" spans="3:55" ht="15" x14ac:dyDescent="0.25">
      <c r="C149">
        <v>27</v>
      </c>
      <c r="D149" s="13">
        <v>0.63661977236758127</v>
      </c>
      <c r="E149">
        <v>6</v>
      </c>
      <c r="F149" s="12">
        <v>2.2199999999999998</v>
      </c>
      <c r="G149">
        <v>555</v>
      </c>
      <c r="H149">
        <v>213</v>
      </c>
      <c r="I149" s="9">
        <v>61.621621621621628</v>
      </c>
      <c r="J149">
        <f t="shared" si="6"/>
        <v>213</v>
      </c>
      <c r="AE149">
        <v>27</v>
      </c>
      <c r="AF149" s="13">
        <v>0.63661977236758127</v>
      </c>
      <c r="AG149">
        <v>6</v>
      </c>
      <c r="AH149">
        <v>213</v>
      </c>
      <c r="AJ149" s="9"/>
      <c r="AK149">
        <v>589</v>
      </c>
      <c r="AL149">
        <v>30</v>
      </c>
      <c r="AM149">
        <v>32</v>
      </c>
      <c r="AN149">
        <v>226</v>
      </c>
    </row>
    <row r="150" spans="3:55" ht="15" x14ac:dyDescent="0.25">
      <c r="C150" s="3">
        <v>13</v>
      </c>
      <c r="D150" s="10"/>
      <c r="E150" s="3">
        <v>8</v>
      </c>
      <c r="F150" s="3">
        <v>2.2000000000000002</v>
      </c>
      <c r="G150" s="6">
        <v>422.40000000000003</v>
      </c>
      <c r="H150" s="3">
        <v>219.16981132075475</v>
      </c>
      <c r="I150" s="7">
        <v>48.113207547169814</v>
      </c>
      <c r="J150">
        <f t="shared" si="6"/>
        <v>219.16981132075475</v>
      </c>
      <c r="AE150" s="3">
        <v>13</v>
      </c>
      <c r="AF150" s="10"/>
      <c r="AG150" s="3">
        <v>8</v>
      </c>
      <c r="AH150" s="3">
        <v>219.16981132075475</v>
      </c>
      <c r="AI150" s="3"/>
      <c r="AJ150" s="7"/>
      <c r="AK150">
        <v>600</v>
      </c>
      <c r="AL150">
        <v>20.5</v>
      </c>
      <c r="AM150">
        <v>6</v>
      </c>
      <c r="AN150">
        <v>226.8</v>
      </c>
      <c r="AW150" s="9"/>
    </row>
    <row r="151" spans="3:55" ht="15" x14ac:dyDescent="0.25">
      <c r="C151">
        <v>19</v>
      </c>
      <c r="D151" t="s">
        <v>307</v>
      </c>
      <c r="E151">
        <v>8</v>
      </c>
      <c r="F151" s="12">
        <v>1.911</v>
      </c>
      <c r="G151">
        <v>637</v>
      </c>
      <c r="H151">
        <v>222.95</v>
      </c>
      <c r="I151">
        <v>65</v>
      </c>
      <c r="J151">
        <f t="shared" si="6"/>
        <v>222.95</v>
      </c>
      <c r="AE151">
        <v>19</v>
      </c>
      <c r="AF151" t="s">
        <v>307</v>
      </c>
      <c r="AG151">
        <v>8</v>
      </c>
      <c r="AH151">
        <v>222.95</v>
      </c>
      <c r="AK151">
        <v>612</v>
      </c>
      <c r="AL151">
        <v>31</v>
      </c>
      <c r="AM151">
        <v>1.4</v>
      </c>
      <c r="AN151">
        <v>254</v>
      </c>
      <c r="AW151" s="9"/>
    </row>
    <row r="152" spans="3:55" ht="15" customHeight="1" x14ac:dyDescent="0.2">
      <c r="C152">
        <v>30</v>
      </c>
      <c r="D152">
        <v>0.52</v>
      </c>
      <c r="E152">
        <v>32</v>
      </c>
      <c r="F152">
        <v>1.52</v>
      </c>
      <c r="G152">
        <v>589</v>
      </c>
      <c r="H152">
        <v>226</v>
      </c>
      <c r="I152" s="9">
        <v>61.629881154499152</v>
      </c>
      <c r="J152">
        <f t="shared" si="6"/>
        <v>226</v>
      </c>
      <c r="AE152">
        <v>30</v>
      </c>
      <c r="AF152">
        <v>0.52</v>
      </c>
      <c r="AG152">
        <v>32</v>
      </c>
      <c r="AH152">
        <v>226</v>
      </c>
      <c r="AJ152" s="9"/>
      <c r="AK152">
        <v>612</v>
      </c>
      <c r="AL152">
        <v>31</v>
      </c>
      <c r="AM152">
        <v>1.4</v>
      </c>
      <c r="AN152">
        <v>255</v>
      </c>
    </row>
    <row r="153" spans="3:55" ht="15" x14ac:dyDescent="0.25">
      <c r="C153" s="22" t="s">
        <v>363</v>
      </c>
      <c r="D153" t="s">
        <v>43</v>
      </c>
      <c r="E153">
        <v>6</v>
      </c>
      <c r="F153" s="12">
        <v>2.4</v>
      </c>
      <c r="G153">
        <v>600</v>
      </c>
      <c r="H153">
        <v>226.8</v>
      </c>
      <c r="I153" s="9">
        <v>62.2</v>
      </c>
      <c r="J153">
        <f t="shared" si="6"/>
        <v>226.8</v>
      </c>
      <c r="AE153" s="22" t="s">
        <v>363</v>
      </c>
      <c r="AF153" t="s">
        <v>43</v>
      </c>
      <c r="AG153">
        <v>6</v>
      </c>
      <c r="AH153">
        <v>226.8</v>
      </c>
      <c r="AJ153" s="9"/>
      <c r="AK153" s="6">
        <v>618</v>
      </c>
      <c r="AL153">
        <v>22</v>
      </c>
      <c r="AM153">
        <v>5</v>
      </c>
      <c r="AN153">
        <v>495</v>
      </c>
      <c r="AW153" s="9"/>
    </row>
    <row r="154" spans="3:55" ht="14.25" customHeight="1" x14ac:dyDescent="0.25">
      <c r="C154">
        <v>20</v>
      </c>
      <c r="E154">
        <v>9.6</v>
      </c>
      <c r="F154">
        <v>1.1100000000000001</v>
      </c>
      <c r="G154">
        <v>444</v>
      </c>
      <c r="H154">
        <v>228</v>
      </c>
      <c r="I154" s="9">
        <v>48.648648648648653</v>
      </c>
      <c r="J154">
        <f t="shared" si="6"/>
        <v>228</v>
      </c>
      <c r="AE154">
        <v>20</v>
      </c>
      <c r="AG154">
        <v>9.6</v>
      </c>
      <c r="AH154">
        <v>228</v>
      </c>
      <c r="AJ154" s="9"/>
      <c r="AK154">
        <v>622</v>
      </c>
      <c r="AL154">
        <v>27.4</v>
      </c>
      <c r="AM154">
        <v>7.5</v>
      </c>
      <c r="AN154">
        <v>102</v>
      </c>
      <c r="AV154" s="6"/>
      <c r="AW154" s="7"/>
      <c r="BC154" s="6"/>
    </row>
    <row r="155" spans="3:55" ht="14.25" customHeight="1" x14ac:dyDescent="0.25">
      <c r="C155">
        <v>19</v>
      </c>
      <c r="D155" t="s">
        <v>307</v>
      </c>
      <c r="E155">
        <v>24</v>
      </c>
      <c r="F155" s="12">
        <v>0.63700000000000001</v>
      </c>
      <c r="G155">
        <v>637</v>
      </c>
      <c r="H155">
        <v>229.32</v>
      </c>
      <c r="I155">
        <v>64</v>
      </c>
      <c r="J155">
        <f t="shared" si="6"/>
        <v>229.32</v>
      </c>
      <c r="AE155">
        <v>19</v>
      </c>
      <c r="AF155" t="s">
        <v>307</v>
      </c>
      <c r="AG155">
        <v>24</v>
      </c>
      <c r="AH155">
        <v>229.32</v>
      </c>
      <c r="AK155">
        <v>627</v>
      </c>
      <c r="AL155" s="9">
        <v>23</v>
      </c>
      <c r="AM155">
        <v>4</v>
      </c>
      <c r="AN155">
        <v>163.01999999999998</v>
      </c>
      <c r="AW155" s="9"/>
    </row>
    <row r="156" spans="3:55" ht="14.25" customHeight="1" x14ac:dyDescent="0.25">
      <c r="C156">
        <v>19</v>
      </c>
      <c r="D156" t="s">
        <v>307</v>
      </c>
      <c r="E156">
        <v>10</v>
      </c>
      <c r="F156" s="12">
        <v>1.5288000000000002</v>
      </c>
      <c r="G156">
        <v>637</v>
      </c>
      <c r="H156">
        <v>229.32</v>
      </c>
      <c r="I156">
        <v>64</v>
      </c>
      <c r="J156">
        <f t="shared" si="6"/>
        <v>229.32</v>
      </c>
      <c r="AE156">
        <v>19</v>
      </c>
      <c r="AF156" t="s">
        <v>307</v>
      </c>
      <c r="AG156">
        <v>10</v>
      </c>
      <c r="AH156">
        <v>229.32</v>
      </c>
      <c r="AK156">
        <v>637</v>
      </c>
      <c r="AL156">
        <v>17</v>
      </c>
      <c r="AM156">
        <v>18</v>
      </c>
      <c r="AN156">
        <v>165.62</v>
      </c>
      <c r="AV156" s="6"/>
      <c r="AW156" s="7"/>
      <c r="BC156" s="6"/>
    </row>
    <row r="157" spans="3:55" ht="15" customHeight="1" x14ac:dyDescent="0.2">
      <c r="C157">
        <v>24.3</v>
      </c>
      <c r="D157" t="s">
        <v>43</v>
      </c>
      <c r="E157">
        <v>5.9</v>
      </c>
      <c r="F157">
        <v>1.7</v>
      </c>
      <c r="G157">
        <v>452</v>
      </c>
      <c r="H157">
        <v>230.52</v>
      </c>
      <c r="I157">
        <v>49</v>
      </c>
      <c r="J157">
        <f t="shared" si="6"/>
        <v>230.52</v>
      </c>
      <c r="AE157">
        <v>24.3</v>
      </c>
      <c r="AF157" t="s">
        <v>43</v>
      </c>
      <c r="AG157">
        <v>5.9</v>
      </c>
      <c r="AH157">
        <v>230.52</v>
      </c>
      <c r="AK157">
        <v>637</v>
      </c>
      <c r="AL157">
        <v>17</v>
      </c>
      <c r="AM157">
        <v>14</v>
      </c>
      <c r="AN157">
        <v>178.36</v>
      </c>
    </row>
    <row r="158" spans="3:55" ht="15" x14ac:dyDescent="0.25">
      <c r="C158">
        <v>25</v>
      </c>
      <c r="D158">
        <v>0.33</v>
      </c>
      <c r="E158">
        <v>13</v>
      </c>
      <c r="F158" s="8">
        <v>1.3956923076923078</v>
      </c>
      <c r="G158">
        <v>756</v>
      </c>
      <c r="H158">
        <v>234</v>
      </c>
      <c r="I158">
        <v>66</v>
      </c>
      <c r="J158">
        <f>G158-G158*(I158/100)</f>
        <v>257.03999999999996</v>
      </c>
      <c r="AE158">
        <v>25</v>
      </c>
      <c r="AF158">
        <v>0.33</v>
      </c>
      <c r="AG158">
        <v>13</v>
      </c>
      <c r="AH158">
        <v>234</v>
      </c>
      <c r="AK158">
        <v>637</v>
      </c>
      <c r="AL158">
        <v>17</v>
      </c>
      <c r="AM158">
        <v>10</v>
      </c>
      <c r="AN158">
        <v>254.8</v>
      </c>
    </row>
    <row r="159" spans="3:55" ht="15" customHeight="1" x14ac:dyDescent="0.2">
      <c r="C159" s="22" t="s">
        <v>295</v>
      </c>
      <c r="D159" s="13">
        <v>0.61115498147287806</v>
      </c>
      <c r="E159">
        <v>8</v>
      </c>
      <c r="F159">
        <v>2</v>
      </c>
      <c r="G159" s="9">
        <v>687</v>
      </c>
      <c r="H159">
        <v>234</v>
      </c>
      <c r="I159" s="9">
        <v>65.938864628820966</v>
      </c>
      <c r="J159">
        <f t="shared" ref="J159:J215" si="7">G159-G159*(I159/100)</f>
        <v>233.99999999999994</v>
      </c>
      <c r="AE159" s="22" t="s">
        <v>295</v>
      </c>
      <c r="AF159" s="13">
        <v>0.61115498147287806</v>
      </c>
      <c r="AG159">
        <v>8</v>
      </c>
      <c r="AH159">
        <v>234</v>
      </c>
      <c r="AJ159" s="9"/>
      <c r="AK159">
        <v>637</v>
      </c>
      <c r="AL159">
        <v>19</v>
      </c>
      <c r="AM159">
        <v>18</v>
      </c>
      <c r="AN159">
        <v>171.99</v>
      </c>
    </row>
    <row r="160" spans="3:55" ht="15" customHeight="1" x14ac:dyDescent="0.2">
      <c r="C160">
        <v>22.7</v>
      </c>
      <c r="D160" s="13" t="s">
        <v>43</v>
      </c>
      <c r="E160">
        <v>5.7</v>
      </c>
      <c r="F160">
        <v>2.1</v>
      </c>
      <c r="G160">
        <v>452</v>
      </c>
      <c r="H160">
        <v>235.04000000000002</v>
      </c>
      <c r="I160">
        <v>48</v>
      </c>
      <c r="J160">
        <f t="shared" si="7"/>
        <v>235.04000000000002</v>
      </c>
      <c r="AE160">
        <v>22.7</v>
      </c>
      <c r="AF160" s="13" t="s">
        <v>43</v>
      </c>
      <c r="AG160">
        <v>5.7</v>
      </c>
      <c r="AH160">
        <v>235.04000000000002</v>
      </c>
      <c r="AK160">
        <v>637</v>
      </c>
      <c r="AL160">
        <v>19</v>
      </c>
      <c r="AM160">
        <v>14</v>
      </c>
      <c r="AN160">
        <v>171.99</v>
      </c>
      <c r="AW160" s="9"/>
    </row>
    <row r="161" spans="3:55" ht="15" x14ac:dyDescent="0.25">
      <c r="C161">
        <v>25</v>
      </c>
      <c r="D161" s="13">
        <v>0.35367765131532297</v>
      </c>
      <c r="E161">
        <v>4</v>
      </c>
      <c r="F161" s="12">
        <v>4.032</v>
      </c>
      <c r="G161">
        <v>672</v>
      </c>
      <c r="H161">
        <v>238</v>
      </c>
      <c r="I161" s="9">
        <v>64.583333333333343</v>
      </c>
      <c r="J161">
        <f t="shared" si="7"/>
        <v>237.99999999999989</v>
      </c>
      <c r="AE161">
        <v>25</v>
      </c>
      <c r="AF161" s="13">
        <v>0.35367765131532297</v>
      </c>
      <c r="AG161">
        <v>4</v>
      </c>
      <c r="AH161">
        <v>238</v>
      </c>
      <c r="AJ161" s="9"/>
      <c r="AK161">
        <v>637</v>
      </c>
      <c r="AL161">
        <v>19</v>
      </c>
      <c r="AM161">
        <v>36</v>
      </c>
      <c r="AN161">
        <v>203.83999999999997</v>
      </c>
      <c r="AW161" s="9"/>
    </row>
    <row r="162" spans="3:55" ht="15" customHeight="1" x14ac:dyDescent="0.2">
      <c r="C162">
        <v>12.7</v>
      </c>
      <c r="E162">
        <v>13.6</v>
      </c>
      <c r="F162">
        <v>0.71</v>
      </c>
      <c r="G162">
        <v>400</v>
      </c>
      <c r="H162">
        <v>239</v>
      </c>
      <c r="I162" s="9">
        <v>40.25</v>
      </c>
      <c r="J162">
        <f t="shared" si="7"/>
        <v>239</v>
      </c>
      <c r="AE162">
        <v>12.7</v>
      </c>
      <c r="AG162">
        <v>13.6</v>
      </c>
      <c r="AH162">
        <v>239</v>
      </c>
      <c r="AJ162" s="9"/>
      <c r="AK162">
        <v>637</v>
      </c>
      <c r="AL162">
        <v>19</v>
      </c>
      <c r="AM162">
        <v>8</v>
      </c>
      <c r="AN162">
        <v>222.95</v>
      </c>
      <c r="AW162" s="9"/>
    </row>
    <row r="163" spans="3:55" ht="15" x14ac:dyDescent="0.25">
      <c r="C163" s="22" t="s">
        <v>304</v>
      </c>
      <c r="D163" t="s">
        <v>43</v>
      </c>
      <c r="E163">
        <v>5.7</v>
      </c>
      <c r="F163" s="12">
        <v>2.3284210526315783</v>
      </c>
      <c r="G163">
        <v>553</v>
      </c>
      <c r="H163">
        <v>243.32</v>
      </c>
      <c r="I163">
        <v>56</v>
      </c>
      <c r="J163">
        <f t="shared" si="7"/>
        <v>243.32</v>
      </c>
      <c r="AE163" s="22" t="s">
        <v>304</v>
      </c>
      <c r="AF163" t="s">
        <v>43</v>
      </c>
      <c r="AG163">
        <v>5.7</v>
      </c>
      <c r="AH163">
        <v>243.32</v>
      </c>
      <c r="AK163">
        <v>637</v>
      </c>
      <c r="AL163">
        <v>19</v>
      </c>
      <c r="AM163">
        <v>24</v>
      </c>
      <c r="AN163">
        <v>229.32</v>
      </c>
    </row>
    <row r="164" spans="3:55" ht="15" x14ac:dyDescent="0.25">
      <c r="C164" t="s">
        <v>378</v>
      </c>
      <c r="E164" s="3">
        <v>6</v>
      </c>
      <c r="F164" s="3">
        <v>2.4</v>
      </c>
      <c r="G164">
        <v>733</v>
      </c>
      <c r="H164">
        <v>244</v>
      </c>
      <c r="I164" s="7">
        <v>64</v>
      </c>
      <c r="J164">
        <f t="shared" si="7"/>
        <v>263.88</v>
      </c>
      <c r="AE164" t="s">
        <v>378</v>
      </c>
      <c r="AG164" s="3">
        <v>6</v>
      </c>
      <c r="AH164">
        <v>244</v>
      </c>
      <c r="AJ164" s="7"/>
      <c r="AK164">
        <v>637</v>
      </c>
      <c r="AL164">
        <v>19</v>
      </c>
      <c r="AM164">
        <v>10</v>
      </c>
      <c r="AN164">
        <v>229.32</v>
      </c>
    </row>
    <row r="165" spans="3:55" ht="15" x14ac:dyDescent="0.25">
      <c r="C165">
        <v>18</v>
      </c>
      <c r="D165" s="2" t="s">
        <v>43</v>
      </c>
      <c r="E165">
        <v>60</v>
      </c>
      <c r="F165" s="8">
        <v>1.6015999999999999</v>
      </c>
      <c r="G165" s="9">
        <v>4004</v>
      </c>
      <c r="H165">
        <v>244.24399999999969</v>
      </c>
      <c r="I165">
        <v>93.9</v>
      </c>
      <c r="J165">
        <f t="shared" si="7"/>
        <v>244.24399999999969</v>
      </c>
      <c r="AE165">
        <v>18</v>
      </c>
      <c r="AF165" s="2" t="s">
        <v>43</v>
      </c>
      <c r="AG165">
        <v>60</v>
      </c>
      <c r="AH165">
        <v>244.24399999999969</v>
      </c>
      <c r="AK165">
        <v>637</v>
      </c>
      <c r="AL165">
        <v>19</v>
      </c>
      <c r="AM165">
        <v>6</v>
      </c>
      <c r="AN165">
        <v>248.43</v>
      </c>
      <c r="AW165" s="9"/>
    </row>
    <row r="166" spans="3:55" ht="15" x14ac:dyDescent="0.25">
      <c r="C166" t="s">
        <v>320</v>
      </c>
      <c r="D166" s="13">
        <v>0.43333333333333335</v>
      </c>
      <c r="E166">
        <v>11.8</v>
      </c>
      <c r="F166" s="12">
        <v>1.1125423728813557</v>
      </c>
      <c r="G166">
        <v>547</v>
      </c>
      <c r="H166">
        <v>245</v>
      </c>
      <c r="I166" s="9">
        <v>55.210237659963433</v>
      </c>
      <c r="J166">
        <f t="shared" si="7"/>
        <v>245</v>
      </c>
      <c r="AE166" t="s">
        <v>320</v>
      </c>
      <c r="AF166" s="13">
        <v>0.43333333333333335</v>
      </c>
      <c r="AG166">
        <v>11.8</v>
      </c>
      <c r="AH166">
        <v>245</v>
      </c>
      <c r="AJ166" s="9"/>
      <c r="AK166">
        <v>644</v>
      </c>
      <c r="AL166">
        <v>27.4</v>
      </c>
      <c r="AM166">
        <v>7.5</v>
      </c>
      <c r="AN166">
        <v>129</v>
      </c>
      <c r="AW166" s="9"/>
    </row>
    <row r="167" spans="3:55" ht="15" x14ac:dyDescent="0.25">
      <c r="C167">
        <v>19</v>
      </c>
      <c r="D167" t="s">
        <v>307</v>
      </c>
      <c r="E167">
        <v>6</v>
      </c>
      <c r="F167" s="12">
        <v>2.548</v>
      </c>
      <c r="G167">
        <v>637</v>
      </c>
      <c r="H167">
        <v>248.43</v>
      </c>
      <c r="I167">
        <v>61</v>
      </c>
      <c r="J167">
        <f t="shared" si="7"/>
        <v>248.43</v>
      </c>
      <c r="AE167">
        <v>19</v>
      </c>
      <c r="AF167" t="s">
        <v>307</v>
      </c>
      <c r="AG167">
        <v>6</v>
      </c>
      <c r="AH167">
        <v>248.43</v>
      </c>
      <c r="AK167">
        <v>653</v>
      </c>
      <c r="AL167">
        <v>25</v>
      </c>
      <c r="AM167">
        <v>8.8000000000000007</v>
      </c>
      <c r="AN167">
        <v>518</v>
      </c>
      <c r="AW167" s="9"/>
    </row>
    <row r="168" spans="3:55" ht="15" x14ac:dyDescent="0.25">
      <c r="C168">
        <v>24.3</v>
      </c>
      <c r="D168">
        <v>0.37</v>
      </c>
      <c r="E168" s="3">
        <v>13.6</v>
      </c>
      <c r="F168">
        <v>1.54</v>
      </c>
      <c r="G168">
        <v>875</v>
      </c>
      <c r="H168">
        <v>253</v>
      </c>
      <c r="I168" s="9">
        <v>71.085714285714289</v>
      </c>
      <c r="J168">
        <f t="shared" si="7"/>
        <v>253</v>
      </c>
      <c r="AE168">
        <v>24.3</v>
      </c>
      <c r="AF168">
        <v>0.37</v>
      </c>
      <c r="AG168" s="3">
        <v>13.6</v>
      </c>
      <c r="AH168">
        <v>253</v>
      </c>
      <c r="AJ168" s="9"/>
      <c r="AK168">
        <v>659</v>
      </c>
      <c r="AL168">
        <v>25</v>
      </c>
      <c r="AM168">
        <v>11.2</v>
      </c>
      <c r="AN168">
        <v>391</v>
      </c>
    </row>
    <row r="169" spans="3:55" ht="15" x14ac:dyDescent="0.25">
      <c r="C169">
        <v>31</v>
      </c>
      <c r="D169" t="s">
        <v>43</v>
      </c>
      <c r="E169">
        <v>1.4</v>
      </c>
      <c r="F169" s="8">
        <v>10.491428571428571</v>
      </c>
      <c r="G169">
        <v>612</v>
      </c>
      <c r="H169">
        <v>254</v>
      </c>
      <c r="I169" s="9">
        <v>58.496732026143796</v>
      </c>
      <c r="J169">
        <f t="shared" si="7"/>
        <v>254</v>
      </c>
      <c r="AE169">
        <v>31</v>
      </c>
      <c r="AF169" t="s">
        <v>43</v>
      </c>
      <c r="AG169">
        <v>1.4</v>
      </c>
      <c r="AH169">
        <v>254</v>
      </c>
      <c r="AJ169" s="9"/>
      <c r="AK169">
        <v>672</v>
      </c>
      <c r="AL169">
        <v>25</v>
      </c>
      <c r="AM169">
        <v>4</v>
      </c>
      <c r="AN169">
        <v>238</v>
      </c>
      <c r="AW169" s="9"/>
    </row>
    <row r="170" spans="3:55" ht="15" x14ac:dyDescent="0.25">
      <c r="C170">
        <v>17</v>
      </c>
      <c r="D170" t="s">
        <v>307</v>
      </c>
      <c r="E170">
        <v>10</v>
      </c>
      <c r="F170" s="12">
        <v>1.5288000000000002</v>
      </c>
      <c r="G170">
        <v>637</v>
      </c>
      <c r="H170">
        <v>254.8</v>
      </c>
      <c r="I170">
        <v>60</v>
      </c>
      <c r="J170">
        <f t="shared" si="7"/>
        <v>254.8</v>
      </c>
      <c r="AE170">
        <v>17</v>
      </c>
      <c r="AF170" t="s">
        <v>307</v>
      </c>
      <c r="AG170">
        <v>10</v>
      </c>
      <c r="AH170">
        <v>254.8</v>
      </c>
      <c r="AK170" s="6">
        <v>686</v>
      </c>
      <c r="AL170">
        <v>22</v>
      </c>
      <c r="AM170">
        <v>4</v>
      </c>
      <c r="AN170">
        <v>584</v>
      </c>
      <c r="AW170" s="9"/>
    </row>
    <row r="171" spans="3:55" ht="15" x14ac:dyDescent="0.25">
      <c r="C171">
        <v>31</v>
      </c>
      <c r="D171" t="s">
        <v>43</v>
      </c>
      <c r="E171">
        <v>1.4</v>
      </c>
      <c r="F171" s="8">
        <v>10.491428571428571</v>
      </c>
      <c r="G171">
        <v>612</v>
      </c>
      <c r="H171">
        <v>255</v>
      </c>
      <c r="I171" s="9">
        <v>58.333333333333336</v>
      </c>
      <c r="J171">
        <f t="shared" si="7"/>
        <v>255</v>
      </c>
      <c r="AE171">
        <v>31</v>
      </c>
      <c r="AF171" t="s">
        <v>43</v>
      </c>
      <c r="AG171">
        <v>1.4</v>
      </c>
      <c r="AH171">
        <v>255</v>
      </c>
      <c r="AJ171" s="9"/>
      <c r="AK171" s="9">
        <v>687</v>
      </c>
      <c r="AL171" s="9">
        <v>25.5</v>
      </c>
      <c r="AM171">
        <v>8</v>
      </c>
      <c r="AN171">
        <v>234</v>
      </c>
    </row>
    <row r="172" spans="3:55" ht="15" x14ac:dyDescent="0.25">
      <c r="C172" t="s">
        <v>367</v>
      </c>
      <c r="D172" t="s">
        <v>43</v>
      </c>
      <c r="E172">
        <v>6</v>
      </c>
      <c r="F172" s="12">
        <v>3.4840000000000004</v>
      </c>
      <c r="G172">
        <v>871</v>
      </c>
      <c r="H172">
        <v>257</v>
      </c>
      <c r="I172" s="9">
        <v>70.493685419058551</v>
      </c>
      <c r="J172">
        <f t="shared" si="7"/>
        <v>257</v>
      </c>
      <c r="AE172" t="s">
        <v>367</v>
      </c>
      <c r="AF172" t="s">
        <v>43</v>
      </c>
      <c r="AG172">
        <v>6</v>
      </c>
      <c r="AH172">
        <v>257</v>
      </c>
      <c r="AJ172" s="9"/>
      <c r="AK172">
        <v>689</v>
      </c>
      <c r="AL172" s="9">
        <v>20.5</v>
      </c>
      <c r="AM172">
        <v>14.3</v>
      </c>
      <c r="AN172">
        <v>403</v>
      </c>
      <c r="AW172" s="9"/>
    </row>
    <row r="173" spans="3:55" ht="15" x14ac:dyDescent="0.25">
      <c r="C173" t="s">
        <v>359</v>
      </c>
      <c r="D173" t="s">
        <v>43</v>
      </c>
      <c r="E173">
        <v>5.7</v>
      </c>
      <c r="F173" s="12">
        <v>2.1431578947368419</v>
      </c>
      <c r="G173">
        <v>509</v>
      </c>
      <c r="H173">
        <v>259</v>
      </c>
      <c r="I173" s="9">
        <v>49</v>
      </c>
      <c r="J173">
        <f t="shared" si="7"/>
        <v>259.59000000000003</v>
      </c>
      <c r="AE173" t="s">
        <v>359</v>
      </c>
      <c r="AF173" t="s">
        <v>43</v>
      </c>
      <c r="AG173">
        <v>5.7</v>
      </c>
      <c r="AH173">
        <v>259</v>
      </c>
      <c r="AJ173" s="9"/>
      <c r="AK173">
        <v>698</v>
      </c>
      <c r="AL173">
        <v>25</v>
      </c>
      <c r="AM173">
        <v>6</v>
      </c>
      <c r="AN173">
        <v>198</v>
      </c>
      <c r="AV173" s="6"/>
      <c r="AW173" s="7"/>
      <c r="BC173" s="6"/>
    </row>
    <row r="174" spans="3:55" ht="15" x14ac:dyDescent="0.25">
      <c r="C174">
        <v>25</v>
      </c>
      <c r="D174">
        <v>0.2</v>
      </c>
      <c r="E174">
        <v>16</v>
      </c>
      <c r="F174" s="12">
        <v>1.3884000000000001</v>
      </c>
      <c r="G174">
        <v>925.6</v>
      </c>
      <c r="H174">
        <v>263.89999999999998</v>
      </c>
      <c r="I174">
        <v>68.5</v>
      </c>
      <c r="J174">
        <f t="shared" si="7"/>
        <v>291.56399999999996</v>
      </c>
      <c r="AE174">
        <v>25</v>
      </c>
      <c r="AF174">
        <v>0.2</v>
      </c>
      <c r="AG174">
        <v>16</v>
      </c>
      <c r="AH174">
        <v>263.89999999999998</v>
      </c>
      <c r="AJ174" s="9"/>
      <c r="AK174">
        <v>699</v>
      </c>
      <c r="AL174">
        <v>28.5</v>
      </c>
      <c r="AM174">
        <v>8</v>
      </c>
      <c r="AN174">
        <v>203</v>
      </c>
    </row>
    <row r="175" spans="3:55" ht="15" customHeight="1" x14ac:dyDescent="0.2">
      <c r="C175">
        <v>35</v>
      </c>
      <c r="D175" t="s">
        <v>43</v>
      </c>
      <c r="E175">
        <v>132</v>
      </c>
      <c r="F175">
        <v>0.18</v>
      </c>
      <c r="G175">
        <v>990</v>
      </c>
      <c r="H175">
        <v>270</v>
      </c>
      <c r="I175" s="9">
        <v>72.727272727272734</v>
      </c>
      <c r="J175">
        <f t="shared" si="7"/>
        <v>270</v>
      </c>
      <c r="AE175">
        <v>35</v>
      </c>
      <c r="AF175" t="s">
        <v>43</v>
      </c>
      <c r="AG175">
        <v>132</v>
      </c>
      <c r="AH175">
        <v>270</v>
      </c>
      <c r="AJ175" s="9"/>
      <c r="AK175">
        <v>700</v>
      </c>
      <c r="AL175">
        <v>12</v>
      </c>
      <c r="AM175">
        <v>7</v>
      </c>
      <c r="AN175">
        <v>202</v>
      </c>
      <c r="AW175" s="9"/>
    </row>
    <row r="176" spans="3:55" ht="15" x14ac:dyDescent="0.25">
      <c r="C176" t="s">
        <v>359</v>
      </c>
      <c r="D176" t="s">
        <v>43</v>
      </c>
      <c r="E176">
        <v>5.7</v>
      </c>
      <c r="F176" s="12">
        <v>2.1431578947368419</v>
      </c>
      <c r="G176">
        <v>509</v>
      </c>
      <c r="H176">
        <v>272</v>
      </c>
      <c r="I176" s="9">
        <v>53</v>
      </c>
      <c r="J176">
        <f t="shared" si="7"/>
        <v>239.22999999999996</v>
      </c>
      <c r="AE176" t="s">
        <v>359</v>
      </c>
      <c r="AF176" t="s">
        <v>43</v>
      </c>
      <c r="AG176">
        <v>5.7</v>
      </c>
      <c r="AH176">
        <v>272</v>
      </c>
      <c r="AJ176" s="9"/>
      <c r="AK176">
        <v>700</v>
      </c>
      <c r="AL176">
        <v>12</v>
      </c>
      <c r="AM176">
        <v>7</v>
      </c>
      <c r="AN176">
        <v>207</v>
      </c>
      <c r="AW176" s="9"/>
    </row>
    <row r="177" spans="3:49" ht="15" customHeight="1" x14ac:dyDescent="0.2">
      <c r="C177">
        <v>20</v>
      </c>
      <c r="D177" t="s">
        <v>43</v>
      </c>
      <c r="E177">
        <v>3.2</v>
      </c>
      <c r="F177">
        <v>2.6</v>
      </c>
      <c r="G177">
        <v>341</v>
      </c>
      <c r="H177">
        <v>273</v>
      </c>
      <c r="I177" s="9">
        <v>19.941348973607038</v>
      </c>
      <c r="J177">
        <f t="shared" si="7"/>
        <v>273</v>
      </c>
      <c r="AE177">
        <v>20</v>
      </c>
      <c r="AF177" t="s">
        <v>43</v>
      </c>
      <c r="AG177">
        <v>3.2</v>
      </c>
      <c r="AH177">
        <v>273</v>
      </c>
      <c r="AJ177" s="9"/>
      <c r="AK177">
        <v>716</v>
      </c>
      <c r="AL177">
        <v>27</v>
      </c>
      <c r="AM177">
        <v>1</v>
      </c>
      <c r="AN177">
        <v>469</v>
      </c>
      <c r="AW177" s="9"/>
    </row>
    <row r="178" spans="3:49" ht="15" x14ac:dyDescent="0.25">
      <c r="C178" t="s">
        <v>320</v>
      </c>
      <c r="D178" s="13">
        <v>0.6166666666666667</v>
      </c>
      <c r="E178">
        <v>10.199999999999999</v>
      </c>
      <c r="F178" s="12">
        <v>1.2682352941176471</v>
      </c>
      <c r="G178">
        <v>539</v>
      </c>
      <c r="H178">
        <v>274</v>
      </c>
      <c r="I178" s="9">
        <v>49.165120593692023</v>
      </c>
      <c r="J178">
        <f t="shared" si="7"/>
        <v>274</v>
      </c>
      <c r="AE178" t="s">
        <v>320</v>
      </c>
      <c r="AF178" s="13">
        <v>0.6166666666666667</v>
      </c>
      <c r="AG178">
        <v>10.199999999999999</v>
      </c>
      <c r="AH178">
        <v>274</v>
      </c>
      <c r="AJ178" s="9"/>
      <c r="AK178">
        <v>721</v>
      </c>
      <c r="AL178">
        <v>15</v>
      </c>
      <c r="AM178">
        <v>6</v>
      </c>
      <c r="AN178">
        <v>390</v>
      </c>
    </row>
    <row r="179" spans="3:49" ht="15" x14ac:dyDescent="0.25">
      <c r="C179" s="3">
        <v>9</v>
      </c>
      <c r="D179" s="10"/>
      <c r="E179" s="3">
        <v>12</v>
      </c>
      <c r="F179" s="3">
        <v>1.7</v>
      </c>
      <c r="G179" s="6">
        <v>489.6</v>
      </c>
      <c r="H179" s="3">
        <v>274.58447276940905</v>
      </c>
      <c r="I179" s="7">
        <v>43.916570104287374</v>
      </c>
      <c r="J179">
        <f t="shared" si="7"/>
        <v>274.58447276940905</v>
      </c>
      <c r="AE179" s="3">
        <v>9</v>
      </c>
      <c r="AF179" s="10"/>
      <c r="AG179" s="3">
        <v>12</v>
      </c>
      <c r="AH179" s="3">
        <v>274.58447276940905</v>
      </c>
      <c r="AI179" s="3"/>
      <c r="AJ179" s="7"/>
      <c r="AK179">
        <v>733</v>
      </c>
      <c r="AL179">
        <v>28.5</v>
      </c>
      <c r="AM179">
        <v>6</v>
      </c>
      <c r="AN179">
        <v>244</v>
      </c>
      <c r="AW179" s="9"/>
    </row>
    <row r="180" spans="3:49" ht="14.25" customHeight="1" x14ac:dyDescent="0.25">
      <c r="C180" s="22" t="s">
        <v>304</v>
      </c>
      <c r="D180" t="s">
        <v>43</v>
      </c>
      <c r="E180">
        <v>2.8</v>
      </c>
      <c r="F180" s="12">
        <v>4.74</v>
      </c>
      <c r="G180">
        <v>553</v>
      </c>
      <c r="H180">
        <v>276.5</v>
      </c>
      <c r="I180">
        <v>50</v>
      </c>
      <c r="J180">
        <f t="shared" si="7"/>
        <v>276.5</v>
      </c>
      <c r="AE180" s="22" t="s">
        <v>304</v>
      </c>
      <c r="AF180" t="s">
        <v>43</v>
      </c>
      <c r="AG180">
        <v>2.8</v>
      </c>
      <c r="AH180">
        <v>276.5</v>
      </c>
      <c r="AJ180" s="9"/>
      <c r="AK180">
        <v>745</v>
      </c>
      <c r="AL180">
        <v>25</v>
      </c>
      <c r="AM180">
        <v>10.5</v>
      </c>
      <c r="AN180">
        <v>506</v>
      </c>
      <c r="AW180" s="9"/>
    </row>
    <row r="181" spans="3:49" ht="14.25" customHeight="1" x14ac:dyDescent="0.25">
      <c r="C181" t="s">
        <v>321</v>
      </c>
      <c r="D181" s="13">
        <v>0.6166666666666667</v>
      </c>
      <c r="E181">
        <v>10.199999999999999</v>
      </c>
      <c r="F181" s="12">
        <v>1.331764705882353</v>
      </c>
      <c r="G181">
        <v>566</v>
      </c>
      <c r="H181">
        <v>277</v>
      </c>
      <c r="I181" s="9">
        <v>51.060070671378085</v>
      </c>
      <c r="J181">
        <f t="shared" si="7"/>
        <v>277</v>
      </c>
      <c r="AE181" t="s">
        <v>321</v>
      </c>
      <c r="AF181" s="13">
        <v>0.6166666666666667</v>
      </c>
      <c r="AG181">
        <v>10.199999999999999</v>
      </c>
      <c r="AH181">
        <v>277</v>
      </c>
      <c r="AJ181" s="9"/>
      <c r="AK181" s="9">
        <v>749</v>
      </c>
      <c r="AL181">
        <v>26</v>
      </c>
      <c r="AM181" t="s">
        <v>290</v>
      </c>
      <c r="AN181">
        <v>374.5</v>
      </c>
      <c r="AW181" s="9"/>
    </row>
    <row r="182" spans="3:49" ht="14.25" customHeight="1" x14ac:dyDescent="0.25">
      <c r="C182" t="s">
        <v>359</v>
      </c>
      <c r="D182" t="s">
        <v>43</v>
      </c>
      <c r="E182">
        <v>5.0999999999999996</v>
      </c>
      <c r="F182" s="12">
        <v>2.6305882352941179</v>
      </c>
      <c r="G182">
        <v>559</v>
      </c>
      <c r="H182">
        <v>279</v>
      </c>
      <c r="I182" s="9">
        <v>49</v>
      </c>
      <c r="J182">
        <f t="shared" si="7"/>
        <v>285.09000000000003</v>
      </c>
      <c r="AE182" t="s">
        <v>359</v>
      </c>
      <c r="AF182" t="s">
        <v>43</v>
      </c>
      <c r="AG182">
        <v>5.0999999999999996</v>
      </c>
      <c r="AH182">
        <v>279</v>
      </c>
      <c r="AJ182" s="9"/>
      <c r="AK182">
        <v>749</v>
      </c>
      <c r="AL182" s="9">
        <v>28</v>
      </c>
      <c r="AM182">
        <v>6</v>
      </c>
      <c r="AN182">
        <v>151</v>
      </c>
    </row>
    <row r="183" spans="3:49" ht="14.25" customHeight="1" x14ac:dyDescent="0.25">
      <c r="C183">
        <v>22</v>
      </c>
      <c r="E183">
        <v>5</v>
      </c>
      <c r="F183" s="12">
        <v>1.8863999999999999</v>
      </c>
      <c r="G183">
        <v>393</v>
      </c>
      <c r="H183">
        <v>280</v>
      </c>
      <c r="I183" s="9">
        <v>28.753180661577609</v>
      </c>
      <c r="J183">
        <f t="shared" si="7"/>
        <v>280</v>
      </c>
      <c r="AE183">
        <v>22</v>
      </c>
      <c r="AG183">
        <v>5</v>
      </c>
      <c r="AH183">
        <v>280</v>
      </c>
      <c r="AJ183" s="9"/>
      <c r="AK183">
        <v>750</v>
      </c>
      <c r="AL183">
        <v>25</v>
      </c>
      <c r="AM183">
        <v>3</v>
      </c>
      <c r="AN183">
        <v>432</v>
      </c>
    </row>
    <row r="184" spans="3:49" ht="14.25" customHeight="1" x14ac:dyDescent="0.25">
      <c r="C184">
        <v>25</v>
      </c>
      <c r="D184">
        <v>0.2</v>
      </c>
      <c r="E184">
        <v>16</v>
      </c>
      <c r="F184" s="12">
        <v>1.3884000000000001</v>
      </c>
      <c r="G184">
        <v>925.6</v>
      </c>
      <c r="H184">
        <v>280.39999999999998</v>
      </c>
      <c r="I184">
        <v>67.8</v>
      </c>
      <c r="J184">
        <f t="shared" si="7"/>
        <v>298.04320000000007</v>
      </c>
      <c r="AE184">
        <v>25</v>
      </c>
      <c r="AF184">
        <v>0.2</v>
      </c>
      <c r="AG184">
        <v>16</v>
      </c>
      <c r="AH184">
        <v>280.39999999999998</v>
      </c>
      <c r="AJ184" s="9"/>
      <c r="AK184">
        <v>756</v>
      </c>
      <c r="AL184">
        <v>25</v>
      </c>
      <c r="AM184">
        <v>13</v>
      </c>
      <c r="AN184">
        <v>234</v>
      </c>
    </row>
    <row r="185" spans="3:49" ht="14.25" customHeight="1" x14ac:dyDescent="0.2">
      <c r="C185">
        <v>35</v>
      </c>
      <c r="D185" t="s">
        <v>43</v>
      </c>
      <c r="E185">
        <v>33.599999999999994</v>
      </c>
      <c r="F185">
        <v>0.76</v>
      </c>
      <c r="G185">
        <v>1050</v>
      </c>
      <c r="H185">
        <v>281</v>
      </c>
      <c r="I185" s="9">
        <v>73.238095238095241</v>
      </c>
      <c r="J185">
        <f t="shared" si="7"/>
        <v>281</v>
      </c>
      <c r="AE185">
        <v>35</v>
      </c>
      <c r="AF185" t="s">
        <v>43</v>
      </c>
      <c r="AG185">
        <v>33.599999999999994</v>
      </c>
      <c r="AH185">
        <v>281</v>
      </c>
      <c r="AJ185" s="9"/>
      <c r="AK185">
        <v>756</v>
      </c>
      <c r="AL185" s="9">
        <v>20.5</v>
      </c>
      <c r="AM185">
        <v>10.9</v>
      </c>
      <c r="AN185">
        <v>450</v>
      </c>
    </row>
    <row r="186" spans="3:49" ht="14.25" customHeight="1" x14ac:dyDescent="0.25">
      <c r="C186" t="s">
        <v>359</v>
      </c>
      <c r="D186" t="s">
        <v>43</v>
      </c>
      <c r="E186">
        <v>7.9</v>
      </c>
      <c r="F186" s="12">
        <v>1.2030379746835442</v>
      </c>
      <c r="G186">
        <v>396</v>
      </c>
      <c r="H186">
        <v>283</v>
      </c>
      <c r="I186" s="9">
        <v>53</v>
      </c>
      <c r="J186">
        <f t="shared" si="7"/>
        <v>186.11999999999998</v>
      </c>
      <c r="AE186" t="s">
        <v>359</v>
      </c>
      <c r="AF186" t="s">
        <v>43</v>
      </c>
      <c r="AG186">
        <v>7.9</v>
      </c>
      <c r="AH186">
        <v>283</v>
      </c>
      <c r="AJ186" s="9"/>
      <c r="AK186">
        <v>770</v>
      </c>
      <c r="AL186">
        <v>27</v>
      </c>
      <c r="AM186">
        <v>4</v>
      </c>
      <c r="AN186">
        <v>416</v>
      </c>
    </row>
    <row r="187" spans="3:49" ht="14.25" customHeight="1" x14ac:dyDescent="0.25">
      <c r="C187" t="s">
        <v>359</v>
      </c>
      <c r="D187" t="s">
        <v>43</v>
      </c>
      <c r="E187">
        <v>4.9000000000000004</v>
      </c>
      <c r="F187" s="12">
        <v>2.7379591836734689</v>
      </c>
      <c r="G187">
        <v>559</v>
      </c>
      <c r="H187">
        <v>289</v>
      </c>
      <c r="I187" s="9">
        <v>51</v>
      </c>
      <c r="J187">
        <f t="shared" si="7"/>
        <v>273.90999999999997</v>
      </c>
      <c r="AE187" t="s">
        <v>359</v>
      </c>
      <c r="AF187" t="s">
        <v>43</v>
      </c>
      <c r="AG187">
        <v>4.9000000000000004</v>
      </c>
      <c r="AH187">
        <v>289</v>
      </c>
      <c r="AJ187" s="9"/>
      <c r="AK187">
        <v>776</v>
      </c>
      <c r="AL187">
        <v>25</v>
      </c>
      <c r="AM187">
        <v>2.4</v>
      </c>
      <c r="AN187">
        <v>398</v>
      </c>
    </row>
    <row r="188" spans="3:49" ht="14.25" customHeight="1" x14ac:dyDescent="0.25">
      <c r="C188" s="3">
        <v>19</v>
      </c>
      <c r="D188" s="10"/>
      <c r="E188" s="3">
        <v>6</v>
      </c>
      <c r="F188" s="3">
        <v>3.3</v>
      </c>
      <c r="G188" s="6">
        <v>475.2</v>
      </c>
      <c r="H188" s="3">
        <v>292.93150684931504</v>
      </c>
      <c r="I188" s="7">
        <v>38.356164383561641</v>
      </c>
      <c r="J188">
        <f t="shared" si="7"/>
        <v>292.93150684931504</v>
      </c>
      <c r="AE188" s="3">
        <v>19</v>
      </c>
      <c r="AF188" s="10"/>
      <c r="AG188" s="3">
        <v>6</v>
      </c>
      <c r="AH188" s="3">
        <v>292.93150684931504</v>
      </c>
      <c r="AI188" s="3"/>
      <c r="AJ188" s="7"/>
      <c r="AK188">
        <v>787</v>
      </c>
      <c r="AL188">
        <v>27</v>
      </c>
      <c r="AM188">
        <v>2</v>
      </c>
      <c r="AN188">
        <v>436</v>
      </c>
    </row>
    <row r="189" spans="3:49" ht="14.25" customHeight="1" x14ac:dyDescent="0.25">
      <c r="C189" t="s">
        <v>378</v>
      </c>
      <c r="E189" s="3">
        <v>3</v>
      </c>
      <c r="F189" s="3">
        <v>5.8</v>
      </c>
      <c r="G189">
        <v>803</v>
      </c>
      <c r="H189">
        <v>293</v>
      </c>
      <c r="I189" s="7">
        <v>58</v>
      </c>
      <c r="J189">
        <f t="shared" si="7"/>
        <v>337.26000000000005</v>
      </c>
      <c r="AE189" t="s">
        <v>378</v>
      </c>
      <c r="AG189" s="3">
        <v>3</v>
      </c>
      <c r="AH189">
        <v>293</v>
      </c>
      <c r="AJ189" s="7"/>
      <c r="AK189" s="6">
        <v>794.87999999999988</v>
      </c>
      <c r="AL189">
        <v>15</v>
      </c>
      <c r="AM189">
        <v>24</v>
      </c>
      <c r="AN189">
        <v>588.21119999999996</v>
      </c>
    </row>
    <row r="190" spans="3:49" ht="14.25" customHeight="1" x14ac:dyDescent="0.25">
      <c r="C190" s="22" t="s">
        <v>304</v>
      </c>
      <c r="D190" t="s">
        <v>43</v>
      </c>
      <c r="E190">
        <v>4.4000000000000004</v>
      </c>
      <c r="F190" s="12">
        <v>3.0163636363636361</v>
      </c>
      <c r="G190">
        <v>553</v>
      </c>
      <c r="H190">
        <v>293.09000000000003</v>
      </c>
      <c r="I190">
        <v>47</v>
      </c>
      <c r="J190">
        <f t="shared" si="7"/>
        <v>293.09000000000003</v>
      </c>
      <c r="AE190" s="22" t="s">
        <v>304</v>
      </c>
      <c r="AF190" t="s">
        <v>43</v>
      </c>
      <c r="AG190">
        <v>4.4000000000000004</v>
      </c>
      <c r="AH190">
        <v>293.09000000000003</v>
      </c>
      <c r="AK190">
        <v>796</v>
      </c>
      <c r="AL190">
        <v>27</v>
      </c>
      <c r="AM190">
        <v>9.8000000000000007</v>
      </c>
      <c r="AN190">
        <v>667</v>
      </c>
    </row>
    <row r="191" spans="3:49" ht="14.25" customHeight="1" x14ac:dyDescent="0.25">
      <c r="C191">
        <v>27</v>
      </c>
      <c r="D191" s="13">
        <v>0.63661977236758127</v>
      </c>
      <c r="E191">
        <v>6</v>
      </c>
      <c r="F191" s="12">
        <v>3.2640000000000002</v>
      </c>
      <c r="G191">
        <v>816</v>
      </c>
      <c r="H191">
        <v>343</v>
      </c>
      <c r="I191" s="9">
        <v>57.965686274509807</v>
      </c>
      <c r="J191">
        <f t="shared" si="7"/>
        <v>342.99999999999994</v>
      </c>
      <c r="AE191">
        <v>27</v>
      </c>
      <c r="AF191" s="13">
        <v>0.63661977236758127</v>
      </c>
      <c r="AG191">
        <v>6</v>
      </c>
      <c r="AH191">
        <v>343</v>
      </c>
      <c r="AJ191" s="9"/>
      <c r="AK191">
        <v>803</v>
      </c>
      <c r="AL191">
        <v>28.5</v>
      </c>
      <c r="AM191">
        <v>3</v>
      </c>
      <c r="AN191">
        <v>293</v>
      </c>
    </row>
    <row r="192" spans="3:49" ht="14.25" customHeight="1" x14ac:dyDescent="0.25">
      <c r="C192" t="s">
        <v>292</v>
      </c>
      <c r="D192" s="17" t="s">
        <v>291</v>
      </c>
      <c r="E192" s="28" t="s">
        <v>290</v>
      </c>
      <c r="F192" s="3" t="s">
        <v>293</v>
      </c>
      <c r="G192" s="9">
        <v>749</v>
      </c>
      <c r="H192">
        <v>374.5</v>
      </c>
      <c r="I192" s="7">
        <v>50</v>
      </c>
      <c r="J192">
        <f t="shared" si="7"/>
        <v>374.5</v>
      </c>
      <c r="AE192" t="s">
        <v>292</v>
      </c>
      <c r="AF192" s="17" t="s">
        <v>291</v>
      </c>
      <c r="AG192" s="28" t="s">
        <v>290</v>
      </c>
      <c r="AH192">
        <v>374.5</v>
      </c>
      <c r="AJ192" s="7"/>
      <c r="AK192">
        <v>809</v>
      </c>
      <c r="AL192">
        <v>27.4</v>
      </c>
      <c r="AM192">
        <v>7.5</v>
      </c>
      <c r="AN192">
        <v>92</v>
      </c>
      <c r="AR192" s="22"/>
    </row>
    <row r="193" spans="3:53" ht="14.25" customHeight="1" x14ac:dyDescent="0.25">
      <c r="C193" s="3">
        <v>27</v>
      </c>
      <c r="D193" s="10"/>
      <c r="E193" s="3">
        <v>48</v>
      </c>
      <c r="F193" s="8">
        <v>0.5704999999999999</v>
      </c>
      <c r="G193" s="6">
        <v>1141</v>
      </c>
      <c r="H193" s="3">
        <v>385</v>
      </c>
      <c r="I193" s="7">
        <v>66</v>
      </c>
      <c r="J193">
        <f t="shared" si="7"/>
        <v>387.93999999999994</v>
      </c>
      <c r="AE193" s="3">
        <v>27</v>
      </c>
      <c r="AF193" s="10"/>
      <c r="AG193" s="3">
        <v>48</v>
      </c>
      <c r="AH193" s="3">
        <v>385</v>
      </c>
      <c r="AI193" s="3"/>
      <c r="AJ193" s="7"/>
      <c r="AK193">
        <v>816</v>
      </c>
      <c r="AL193">
        <v>27</v>
      </c>
      <c r="AM193">
        <v>6</v>
      </c>
      <c r="AN193">
        <v>343</v>
      </c>
      <c r="AR193" s="22"/>
    </row>
    <row r="194" spans="3:53" ht="14.25" customHeight="1" x14ac:dyDescent="0.25">
      <c r="C194">
        <v>15</v>
      </c>
      <c r="D194" t="s">
        <v>43</v>
      </c>
      <c r="E194">
        <v>6</v>
      </c>
      <c r="F194" s="8">
        <v>2.8839999999999999</v>
      </c>
      <c r="G194">
        <v>721</v>
      </c>
      <c r="H194">
        <v>390</v>
      </c>
      <c r="I194" s="9">
        <v>45.908460471567267</v>
      </c>
      <c r="J194">
        <f t="shared" si="7"/>
        <v>390</v>
      </c>
      <c r="AE194">
        <v>15</v>
      </c>
      <c r="AF194" t="s">
        <v>43</v>
      </c>
      <c r="AG194">
        <v>6</v>
      </c>
      <c r="AH194">
        <v>390</v>
      </c>
      <c r="AJ194" s="9"/>
      <c r="AK194">
        <v>820</v>
      </c>
      <c r="AL194">
        <v>25</v>
      </c>
      <c r="AM194">
        <v>9.5</v>
      </c>
      <c r="AN194">
        <v>631</v>
      </c>
      <c r="AR194" s="22"/>
    </row>
    <row r="195" spans="3:53" ht="14.25" customHeight="1" x14ac:dyDescent="0.25">
      <c r="C195">
        <v>25</v>
      </c>
      <c r="D195">
        <v>0.27</v>
      </c>
      <c r="E195">
        <v>11.2</v>
      </c>
      <c r="F195" s="8">
        <v>1.4121428571428571</v>
      </c>
      <c r="G195">
        <v>659</v>
      </c>
      <c r="H195">
        <v>391</v>
      </c>
      <c r="I195">
        <v>41</v>
      </c>
      <c r="J195">
        <f t="shared" si="7"/>
        <v>388.81</v>
      </c>
      <c r="AE195">
        <v>25</v>
      </c>
      <c r="AF195">
        <v>0.27</v>
      </c>
      <c r="AG195">
        <v>11.2</v>
      </c>
      <c r="AH195">
        <v>391</v>
      </c>
      <c r="AK195">
        <v>821</v>
      </c>
      <c r="AL195">
        <v>12.9</v>
      </c>
      <c r="AM195">
        <v>57.2</v>
      </c>
      <c r="AN195">
        <v>789.5</v>
      </c>
      <c r="AR195" s="22"/>
    </row>
    <row r="196" spans="3:53" ht="14.25" customHeight="1" x14ac:dyDescent="0.25">
      <c r="C196">
        <v>25</v>
      </c>
      <c r="D196" s="13">
        <v>0.58946275219220501</v>
      </c>
      <c r="E196">
        <v>2.4</v>
      </c>
      <c r="F196" s="12">
        <v>7.76</v>
      </c>
      <c r="G196">
        <v>776</v>
      </c>
      <c r="H196">
        <v>398</v>
      </c>
      <c r="I196" s="9">
        <v>48.711340206185568</v>
      </c>
      <c r="J196">
        <f t="shared" si="7"/>
        <v>398</v>
      </c>
      <c r="AE196">
        <v>25</v>
      </c>
      <c r="AF196" s="13">
        <v>0.58946275219220501</v>
      </c>
      <c r="AG196">
        <v>2.4</v>
      </c>
      <c r="AH196">
        <v>398</v>
      </c>
      <c r="AJ196" s="9"/>
      <c r="AK196" s="6">
        <v>833.5200000000001</v>
      </c>
      <c r="AL196">
        <v>16.399999999999999</v>
      </c>
      <c r="AM196">
        <v>23</v>
      </c>
      <c r="AN196">
        <v>516.78240000000005</v>
      </c>
      <c r="AR196" s="22"/>
    </row>
    <row r="197" spans="3:53" ht="14.25" customHeight="1" x14ac:dyDescent="0.25">
      <c r="C197" t="s">
        <v>321</v>
      </c>
      <c r="D197" s="13">
        <v>0.52083333333333337</v>
      </c>
      <c r="E197">
        <v>14.3</v>
      </c>
      <c r="F197" s="12">
        <v>1.1563636363636363</v>
      </c>
      <c r="G197">
        <v>689</v>
      </c>
      <c r="H197">
        <v>403</v>
      </c>
      <c r="I197" s="9">
        <v>41.509433962264154</v>
      </c>
      <c r="J197">
        <f t="shared" si="7"/>
        <v>403</v>
      </c>
      <c r="AE197" t="s">
        <v>321</v>
      </c>
      <c r="AF197" s="13">
        <v>0.52083333333333337</v>
      </c>
      <c r="AG197">
        <v>14.3</v>
      </c>
      <c r="AH197">
        <v>403</v>
      </c>
      <c r="AJ197" s="9"/>
      <c r="AK197" s="6">
        <v>835.19999999999993</v>
      </c>
      <c r="AL197">
        <v>16.399999999999999</v>
      </c>
      <c r="AM197">
        <v>24</v>
      </c>
      <c r="AN197">
        <v>492.76799999999997</v>
      </c>
    </row>
    <row r="198" spans="3:53" ht="15" x14ac:dyDescent="0.25">
      <c r="C198" s="3">
        <v>17</v>
      </c>
      <c r="D198" s="13">
        <v>2.6066787716953668E-2</v>
      </c>
      <c r="E198">
        <v>96</v>
      </c>
      <c r="F198">
        <v>0.23</v>
      </c>
      <c r="G198" s="6">
        <v>905</v>
      </c>
      <c r="H198" s="3">
        <v>408</v>
      </c>
      <c r="I198" s="7">
        <v>54</v>
      </c>
      <c r="J198">
        <f t="shared" si="7"/>
        <v>416.29999999999995</v>
      </c>
      <c r="AE198" s="3">
        <v>17</v>
      </c>
      <c r="AF198" s="13">
        <v>2.6066787716953668E-2</v>
      </c>
      <c r="AG198">
        <v>96</v>
      </c>
      <c r="AH198" s="3">
        <v>408</v>
      </c>
      <c r="AI198" s="3"/>
      <c r="AJ198" s="7"/>
      <c r="AK198">
        <v>871</v>
      </c>
      <c r="AL198" s="9">
        <v>15.75</v>
      </c>
      <c r="AM198">
        <v>6</v>
      </c>
      <c r="AN198">
        <v>257</v>
      </c>
      <c r="AR198" s="3"/>
    </row>
    <row r="199" spans="3:53" ht="15" x14ac:dyDescent="0.25">
      <c r="C199">
        <v>27</v>
      </c>
      <c r="D199" s="13">
        <v>0.95492965855137191</v>
      </c>
      <c r="E199">
        <v>4</v>
      </c>
      <c r="F199" s="12">
        <v>4.62</v>
      </c>
      <c r="G199">
        <v>770</v>
      </c>
      <c r="H199">
        <v>416</v>
      </c>
      <c r="I199" s="9">
        <v>45.97402597402597</v>
      </c>
      <c r="J199">
        <f t="shared" si="7"/>
        <v>416</v>
      </c>
      <c r="AE199">
        <v>27</v>
      </c>
      <c r="AF199" s="13">
        <v>0.95492965855137191</v>
      </c>
      <c r="AG199">
        <v>4</v>
      </c>
      <c r="AH199">
        <v>416</v>
      </c>
      <c r="AJ199" s="9"/>
      <c r="AK199">
        <v>875</v>
      </c>
      <c r="AL199">
        <v>24.3</v>
      </c>
      <c r="AM199">
        <v>13.6</v>
      </c>
      <c r="AN199">
        <v>253</v>
      </c>
      <c r="AR199" s="3"/>
    </row>
    <row r="200" spans="3:53" ht="15" x14ac:dyDescent="0.25">
      <c r="C200">
        <v>25</v>
      </c>
      <c r="D200" s="13">
        <v>0.47157020175376396</v>
      </c>
      <c r="E200">
        <v>3</v>
      </c>
      <c r="F200" s="12">
        <v>5.9999999999999991</v>
      </c>
      <c r="G200">
        <v>750</v>
      </c>
      <c r="H200">
        <v>432</v>
      </c>
      <c r="I200" s="9">
        <v>42.4</v>
      </c>
      <c r="J200">
        <f t="shared" si="7"/>
        <v>432</v>
      </c>
      <c r="AE200">
        <v>25</v>
      </c>
      <c r="AF200" s="13">
        <v>0.47157020175376396</v>
      </c>
      <c r="AG200">
        <v>3</v>
      </c>
      <c r="AH200">
        <v>432</v>
      </c>
      <c r="AJ200" s="9"/>
      <c r="AK200" s="6">
        <v>905</v>
      </c>
      <c r="AL200">
        <v>17</v>
      </c>
      <c r="AM200">
        <v>96</v>
      </c>
      <c r="AN200">
        <v>408</v>
      </c>
      <c r="AR200" s="3"/>
    </row>
    <row r="201" spans="3:53" ht="15" x14ac:dyDescent="0.25">
      <c r="C201" s="3">
        <v>17</v>
      </c>
      <c r="D201" s="13">
        <v>5.2133575433907335E-2</v>
      </c>
      <c r="E201" s="3">
        <v>48</v>
      </c>
      <c r="F201">
        <v>0.45</v>
      </c>
      <c r="G201" s="6">
        <v>905</v>
      </c>
      <c r="H201" s="3">
        <v>433</v>
      </c>
      <c r="I201" s="7">
        <v>51</v>
      </c>
      <c r="J201">
        <f t="shared" si="7"/>
        <v>443.45</v>
      </c>
      <c r="AE201" s="3">
        <v>17</v>
      </c>
      <c r="AF201" s="13">
        <v>5.2133575433907335E-2</v>
      </c>
      <c r="AG201" s="3">
        <v>48</v>
      </c>
      <c r="AH201" s="3">
        <v>433</v>
      </c>
      <c r="AI201" s="3"/>
      <c r="AJ201" s="7">
        <v>22</v>
      </c>
      <c r="AK201" s="6">
        <v>905</v>
      </c>
      <c r="AL201">
        <v>17</v>
      </c>
      <c r="AM201">
        <v>48</v>
      </c>
      <c r="AN201">
        <v>433</v>
      </c>
    </row>
    <row r="202" spans="3:53" ht="15" x14ac:dyDescent="0.25">
      <c r="C202">
        <v>27</v>
      </c>
      <c r="D202" s="13">
        <v>1.9098593171027438</v>
      </c>
      <c r="E202">
        <v>2</v>
      </c>
      <c r="F202" s="12">
        <v>9.4440000000000008</v>
      </c>
      <c r="G202">
        <v>787</v>
      </c>
      <c r="H202">
        <v>436</v>
      </c>
      <c r="I202" s="9">
        <v>44.599745870393903</v>
      </c>
      <c r="J202">
        <f t="shared" si="7"/>
        <v>436</v>
      </c>
      <c r="AE202">
        <v>27</v>
      </c>
      <c r="AF202" s="13">
        <v>1.9098593171027438</v>
      </c>
      <c r="AG202">
        <v>2</v>
      </c>
      <c r="AH202">
        <v>436</v>
      </c>
      <c r="AJ202" s="9"/>
      <c r="AK202">
        <v>925.6</v>
      </c>
      <c r="AL202">
        <v>25</v>
      </c>
      <c r="AM202">
        <v>16</v>
      </c>
      <c r="AN202">
        <v>263.89999999999998</v>
      </c>
    </row>
    <row r="203" spans="3:53" ht="15" x14ac:dyDescent="0.25">
      <c r="C203" t="s">
        <v>321</v>
      </c>
      <c r="D203" s="13">
        <v>0.55833333333333335</v>
      </c>
      <c r="E203">
        <v>10.9</v>
      </c>
      <c r="F203" s="12">
        <v>1.664587155963303</v>
      </c>
      <c r="G203">
        <v>756</v>
      </c>
      <c r="H203">
        <v>450</v>
      </c>
      <c r="I203" s="9">
        <v>40.476190476190474</v>
      </c>
      <c r="J203">
        <f t="shared" si="7"/>
        <v>450</v>
      </c>
      <c r="AE203" t="s">
        <v>321</v>
      </c>
      <c r="AF203" s="13">
        <v>0.55833333333333335</v>
      </c>
      <c r="AG203">
        <v>10.9</v>
      </c>
      <c r="AH203">
        <v>450</v>
      </c>
      <c r="AJ203" s="9"/>
      <c r="AK203">
        <v>925.6</v>
      </c>
      <c r="AL203">
        <v>25</v>
      </c>
      <c r="AM203">
        <v>16</v>
      </c>
      <c r="AN203">
        <v>280.39999999999998</v>
      </c>
      <c r="AS203" s="22"/>
      <c r="BA203" s="22"/>
    </row>
    <row r="204" spans="3:53" ht="15" x14ac:dyDescent="0.25">
      <c r="C204">
        <v>27</v>
      </c>
      <c r="D204" s="13">
        <v>3.8197186342054876</v>
      </c>
      <c r="E204">
        <v>1</v>
      </c>
      <c r="F204" s="12">
        <v>17.184000000000001</v>
      </c>
      <c r="G204">
        <v>716</v>
      </c>
      <c r="H204">
        <v>469</v>
      </c>
      <c r="I204" s="9">
        <v>34.497206703910614</v>
      </c>
      <c r="J204">
        <f t="shared" si="7"/>
        <v>469</v>
      </c>
      <c r="AE204">
        <v>27</v>
      </c>
      <c r="AF204" s="13">
        <v>3.8197186342054876</v>
      </c>
      <c r="AG204">
        <v>1</v>
      </c>
      <c r="AH204">
        <v>469</v>
      </c>
      <c r="AJ204" s="9"/>
      <c r="AK204">
        <v>976</v>
      </c>
      <c r="AL204">
        <v>13.8</v>
      </c>
      <c r="AM204">
        <v>44.3</v>
      </c>
      <c r="AN204">
        <v>670.6</v>
      </c>
      <c r="AS204" s="22"/>
      <c r="BA204" s="22"/>
    </row>
    <row r="205" spans="3:53" ht="15" x14ac:dyDescent="0.25">
      <c r="C205">
        <v>13</v>
      </c>
      <c r="D205" s="2" t="s">
        <v>43</v>
      </c>
      <c r="E205">
        <v>60</v>
      </c>
      <c r="F205" s="8">
        <v>0.96179999999999999</v>
      </c>
      <c r="G205" s="9">
        <v>2404.5</v>
      </c>
      <c r="H205">
        <v>488.11349999999993</v>
      </c>
      <c r="I205" s="7">
        <v>79.7</v>
      </c>
      <c r="J205">
        <f t="shared" si="7"/>
        <v>488.11349999999993</v>
      </c>
      <c r="AE205">
        <v>13</v>
      </c>
      <c r="AF205" s="2" t="s">
        <v>43</v>
      </c>
      <c r="AG205">
        <v>60</v>
      </c>
      <c r="AH205">
        <v>488.11349999999993</v>
      </c>
      <c r="AJ205" s="7"/>
      <c r="AK205" s="9">
        <v>980</v>
      </c>
      <c r="AL205">
        <v>35</v>
      </c>
      <c r="AM205">
        <v>52.800000000000004</v>
      </c>
      <c r="AN205">
        <v>150.92000000000007</v>
      </c>
      <c r="AS205" s="22"/>
      <c r="BA205" s="22"/>
    </row>
    <row r="206" spans="3:53" ht="15" x14ac:dyDescent="0.25">
      <c r="C206" s="3">
        <v>16.399999999999999</v>
      </c>
      <c r="D206" s="3"/>
      <c r="E206" s="3">
        <v>24</v>
      </c>
      <c r="F206" s="3">
        <v>1.45</v>
      </c>
      <c r="G206" s="6">
        <v>835.19999999999993</v>
      </c>
      <c r="H206" s="3">
        <v>492.76799999999997</v>
      </c>
      <c r="I206" s="7">
        <v>41</v>
      </c>
      <c r="J206">
        <f t="shared" si="7"/>
        <v>492.76799999999997</v>
      </c>
      <c r="AE206" s="3">
        <v>16.399999999999999</v>
      </c>
      <c r="AF206" s="3"/>
      <c r="AG206" s="3">
        <v>24</v>
      </c>
      <c r="AH206" s="3">
        <v>492.76799999999997</v>
      </c>
      <c r="AI206" s="3"/>
      <c r="AJ206" s="7"/>
      <c r="AK206">
        <v>990</v>
      </c>
      <c r="AL206">
        <v>35</v>
      </c>
      <c r="AM206">
        <v>132</v>
      </c>
      <c r="AN206">
        <v>270</v>
      </c>
      <c r="AS206" s="22"/>
      <c r="BA206" s="22"/>
    </row>
    <row r="207" spans="3:53" ht="15" x14ac:dyDescent="0.25">
      <c r="C207" s="3">
        <v>22</v>
      </c>
      <c r="D207" s="10"/>
      <c r="E207" s="3">
        <v>5</v>
      </c>
      <c r="F207" s="3">
        <v>3</v>
      </c>
      <c r="G207" s="6">
        <v>618</v>
      </c>
      <c r="H207" s="3">
        <v>495</v>
      </c>
      <c r="I207" s="7">
        <v>39</v>
      </c>
      <c r="J207">
        <f t="shared" si="7"/>
        <v>376.98</v>
      </c>
      <c r="AE207" s="3">
        <v>22</v>
      </c>
      <c r="AF207" s="10"/>
      <c r="AG207" s="3">
        <v>5</v>
      </c>
      <c r="AH207" s="3">
        <v>495</v>
      </c>
      <c r="AI207" s="3"/>
      <c r="AJ207" s="7"/>
      <c r="AK207" s="9">
        <v>1021</v>
      </c>
      <c r="AL207">
        <v>35</v>
      </c>
      <c r="AM207">
        <v>52.800000000000004</v>
      </c>
      <c r="AN207">
        <v>153.14999999999998</v>
      </c>
      <c r="AS207" s="22"/>
      <c r="BA207" s="22"/>
    </row>
    <row r="208" spans="3:53" ht="15" x14ac:dyDescent="0.25">
      <c r="C208">
        <v>25</v>
      </c>
      <c r="D208">
        <v>0.28999999999999998</v>
      </c>
      <c r="E208">
        <v>10.5</v>
      </c>
      <c r="F208" s="8">
        <v>1.7028571428571431</v>
      </c>
      <c r="G208">
        <v>745</v>
      </c>
      <c r="H208">
        <v>506</v>
      </c>
      <c r="I208">
        <v>31</v>
      </c>
      <c r="J208">
        <f t="shared" si="7"/>
        <v>514.04999999999995</v>
      </c>
      <c r="AE208">
        <v>25</v>
      </c>
      <c r="AF208">
        <v>0.28999999999999998</v>
      </c>
      <c r="AG208">
        <v>10.5</v>
      </c>
      <c r="AH208">
        <v>506</v>
      </c>
      <c r="AK208" s="9">
        <v>1026</v>
      </c>
      <c r="AL208">
        <v>35</v>
      </c>
      <c r="AM208">
        <v>52.800000000000004</v>
      </c>
      <c r="AN208">
        <v>167</v>
      </c>
    </row>
    <row r="209" spans="3:55" ht="15" x14ac:dyDescent="0.25">
      <c r="C209" s="3">
        <v>16.399999999999999</v>
      </c>
      <c r="D209" s="3"/>
      <c r="E209" s="3">
        <v>23</v>
      </c>
      <c r="F209" s="3">
        <v>1.51</v>
      </c>
      <c r="G209" s="6">
        <v>833.5200000000001</v>
      </c>
      <c r="H209" s="3">
        <v>516.78240000000005</v>
      </c>
      <c r="I209" s="7">
        <v>38</v>
      </c>
      <c r="J209">
        <f t="shared" si="7"/>
        <v>516.78240000000005</v>
      </c>
      <c r="AE209" s="3">
        <v>16.399999999999999</v>
      </c>
      <c r="AF209" s="3"/>
      <c r="AG209" s="3">
        <v>23</v>
      </c>
      <c r="AH209" s="3">
        <v>516.78240000000005</v>
      </c>
      <c r="AI209" s="3"/>
      <c r="AJ209" s="7"/>
      <c r="AK209" s="6">
        <v>1042</v>
      </c>
      <c r="AL209">
        <v>16</v>
      </c>
      <c r="AM209">
        <v>48</v>
      </c>
      <c r="AN209">
        <v>520</v>
      </c>
      <c r="AS209" s="3"/>
      <c r="AT209" s="3"/>
      <c r="AU209" s="3"/>
      <c r="AZ209" s="3"/>
      <c r="BA209" s="3"/>
      <c r="BB209" s="3"/>
    </row>
    <row r="210" spans="3:55" ht="15" x14ac:dyDescent="0.25">
      <c r="C210">
        <v>25</v>
      </c>
      <c r="D210">
        <v>0.35</v>
      </c>
      <c r="E210">
        <v>8.8000000000000007</v>
      </c>
      <c r="F210" s="8">
        <v>1.780909090909091</v>
      </c>
      <c r="G210">
        <v>653</v>
      </c>
      <c r="H210">
        <v>518</v>
      </c>
      <c r="I210">
        <v>22</v>
      </c>
      <c r="J210">
        <f t="shared" si="7"/>
        <v>509.34000000000003</v>
      </c>
      <c r="AE210">
        <v>25</v>
      </c>
      <c r="AF210">
        <v>0.35</v>
      </c>
      <c r="AG210">
        <v>8.8000000000000007</v>
      </c>
      <c r="AH210">
        <v>518</v>
      </c>
      <c r="AK210">
        <v>1050</v>
      </c>
      <c r="AL210">
        <v>35</v>
      </c>
      <c r="AM210">
        <v>33.599999999999994</v>
      </c>
      <c r="AN210">
        <v>281</v>
      </c>
      <c r="AS210" s="3"/>
      <c r="AT210" s="3"/>
      <c r="AU210" s="3"/>
      <c r="AZ210" s="3"/>
      <c r="BA210" s="3"/>
      <c r="BB210" s="3"/>
    </row>
    <row r="211" spans="3:55" ht="15" x14ac:dyDescent="0.25">
      <c r="C211" s="3">
        <v>16</v>
      </c>
      <c r="D211" s="10"/>
      <c r="E211" s="3">
        <v>48</v>
      </c>
      <c r="F211" s="3">
        <v>0.52</v>
      </c>
      <c r="G211" s="6">
        <v>1042</v>
      </c>
      <c r="H211" s="3">
        <v>520</v>
      </c>
      <c r="I211" s="7">
        <v>50</v>
      </c>
      <c r="J211">
        <f t="shared" si="7"/>
        <v>521</v>
      </c>
      <c r="AE211" s="3">
        <v>16</v>
      </c>
      <c r="AF211" s="10"/>
      <c r="AG211" s="3">
        <v>48</v>
      </c>
      <c r="AH211" s="3">
        <v>520</v>
      </c>
      <c r="AI211" s="3"/>
      <c r="AJ211" s="7"/>
      <c r="AK211" s="9">
        <v>1076</v>
      </c>
      <c r="AL211">
        <v>35</v>
      </c>
      <c r="AM211">
        <v>72</v>
      </c>
      <c r="AN211">
        <v>209</v>
      </c>
      <c r="AS211" s="3"/>
      <c r="AT211" s="3"/>
      <c r="AU211" s="3"/>
      <c r="AZ211" s="3"/>
      <c r="BA211" s="3"/>
      <c r="BB211" s="3"/>
    </row>
    <row r="212" spans="3:55" ht="15" x14ac:dyDescent="0.25">
      <c r="C212" s="3">
        <v>24</v>
      </c>
      <c r="D212" s="13">
        <v>2.6066787716953668E-2</v>
      </c>
      <c r="E212">
        <v>96</v>
      </c>
      <c r="F212" s="8">
        <v>0.31674999999999998</v>
      </c>
      <c r="G212" s="6">
        <v>1267</v>
      </c>
      <c r="H212" s="3">
        <v>530</v>
      </c>
      <c r="I212" s="7">
        <v>58</v>
      </c>
      <c r="J212">
        <f t="shared" si="7"/>
        <v>532.1400000000001</v>
      </c>
      <c r="AE212" s="3">
        <v>24</v>
      </c>
      <c r="AF212" s="13">
        <v>2.6066787716953668E-2</v>
      </c>
      <c r="AG212">
        <v>96</v>
      </c>
      <c r="AH212" s="3">
        <v>530</v>
      </c>
      <c r="AI212" s="3"/>
      <c r="AJ212" s="7"/>
      <c r="AK212" s="6">
        <v>1141</v>
      </c>
      <c r="AL212">
        <v>27</v>
      </c>
      <c r="AM212">
        <v>48</v>
      </c>
      <c r="AN212">
        <v>385</v>
      </c>
      <c r="AT212" s="3"/>
      <c r="AU212" s="3"/>
      <c r="AZ212" s="3"/>
      <c r="BB212" s="3"/>
    </row>
    <row r="213" spans="3:55" ht="15" x14ac:dyDescent="0.25">
      <c r="C213" s="3">
        <v>24</v>
      </c>
      <c r="D213" s="13">
        <v>5.2133575433907335E-2</v>
      </c>
      <c r="E213" s="3">
        <v>48</v>
      </c>
      <c r="F213" s="8">
        <v>0.63349999999999995</v>
      </c>
      <c r="G213" s="6">
        <v>1267</v>
      </c>
      <c r="H213" s="3">
        <v>555</v>
      </c>
      <c r="I213" s="7">
        <v>56</v>
      </c>
      <c r="J213">
        <f t="shared" si="7"/>
        <v>557.4799999999999</v>
      </c>
      <c r="AE213" s="3">
        <v>24</v>
      </c>
      <c r="AF213" s="13">
        <v>5.2133575433907335E-2</v>
      </c>
      <c r="AG213" s="3">
        <v>48</v>
      </c>
      <c r="AH213" s="3">
        <v>555</v>
      </c>
      <c r="AI213" s="3"/>
      <c r="AJ213" s="7"/>
      <c r="AK213" s="6">
        <v>1267</v>
      </c>
      <c r="AL213">
        <v>24</v>
      </c>
      <c r="AM213">
        <v>96</v>
      </c>
      <c r="AN213">
        <v>530</v>
      </c>
      <c r="AT213" s="3"/>
      <c r="AU213" s="3"/>
      <c r="AZ213" s="3"/>
      <c r="BB213" s="3"/>
    </row>
    <row r="214" spans="3:55" ht="15" x14ac:dyDescent="0.25">
      <c r="C214" s="3">
        <v>22</v>
      </c>
      <c r="D214" s="10"/>
      <c r="E214" s="3">
        <v>4</v>
      </c>
      <c r="F214" s="3">
        <v>4</v>
      </c>
      <c r="G214" s="6">
        <v>686</v>
      </c>
      <c r="H214" s="3">
        <v>584</v>
      </c>
      <c r="I214" s="7">
        <v>15</v>
      </c>
      <c r="J214">
        <f t="shared" si="7"/>
        <v>583.1</v>
      </c>
      <c r="AE214" s="3">
        <v>22</v>
      </c>
      <c r="AF214" s="10"/>
      <c r="AG214" s="3">
        <v>4</v>
      </c>
      <c r="AH214" s="3">
        <v>584</v>
      </c>
      <c r="AI214" s="3"/>
      <c r="AJ214" s="7"/>
      <c r="AK214" s="6">
        <v>1267</v>
      </c>
      <c r="AL214">
        <v>24</v>
      </c>
      <c r="AM214">
        <v>48</v>
      </c>
      <c r="AN214">
        <v>555</v>
      </c>
      <c r="AT214" s="3"/>
      <c r="AU214" s="3"/>
      <c r="AZ214" s="3"/>
      <c r="BB214" s="3"/>
    </row>
    <row r="215" spans="3:55" ht="15" x14ac:dyDescent="0.25">
      <c r="C215" s="3">
        <v>15</v>
      </c>
      <c r="D215" s="3"/>
      <c r="E215" s="3">
        <v>24</v>
      </c>
      <c r="F215" s="3">
        <v>1.38</v>
      </c>
      <c r="G215" s="6">
        <v>794.87999999999988</v>
      </c>
      <c r="H215" s="3">
        <v>588.21119999999996</v>
      </c>
      <c r="I215" s="7">
        <v>26</v>
      </c>
      <c r="J215">
        <f t="shared" si="7"/>
        <v>588.21119999999996</v>
      </c>
      <c r="AE215" s="3">
        <v>15</v>
      </c>
      <c r="AF215" s="3"/>
      <c r="AG215" s="3">
        <v>24</v>
      </c>
      <c r="AH215" s="3">
        <v>588.21119999999996</v>
      </c>
      <c r="AI215" s="3"/>
      <c r="AJ215" s="7"/>
      <c r="AK215" s="9">
        <v>1300</v>
      </c>
      <c r="AL215">
        <v>22.7</v>
      </c>
      <c r="AM215">
        <v>9.1</v>
      </c>
      <c r="AN215">
        <v>752</v>
      </c>
      <c r="AR215" s="3"/>
      <c r="AT215" s="3"/>
      <c r="AU215" s="3"/>
      <c r="AZ215" s="3"/>
      <c r="BB215" s="3"/>
    </row>
    <row r="216" spans="3:55" ht="15" customHeight="1" x14ac:dyDescent="0.25">
      <c r="C216">
        <v>22</v>
      </c>
      <c r="D216" t="s">
        <v>355</v>
      </c>
      <c r="E216" t="s">
        <v>354</v>
      </c>
      <c r="F216" t="s">
        <v>356</v>
      </c>
      <c r="G216">
        <v>1429</v>
      </c>
      <c r="H216">
        <v>600.18000000000006</v>
      </c>
      <c r="I216">
        <v>58</v>
      </c>
      <c r="J216">
        <f>G216-G216*(I216/100)</f>
        <v>600.18000000000006</v>
      </c>
      <c r="AE216">
        <v>22</v>
      </c>
      <c r="AF216" t="s">
        <v>355</v>
      </c>
      <c r="AG216" t="s">
        <v>354</v>
      </c>
      <c r="AH216">
        <v>600.18000000000006</v>
      </c>
      <c r="AK216">
        <v>1353</v>
      </c>
      <c r="AL216">
        <v>23</v>
      </c>
      <c r="AM216">
        <v>23</v>
      </c>
      <c r="AN216">
        <v>676.5</v>
      </c>
      <c r="AR216" s="3"/>
      <c r="AT216" s="3"/>
      <c r="AU216" s="3"/>
      <c r="AZ216" s="3"/>
      <c r="BB216" s="3"/>
    </row>
    <row r="217" spans="3:55" ht="15" x14ac:dyDescent="0.25">
      <c r="C217" s="5" t="s">
        <v>258</v>
      </c>
      <c r="D217" s="13"/>
      <c r="E217">
        <v>103.19999999999999</v>
      </c>
      <c r="F217">
        <v>0.43</v>
      </c>
      <c r="G217" s="6">
        <v>1716</v>
      </c>
      <c r="H217" s="3">
        <v>602</v>
      </c>
      <c r="I217" s="7">
        <v>65</v>
      </c>
      <c r="J217">
        <f>G217-G217*(I217/100)</f>
        <v>600.59999999999991</v>
      </c>
      <c r="AE217" s="5" t="s">
        <v>258</v>
      </c>
      <c r="AF217" s="13"/>
      <c r="AG217">
        <v>103.19999999999999</v>
      </c>
      <c r="AH217" s="3">
        <v>602</v>
      </c>
      <c r="AI217" s="3"/>
      <c r="AJ217" s="7"/>
      <c r="AK217">
        <v>1419</v>
      </c>
      <c r="AL217">
        <v>18</v>
      </c>
      <c r="AM217" t="s">
        <v>354</v>
      </c>
      <c r="AN217">
        <v>695.31</v>
      </c>
      <c r="AR217" s="3"/>
      <c r="AT217" s="3"/>
      <c r="AV217" s="6"/>
      <c r="AW217" s="7"/>
      <c r="BB217" s="3"/>
      <c r="BC217" s="6"/>
    </row>
    <row r="218" spans="3:55" ht="15" customHeight="1" x14ac:dyDescent="0.25">
      <c r="C218">
        <v>25</v>
      </c>
      <c r="D218" t="s">
        <v>355</v>
      </c>
      <c r="E218" t="s">
        <v>354</v>
      </c>
      <c r="F218" t="s">
        <v>356</v>
      </c>
      <c r="G218">
        <v>1612</v>
      </c>
      <c r="H218">
        <v>612.56000000000006</v>
      </c>
      <c r="I218">
        <v>62</v>
      </c>
      <c r="J218">
        <f t="shared" ref="J218:J226" si="8">G218-G218*(I218/100)</f>
        <v>612.56000000000006</v>
      </c>
      <c r="AE218">
        <v>25</v>
      </c>
      <c r="AF218" t="s">
        <v>355</v>
      </c>
      <c r="AG218" t="s">
        <v>354</v>
      </c>
      <c r="AH218">
        <v>612.56000000000006</v>
      </c>
      <c r="AK218">
        <v>1429</v>
      </c>
      <c r="AL218">
        <v>22</v>
      </c>
      <c r="AM218" t="s">
        <v>354</v>
      </c>
      <c r="AN218">
        <v>600.18000000000006</v>
      </c>
      <c r="AR218" s="3"/>
      <c r="AT218" s="3"/>
      <c r="AV218" s="6"/>
      <c r="AW218" s="7"/>
      <c r="BB218" s="3"/>
      <c r="BC218" s="6"/>
    </row>
    <row r="219" spans="3:55" ht="15" x14ac:dyDescent="0.25">
      <c r="C219">
        <v>25</v>
      </c>
      <c r="D219">
        <v>0.32</v>
      </c>
      <c r="E219">
        <v>9.5</v>
      </c>
      <c r="F219" s="8">
        <v>2.0715789473684212</v>
      </c>
      <c r="G219">
        <v>820</v>
      </c>
      <c r="H219">
        <v>631</v>
      </c>
      <c r="I219">
        <v>23</v>
      </c>
      <c r="J219">
        <f t="shared" si="8"/>
        <v>631.4</v>
      </c>
      <c r="AE219">
        <v>25</v>
      </c>
      <c r="AF219">
        <v>0.32</v>
      </c>
      <c r="AG219">
        <v>9.5</v>
      </c>
      <c r="AH219">
        <v>631</v>
      </c>
      <c r="AR219" s="3"/>
      <c r="AT219" s="3"/>
      <c r="AV219" s="6"/>
      <c r="AW219" s="7"/>
      <c r="BB219" s="3"/>
      <c r="BC219" s="6"/>
    </row>
    <row r="220" spans="3:55" ht="15" x14ac:dyDescent="0.25">
      <c r="C220" t="s">
        <v>320</v>
      </c>
      <c r="D220" s="13">
        <v>0.52083333333333337</v>
      </c>
      <c r="E220">
        <v>9.8000000000000007</v>
      </c>
      <c r="F220" s="12">
        <v>1.9493877551020407</v>
      </c>
      <c r="G220">
        <v>796</v>
      </c>
      <c r="H220">
        <v>667</v>
      </c>
      <c r="I220" s="9">
        <v>16.206030150753769</v>
      </c>
      <c r="J220">
        <f t="shared" si="8"/>
        <v>667</v>
      </c>
      <c r="AE220" t="s">
        <v>320</v>
      </c>
      <c r="AF220" s="13">
        <v>0.52083333333333337</v>
      </c>
      <c r="AG220">
        <v>9.8000000000000007</v>
      </c>
      <c r="AH220">
        <v>667</v>
      </c>
      <c r="AJ220" s="9"/>
      <c r="AK220" s="6"/>
      <c r="AL220" s="9"/>
      <c r="AR220" s="3"/>
      <c r="AT220" s="3"/>
      <c r="AV220" s="6"/>
      <c r="AW220" s="7"/>
      <c r="BB220" s="3"/>
      <c r="BC220" s="6"/>
    </row>
    <row r="221" spans="3:55" ht="15" x14ac:dyDescent="0.25">
      <c r="C221">
        <v>13.8</v>
      </c>
      <c r="D221" t="s">
        <v>43</v>
      </c>
      <c r="E221">
        <v>44.3</v>
      </c>
      <c r="F221" s="8">
        <v>0.52875846501128676</v>
      </c>
      <c r="G221">
        <v>976</v>
      </c>
      <c r="H221">
        <v>670.6</v>
      </c>
      <c r="I221" s="9">
        <v>31.290983606557376</v>
      </c>
      <c r="J221">
        <f t="shared" si="8"/>
        <v>670.6</v>
      </c>
      <c r="AE221">
        <v>13.8</v>
      </c>
      <c r="AF221" t="s">
        <v>43</v>
      </c>
      <c r="AG221">
        <v>44.3</v>
      </c>
      <c r="AH221">
        <v>670.6</v>
      </c>
      <c r="AJ221" s="9"/>
      <c r="AK221" s="6"/>
      <c r="AR221" s="3"/>
      <c r="AT221" s="3"/>
      <c r="AV221" s="6"/>
      <c r="AW221" s="7"/>
      <c r="BB221" s="3"/>
      <c r="BC221" s="6"/>
    </row>
    <row r="222" spans="3:55" ht="15" customHeight="1" x14ac:dyDescent="0.25">
      <c r="C222">
        <v>23</v>
      </c>
      <c r="D222">
        <v>0.21</v>
      </c>
      <c r="E222">
        <v>23</v>
      </c>
      <c r="F222">
        <v>1.4</v>
      </c>
      <c r="G222">
        <v>1353</v>
      </c>
      <c r="H222">
        <v>676.5</v>
      </c>
      <c r="I222">
        <v>50</v>
      </c>
      <c r="J222">
        <f t="shared" si="8"/>
        <v>676.5</v>
      </c>
      <c r="AE222">
        <v>23</v>
      </c>
      <c r="AF222">
        <v>0.21</v>
      </c>
      <c r="AG222">
        <v>23</v>
      </c>
      <c r="AH222">
        <v>676.5</v>
      </c>
      <c r="AK222" s="9"/>
      <c r="AR222" s="3"/>
      <c r="AT222" s="3"/>
      <c r="AV222" s="6"/>
      <c r="AW222" s="7"/>
      <c r="BB222" s="3"/>
      <c r="BC222" s="6"/>
    </row>
    <row r="223" spans="3:55" ht="15" customHeight="1" x14ac:dyDescent="0.25">
      <c r="C223">
        <v>18</v>
      </c>
      <c r="D223" t="s">
        <v>355</v>
      </c>
      <c r="E223" t="s">
        <v>354</v>
      </c>
      <c r="F223" t="s">
        <v>356</v>
      </c>
      <c r="G223">
        <v>1419</v>
      </c>
      <c r="H223">
        <v>695.31</v>
      </c>
      <c r="I223">
        <v>51</v>
      </c>
      <c r="J223">
        <f t="shared" si="8"/>
        <v>695.31</v>
      </c>
      <c r="AE223">
        <v>18</v>
      </c>
      <c r="AF223" t="s">
        <v>355</v>
      </c>
      <c r="AG223" t="s">
        <v>354</v>
      </c>
      <c r="AH223">
        <v>695.31</v>
      </c>
      <c r="AK223" s="6"/>
      <c r="AL223" s="9"/>
      <c r="AR223" s="3"/>
      <c r="AT223" s="3"/>
      <c r="AV223" s="6"/>
      <c r="AW223" s="7"/>
      <c r="BB223" s="3"/>
      <c r="BC223" s="6"/>
    </row>
    <row r="224" spans="3:55" ht="15" x14ac:dyDescent="0.25">
      <c r="C224">
        <v>22.7</v>
      </c>
      <c r="D224">
        <v>0.16</v>
      </c>
      <c r="E224">
        <v>9.1</v>
      </c>
      <c r="F224" s="12">
        <v>3.4285714285714293</v>
      </c>
      <c r="G224" s="9">
        <v>1300</v>
      </c>
      <c r="H224">
        <v>752</v>
      </c>
      <c r="I224" s="9">
        <v>42.153846153846153</v>
      </c>
      <c r="J224">
        <f t="shared" si="8"/>
        <v>752</v>
      </c>
      <c r="AE224">
        <v>22.7</v>
      </c>
      <c r="AF224">
        <v>0.16</v>
      </c>
      <c r="AG224">
        <v>9.1</v>
      </c>
      <c r="AH224">
        <v>752</v>
      </c>
      <c r="AJ224" s="9"/>
      <c r="AK224" s="9"/>
      <c r="AR224" s="3"/>
      <c r="AT224" s="3"/>
      <c r="AV224" s="6"/>
      <c r="AW224" s="7"/>
      <c r="BB224" s="3"/>
      <c r="BC224" s="6"/>
    </row>
    <row r="225" spans="3:55" ht="15" x14ac:dyDescent="0.25">
      <c r="C225">
        <v>12.9</v>
      </c>
      <c r="D225" t="s">
        <v>43</v>
      </c>
      <c r="E225">
        <v>57.2</v>
      </c>
      <c r="F225" s="8">
        <v>0.34447552447552449</v>
      </c>
      <c r="G225">
        <v>821</v>
      </c>
      <c r="H225">
        <v>789.5</v>
      </c>
      <c r="I225" s="9">
        <v>3.8367844092570031</v>
      </c>
      <c r="J225">
        <f t="shared" si="8"/>
        <v>789.5</v>
      </c>
      <c r="AE225">
        <v>12.9</v>
      </c>
      <c r="AF225" t="s">
        <v>43</v>
      </c>
      <c r="AG225">
        <v>57.2</v>
      </c>
      <c r="AH225">
        <v>789.5</v>
      </c>
      <c r="AJ225" s="9"/>
      <c r="AR225" s="3"/>
      <c r="AT225" s="3"/>
      <c r="AV225" s="6"/>
      <c r="AW225" s="7"/>
      <c r="BB225" s="3"/>
      <c r="BC225" s="6"/>
    </row>
    <row r="226" spans="3:55" ht="15" x14ac:dyDescent="0.25">
      <c r="C226" s="22" t="s">
        <v>257</v>
      </c>
      <c r="E226">
        <v>103.19999999999999</v>
      </c>
      <c r="F226">
        <v>0.89</v>
      </c>
      <c r="G226" s="6">
        <v>2897</v>
      </c>
      <c r="H226" s="3">
        <v>865</v>
      </c>
      <c r="I226" s="7">
        <v>70</v>
      </c>
      <c r="J226">
        <f t="shared" si="8"/>
        <v>869.10000000000014</v>
      </c>
      <c r="AE226" s="22" t="s">
        <v>257</v>
      </c>
      <c r="AG226">
        <v>103.19999999999999</v>
      </c>
      <c r="AH226" s="3">
        <v>865</v>
      </c>
      <c r="AI226" s="3"/>
      <c r="AJ226" s="7"/>
      <c r="AR226" s="3"/>
      <c r="AS226" s="3"/>
      <c r="AT226" s="3"/>
      <c r="AU226" s="3"/>
      <c r="AV226" s="6"/>
      <c r="AW226" s="7"/>
      <c r="AZ226" s="3"/>
      <c r="BA226" s="3"/>
      <c r="BB226" s="3"/>
      <c r="BC226" s="6"/>
    </row>
    <row r="227" spans="3:55" ht="15" x14ac:dyDescent="0.25">
      <c r="C227" s="5" t="s">
        <v>259</v>
      </c>
      <c r="D227" s="13"/>
      <c r="E227">
        <v>103.19999999999999</v>
      </c>
      <c r="F227">
        <v>0.43</v>
      </c>
      <c r="G227" s="6">
        <v>1716</v>
      </c>
      <c r="H227" s="3">
        <v>1155</v>
      </c>
      <c r="I227" s="7">
        <v>33</v>
      </c>
      <c r="J227">
        <f>G227-G227*(I227/100)</f>
        <v>1149.72</v>
      </c>
      <c r="AE227" s="5" t="s">
        <v>259</v>
      </c>
      <c r="AF227" s="13"/>
      <c r="AG227">
        <v>103.19999999999999</v>
      </c>
      <c r="AH227" s="3">
        <v>1155</v>
      </c>
      <c r="AI227" s="3"/>
      <c r="AJ227" s="7"/>
      <c r="AR227" s="3"/>
      <c r="AS227" s="3"/>
      <c r="AT227" s="3"/>
      <c r="AU227" s="3"/>
      <c r="AV227" s="6"/>
      <c r="AW227" s="7"/>
      <c r="AZ227" s="3"/>
      <c r="BA227" s="3"/>
      <c r="BB227" s="3"/>
      <c r="BC227" s="6"/>
    </row>
    <row r="228" spans="3:55" ht="15" customHeight="1" x14ac:dyDescent="0.25">
      <c r="C228">
        <v>13</v>
      </c>
      <c r="D228">
        <v>7.4999999999999997E-2</v>
      </c>
      <c r="E228">
        <v>8</v>
      </c>
      <c r="F228" s="12">
        <v>1.032</v>
      </c>
      <c r="G228">
        <v>344</v>
      </c>
      <c r="I228">
        <v>59</v>
      </c>
      <c r="J228">
        <f>G228-G228*(I228/100)</f>
        <v>141.04000000000002</v>
      </c>
      <c r="AE228">
        <v>13</v>
      </c>
      <c r="AF228">
        <v>7.4999999999999997E-2</v>
      </c>
      <c r="AG228">
        <v>8</v>
      </c>
      <c r="AR228" s="3"/>
      <c r="AS228" s="3"/>
      <c r="AT228" s="3"/>
      <c r="AU228" s="3"/>
      <c r="AV228" s="6"/>
      <c r="AW228" s="7"/>
      <c r="AZ228" s="3"/>
      <c r="BA228" s="3"/>
      <c r="BB228" s="3"/>
      <c r="BC228" s="6"/>
    </row>
    <row r="229" spans="3:55" ht="15" customHeight="1" x14ac:dyDescent="0.25">
      <c r="AR229" s="3"/>
      <c r="AS229" s="3"/>
      <c r="AT229" s="3"/>
      <c r="AU229" s="3"/>
      <c r="AV229" s="6"/>
      <c r="AW229" s="7"/>
      <c r="AZ229" s="3"/>
      <c r="BA229" s="3"/>
      <c r="BB229" s="3"/>
      <c r="BC229" s="6"/>
    </row>
    <row r="230" spans="3:55" ht="15" customHeight="1" x14ac:dyDescent="0.25">
      <c r="AR230" s="3"/>
      <c r="AS230" s="3"/>
      <c r="AT230" s="3"/>
      <c r="AU230" s="3"/>
      <c r="AZ230" s="3"/>
      <c r="BA230" s="3"/>
      <c r="BB230" s="3"/>
    </row>
    <row r="231" spans="3:55" ht="15" customHeight="1" x14ac:dyDescent="0.25">
      <c r="AR231" s="3"/>
      <c r="AS231" s="3"/>
      <c r="AT231" s="3"/>
      <c r="AU231" s="3"/>
      <c r="AZ231" s="3"/>
      <c r="BA231" s="3"/>
      <c r="BB231" s="3"/>
    </row>
    <row r="232" spans="3:55" ht="15" customHeight="1" x14ac:dyDescent="0.25">
      <c r="AS232" s="3"/>
      <c r="AT232" s="3"/>
      <c r="AU232" s="3"/>
      <c r="AZ232" s="3"/>
      <c r="BA232" s="3"/>
      <c r="BB232" s="3"/>
    </row>
    <row r="233" spans="3:55" ht="15" customHeight="1" x14ac:dyDescent="0.25">
      <c r="AR233" s="22"/>
      <c r="AS233" s="3"/>
      <c r="AT233" s="3"/>
      <c r="AU233" s="3"/>
      <c r="AZ233" s="3"/>
      <c r="BA233" s="3"/>
      <c r="BB233" s="3"/>
    </row>
    <row r="234" spans="3:55" ht="15" customHeight="1" x14ac:dyDescent="0.25">
      <c r="AR234" s="5"/>
      <c r="AS234" s="3"/>
      <c r="AT234" s="3"/>
      <c r="AU234" s="3"/>
      <c r="AZ234" s="3"/>
      <c r="BA234" s="3"/>
      <c r="BB234" s="3"/>
    </row>
    <row r="235" spans="3:55" ht="15" customHeight="1" x14ac:dyDescent="0.25">
      <c r="AR235" s="5"/>
      <c r="AS235" s="3"/>
      <c r="AT235" s="3"/>
      <c r="AU235" s="3"/>
      <c r="AZ235" s="3"/>
      <c r="BA235" s="3"/>
      <c r="BB235" s="3"/>
    </row>
    <row r="236" spans="3:55" ht="15" customHeight="1" x14ac:dyDescent="0.25">
      <c r="AR236" s="22"/>
      <c r="AS236" s="3"/>
      <c r="AT236" s="3"/>
      <c r="AU236" s="3"/>
      <c r="AZ236" s="3"/>
      <c r="BA236" s="3"/>
      <c r="BB236" s="3"/>
    </row>
    <row r="237" spans="3:55" ht="15" customHeight="1" x14ac:dyDescent="0.25">
      <c r="AS237" s="3"/>
      <c r="AT237" s="3"/>
      <c r="AU237" s="3"/>
      <c r="AZ237" s="3"/>
      <c r="BA237" s="3"/>
      <c r="BB237" s="3"/>
    </row>
    <row r="238" spans="3:55" ht="15" customHeight="1" x14ac:dyDescent="0.25">
      <c r="AS238" s="3"/>
      <c r="AT238" s="3"/>
      <c r="AU238" s="3"/>
      <c r="AZ238" s="3"/>
      <c r="BA238" s="3"/>
      <c r="BB238" s="3"/>
    </row>
    <row r="239" spans="3:55" ht="15" customHeight="1" x14ac:dyDescent="0.25">
      <c r="AS239" s="3"/>
      <c r="AT239" s="3"/>
      <c r="AU239" s="3"/>
      <c r="AZ239" s="3"/>
      <c r="BA239" s="3"/>
      <c r="BB239" s="3"/>
    </row>
    <row r="240" spans="3:55" ht="15" customHeight="1" x14ac:dyDescent="0.25">
      <c r="C240" s="2"/>
      <c r="F240" s="2"/>
      <c r="AE240" s="2"/>
      <c r="AS240" s="3"/>
      <c r="AT240" s="3"/>
      <c r="AU240" s="3"/>
      <c r="AZ240" s="3"/>
      <c r="BA240" s="3"/>
      <c r="BB240" s="3"/>
    </row>
    <row r="241" spans="3:54" ht="15" customHeight="1" x14ac:dyDescent="0.25">
      <c r="C241" s="22"/>
      <c r="E241" s="30"/>
      <c r="AE241" s="22"/>
      <c r="AG241" s="30"/>
      <c r="AS241" s="3"/>
      <c r="AT241" s="3"/>
      <c r="AU241" s="3"/>
      <c r="AZ241" s="3"/>
      <c r="BA241" s="3"/>
      <c r="BB241" s="3"/>
    </row>
    <row r="242" spans="3:54" ht="15" x14ac:dyDescent="0.25">
      <c r="AS242" s="3"/>
      <c r="AT242" s="3"/>
      <c r="AU242" s="3"/>
      <c r="AZ242" s="3"/>
      <c r="BA242" s="3"/>
      <c r="BB242" s="3"/>
    </row>
    <row r="243" spans="3:54" ht="15" x14ac:dyDescent="0.25">
      <c r="C243" s="3"/>
      <c r="E243" s="3"/>
      <c r="F243" s="3"/>
      <c r="G243" s="6"/>
      <c r="H243" s="3"/>
      <c r="I243" s="7"/>
      <c r="AE243" s="3"/>
      <c r="AG243" s="3"/>
      <c r="AH243" s="3"/>
      <c r="AI243" s="3"/>
      <c r="AJ243" s="7"/>
    </row>
    <row r="244" spans="3:54" ht="15" x14ac:dyDescent="0.25">
      <c r="C244" s="3"/>
      <c r="E244" s="3"/>
      <c r="F244" s="3"/>
      <c r="G244" s="6"/>
      <c r="H244" s="3"/>
      <c r="I244" s="7"/>
      <c r="AE244" s="3"/>
      <c r="AG244" s="3"/>
      <c r="AH244" s="3"/>
      <c r="AI244" s="3"/>
      <c r="AJ244" s="7"/>
      <c r="AS244" s="22"/>
      <c r="AT244" s="30"/>
      <c r="BA244" s="22"/>
      <c r="BB244" s="30"/>
    </row>
    <row r="245" spans="3:54" ht="15" x14ac:dyDescent="0.25">
      <c r="C245" s="3"/>
      <c r="E245" s="3"/>
      <c r="F245" s="3"/>
      <c r="G245" s="6"/>
      <c r="H245" s="3"/>
      <c r="I245" s="7"/>
      <c r="AE245" s="3"/>
      <c r="AG245" s="3"/>
      <c r="AH245" s="3"/>
      <c r="AI245" s="3"/>
      <c r="AJ245" s="7"/>
      <c r="AW245" s="9"/>
    </row>
    <row r="246" spans="3:54" ht="14.25" customHeight="1" x14ac:dyDescent="0.2">
      <c r="AK246" s="6"/>
    </row>
    <row r="247" spans="3:54" ht="14.25" customHeight="1" x14ac:dyDescent="0.2">
      <c r="AK247" s="6"/>
    </row>
    <row r="248" spans="3:54" ht="14.25" customHeight="1" x14ac:dyDescent="0.2">
      <c r="AK248" s="6"/>
    </row>
    <row r="252" spans="3:54" ht="15" x14ac:dyDescent="0.25">
      <c r="F252" s="8"/>
      <c r="H252" s="9"/>
      <c r="I252" s="9"/>
      <c r="AH252" s="9"/>
      <c r="AI252" s="9"/>
      <c r="AJ252" s="9"/>
    </row>
    <row r="253" spans="3:54" ht="15" x14ac:dyDescent="0.25">
      <c r="F253" s="8"/>
      <c r="H253" s="9"/>
      <c r="I253" s="9"/>
      <c r="AH253" s="9"/>
      <c r="AI253" s="9"/>
      <c r="AJ253" s="9"/>
    </row>
    <row r="254" spans="3:54" ht="15" x14ac:dyDescent="0.25">
      <c r="F254" s="8"/>
      <c r="H254" s="9"/>
      <c r="I254" s="9"/>
      <c r="AH254" s="9"/>
      <c r="AI254" s="9"/>
      <c r="AJ254" s="9"/>
    </row>
    <row r="255" spans="3:54" ht="15" x14ac:dyDescent="0.25">
      <c r="F255" s="8"/>
      <c r="H255" s="9"/>
      <c r="I255" s="9"/>
      <c r="AH255" s="9"/>
      <c r="AI255" s="9"/>
      <c r="AJ255" s="9"/>
    </row>
    <row r="256" spans="3:54" ht="15" x14ac:dyDescent="0.25">
      <c r="D256" s="3"/>
      <c r="F256" s="8"/>
      <c r="G256" s="9"/>
      <c r="H256" s="3"/>
      <c r="I256" s="7"/>
      <c r="AF256" s="3"/>
      <c r="AH256" s="3"/>
      <c r="AI256" s="3"/>
      <c r="AJ256" s="7"/>
    </row>
    <row r="257" spans="3:37" ht="15" x14ac:dyDescent="0.25">
      <c r="D257" s="3"/>
      <c r="F257" s="8"/>
      <c r="G257" s="9"/>
      <c r="H257" s="3"/>
      <c r="I257" s="7"/>
      <c r="AF257" s="3"/>
      <c r="AH257" s="3"/>
      <c r="AI257" s="3"/>
      <c r="AJ257" s="7"/>
    </row>
    <row r="258" spans="3:37" ht="15" x14ac:dyDescent="0.25">
      <c r="D258" s="3"/>
      <c r="F258" s="8"/>
      <c r="G258" s="9"/>
      <c r="H258" s="3"/>
      <c r="I258" s="7"/>
      <c r="AF258" s="3"/>
      <c r="AH258" s="3"/>
      <c r="AI258" s="3"/>
      <c r="AJ258" s="7"/>
    </row>
    <row r="259" spans="3:37" ht="15" x14ac:dyDescent="0.25">
      <c r="D259" s="3"/>
      <c r="F259" s="3"/>
      <c r="G259" s="9"/>
      <c r="H259" s="3"/>
      <c r="I259" s="7"/>
      <c r="AF259" s="3"/>
      <c r="AH259" s="3"/>
      <c r="AI259" s="3"/>
      <c r="AJ259" s="7"/>
      <c r="AK259" s="9"/>
    </row>
    <row r="260" spans="3:37" ht="15" x14ac:dyDescent="0.25">
      <c r="D260" s="3"/>
      <c r="F260" s="3"/>
      <c r="G260" s="9"/>
      <c r="H260" s="3"/>
      <c r="I260" s="7"/>
      <c r="AF260" s="3"/>
      <c r="AH260" s="3"/>
      <c r="AI260" s="3"/>
      <c r="AJ260" s="7"/>
      <c r="AK260" s="9"/>
    </row>
    <row r="261" spans="3:37" ht="15" x14ac:dyDescent="0.25">
      <c r="D261" s="3"/>
      <c r="F261" s="3"/>
      <c r="G261" s="9"/>
      <c r="H261" s="3"/>
      <c r="I261" s="7"/>
      <c r="AF261" s="3"/>
      <c r="AH261" s="3"/>
      <c r="AI261" s="3"/>
      <c r="AJ261" s="7"/>
      <c r="AK261" s="9"/>
    </row>
    <row r="262" spans="3:37" ht="15" x14ac:dyDescent="0.25">
      <c r="D262" s="3"/>
      <c r="F262" s="3"/>
      <c r="G262" s="9"/>
      <c r="H262" s="3"/>
      <c r="I262" s="7"/>
      <c r="AF262" s="3"/>
      <c r="AH262" s="3"/>
      <c r="AI262" s="3"/>
      <c r="AJ262" s="7"/>
      <c r="AK262" s="9"/>
    </row>
    <row r="263" spans="3:37" ht="15" x14ac:dyDescent="0.25">
      <c r="D263" s="3"/>
      <c r="F263" s="3"/>
      <c r="G263" s="9"/>
      <c r="H263" s="3"/>
      <c r="I263" s="7"/>
      <c r="AF263" s="3"/>
      <c r="AH263" s="3"/>
      <c r="AI263" s="3"/>
      <c r="AJ263" s="7"/>
      <c r="AK263" s="9"/>
    </row>
    <row r="264" spans="3:37" ht="15" x14ac:dyDescent="0.25">
      <c r="D264" s="3"/>
      <c r="F264" s="3"/>
      <c r="G264" s="9"/>
      <c r="H264" s="3"/>
      <c r="I264" s="7"/>
      <c r="AF264" s="3"/>
      <c r="AH264" s="3"/>
      <c r="AI264" s="3"/>
      <c r="AJ264" s="7"/>
      <c r="AK264" s="9"/>
    </row>
    <row r="265" spans="3:37" ht="15" x14ac:dyDescent="0.25">
      <c r="D265" s="3"/>
      <c r="F265" s="10"/>
      <c r="G265" s="9"/>
      <c r="H265" s="3"/>
      <c r="I265" s="3"/>
      <c r="AF265" s="3"/>
      <c r="AH265" s="3"/>
      <c r="AI265" s="3"/>
      <c r="AJ265" s="3"/>
      <c r="AK265" s="9"/>
    </row>
    <row r="266" spans="3:37" ht="15" x14ac:dyDescent="0.25">
      <c r="C266" t="s">
        <v>43</v>
      </c>
      <c r="F266" s="12"/>
      <c r="AE266" t="s">
        <v>43</v>
      </c>
      <c r="AK266" s="9"/>
    </row>
    <row r="267" spans="3:37" ht="15" x14ac:dyDescent="0.25">
      <c r="C267" t="s">
        <v>43</v>
      </c>
      <c r="F267" s="12"/>
      <c r="AE267" t="s">
        <v>43</v>
      </c>
      <c r="AK267" s="9"/>
    </row>
    <row r="268" spans="3:37" ht="15" x14ac:dyDescent="0.25">
      <c r="C268" t="s">
        <v>43</v>
      </c>
      <c r="F268" s="12"/>
      <c r="AE268" t="s">
        <v>43</v>
      </c>
      <c r="AK268" s="9"/>
    </row>
  </sheetData>
  <sortState xmlns:xlrd2="http://schemas.microsoft.com/office/spreadsheetml/2017/richdata2" ref="AZ2:BC121">
    <sortCondition ref="AZ2:AZ121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E0C51-5BB6-4244-998B-B0876711ACB5}">
  <dimension ref="D1:Y244"/>
  <sheetViews>
    <sheetView topLeftCell="B1" workbookViewId="0">
      <selection activeCell="T89" sqref="P2:T89"/>
    </sheetView>
  </sheetViews>
  <sheetFormatPr defaultRowHeight="14.25" x14ac:dyDescent="0.2"/>
  <sheetData>
    <row r="1" spans="4:25" x14ac:dyDescent="0.2">
      <c r="D1" t="s">
        <v>23</v>
      </c>
      <c r="E1" t="s">
        <v>424</v>
      </c>
      <c r="F1" t="s">
        <v>17</v>
      </c>
      <c r="G1" t="s">
        <v>20</v>
      </c>
      <c r="H1" t="s">
        <v>28</v>
      </c>
      <c r="J1" t="s">
        <v>23</v>
      </c>
      <c r="K1" t="s">
        <v>20</v>
      </c>
      <c r="L1" t="s">
        <v>17</v>
      </c>
      <c r="P1" t="s">
        <v>22</v>
      </c>
      <c r="Q1" t="s">
        <v>424</v>
      </c>
      <c r="R1" t="s">
        <v>17</v>
      </c>
      <c r="S1" t="s">
        <v>20</v>
      </c>
      <c r="T1" t="s">
        <v>24</v>
      </c>
      <c r="V1" t="s">
        <v>22</v>
      </c>
      <c r="W1" t="s">
        <v>17</v>
      </c>
      <c r="X1" t="s">
        <v>20</v>
      </c>
      <c r="Y1" t="s">
        <v>24</v>
      </c>
    </row>
    <row r="2" spans="4:25" x14ac:dyDescent="0.2">
      <c r="D2">
        <v>132</v>
      </c>
      <c r="E2">
        <v>8.7888983093448783</v>
      </c>
      <c r="F2">
        <v>26</v>
      </c>
      <c r="G2">
        <v>6</v>
      </c>
      <c r="H2">
        <v>70</v>
      </c>
      <c r="J2">
        <v>132</v>
      </c>
      <c r="K2">
        <v>6</v>
      </c>
      <c r="L2">
        <v>26</v>
      </c>
      <c r="P2">
        <v>48</v>
      </c>
      <c r="Q2">
        <v>14.281959752685427</v>
      </c>
      <c r="R2">
        <v>10.3</v>
      </c>
      <c r="S2">
        <v>8</v>
      </c>
      <c r="T2">
        <v>27.2</v>
      </c>
      <c r="V2">
        <v>48</v>
      </c>
      <c r="W2">
        <v>7.1</v>
      </c>
      <c r="X2">
        <v>8</v>
      </c>
      <c r="Y2">
        <v>13.1</v>
      </c>
    </row>
    <row r="3" spans="4:25" x14ac:dyDescent="0.2">
      <c r="D3">
        <v>132</v>
      </c>
      <c r="E3">
        <v>9.8875105980129874</v>
      </c>
      <c r="F3">
        <v>26</v>
      </c>
      <c r="G3">
        <v>6</v>
      </c>
      <c r="H3">
        <v>66</v>
      </c>
      <c r="J3">
        <v>132</v>
      </c>
      <c r="K3">
        <v>6</v>
      </c>
      <c r="L3">
        <v>26</v>
      </c>
      <c r="P3">
        <v>48</v>
      </c>
      <c r="Q3">
        <v>14.281959752685427</v>
      </c>
      <c r="R3">
        <v>7.1</v>
      </c>
      <c r="S3">
        <v>8</v>
      </c>
      <c r="T3">
        <v>13.1</v>
      </c>
      <c r="V3">
        <v>48</v>
      </c>
      <c r="W3">
        <v>10.3</v>
      </c>
      <c r="X3">
        <v>8</v>
      </c>
      <c r="Y3" s="6">
        <v>27.2</v>
      </c>
    </row>
    <row r="4" spans="4:25" x14ac:dyDescent="0.2">
      <c r="D4">
        <v>132</v>
      </c>
      <c r="E4">
        <v>9.8875105980129874</v>
      </c>
      <c r="F4">
        <v>26</v>
      </c>
      <c r="G4">
        <v>6</v>
      </c>
      <c r="H4">
        <v>41</v>
      </c>
      <c r="J4">
        <v>132</v>
      </c>
      <c r="K4">
        <v>6</v>
      </c>
      <c r="L4">
        <v>26</v>
      </c>
      <c r="P4" s="9">
        <v>53.63</v>
      </c>
      <c r="Q4">
        <v>10.986122886681098</v>
      </c>
      <c r="R4">
        <v>20</v>
      </c>
      <c r="T4" s="9">
        <v>22.75</v>
      </c>
      <c r="V4" s="9">
        <v>53.63</v>
      </c>
      <c r="W4">
        <v>20</v>
      </c>
      <c r="Y4">
        <v>22.75</v>
      </c>
    </row>
    <row r="5" spans="4:25" x14ac:dyDescent="0.2">
      <c r="D5">
        <v>138.19999999999999</v>
      </c>
      <c r="E5">
        <v>14.281959752685427</v>
      </c>
      <c r="F5">
        <v>7.1</v>
      </c>
      <c r="G5">
        <v>8</v>
      </c>
      <c r="H5">
        <v>92.4</v>
      </c>
      <c r="J5">
        <v>138.19999999999999</v>
      </c>
      <c r="K5">
        <v>8</v>
      </c>
      <c r="L5">
        <v>7.1</v>
      </c>
      <c r="P5">
        <v>67</v>
      </c>
      <c r="Q5">
        <v>9.8875105980129874</v>
      </c>
      <c r="R5">
        <v>28</v>
      </c>
      <c r="S5">
        <v>6.1</v>
      </c>
      <c r="T5">
        <v>24</v>
      </c>
      <c r="V5">
        <v>67</v>
      </c>
      <c r="W5">
        <v>28</v>
      </c>
      <c r="X5">
        <v>6.1</v>
      </c>
      <c r="Y5">
        <v>24</v>
      </c>
    </row>
    <row r="6" spans="4:25" x14ac:dyDescent="0.2">
      <c r="D6">
        <v>138.19999999999999</v>
      </c>
      <c r="E6">
        <v>14.281959752685427</v>
      </c>
      <c r="F6">
        <v>10.3</v>
      </c>
      <c r="G6">
        <v>8</v>
      </c>
      <c r="H6">
        <v>89.4</v>
      </c>
      <c r="J6">
        <v>138.19999999999999</v>
      </c>
      <c r="K6">
        <v>8</v>
      </c>
      <c r="L6">
        <v>10.3</v>
      </c>
      <c r="P6">
        <v>88</v>
      </c>
      <c r="Q6">
        <v>9.8875105980129874</v>
      </c>
      <c r="R6">
        <v>35</v>
      </c>
      <c r="S6">
        <v>4</v>
      </c>
      <c r="T6">
        <v>34</v>
      </c>
      <c r="V6">
        <v>88</v>
      </c>
      <c r="W6">
        <v>35</v>
      </c>
      <c r="X6">
        <v>4</v>
      </c>
      <c r="Y6">
        <v>34</v>
      </c>
    </row>
    <row r="7" spans="4:25" x14ac:dyDescent="0.2">
      <c r="D7">
        <v>146</v>
      </c>
      <c r="E7">
        <v>8.7888983093448783</v>
      </c>
      <c r="F7">
        <v>14.7</v>
      </c>
      <c r="G7">
        <v>12.8</v>
      </c>
      <c r="H7">
        <v>88</v>
      </c>
      <c r="J7">
        <v>146</v>
      </c>
      <c r="K7">
        <v>12.8</v>
      </c>
      <c r="L7">
        <v>14.7</v>
      </c>
      <c r="P7">
        <v>89</v>
      </c>
      <c r="Q7">
        <v>8.7888983093448783</v>
      </c>
      <c r="R7">
        <v>14.7</v>
      </c>
      <c r="S7">
        <v>12.8</v>
      </c>
      <c r="T7">
        <v>38</v>
      </c>
      <c r="V7">
        <v>89</v>
      </c>
      <c r="W7">
        <v>14.7</v>
      </c>
      <c r="X7">
        <v>12.8</v>
      </c>
      <c r="Y7">
        <v>38</v>
      </c>
    </row>
    <row r="8" spans="4:25" x14ac:dyDescent="0.2">
      <c r="D8">
        <v>164</v>
      </c>
      <c r="E8">
        <v>8.7888983093448783</v>
      </c>
      <c r="F8">
        <v>26</v>
      </c>
      <c r="G8">
        <v>4</v>
      </c>
      <c r="H8">
        <v>71</v>
      </c>
      <c r="J8">
        <v>164</v>
      </c>
      <c r="K8">
        <v>4</v>
      </c>
      <c r="L8">
        <v>26</v>
      </c>
      <c r="P8">
        <v>91</v>
      </c>
      <c r="Q8">
        <v>9.8875105980129874</v>
      </c>
      <c r="R8">
        <v>25</v>
      </c>
      <c r="S8">
        <v>7.5</v>
      </c>
      <c r="T8">
        <v>34</v>
      </c>
      <c r="V8">
        <v>91</v>
      </c>
      <c r="W8">
        <v>25</v>
      </c>
      <c r="X8">
        <v>7.5</v>
      </c>
      <c r="Y8">
        <v>34</v>
      </c>
    </row>
    <row r="9" spans="4:25" x14ac:dyDescent="0.2">
      <c r="D9">
        <v>164</v>
      </c>
      <c r="E9">
        <v>9.8875105980129874</v>
      </c>
      <c r="F9">
        <v>26</v>
      </c>
      <c r="G9">
        <v>4</v>
      </c>
      <c r="H9">
        <v>62</v>
      </c>
      <c r="J9">
        <v>164</v>
      </c>
      <c r="K9">
        <v>4</v>
      </c>
      <c r="L9">
        <v>26</v>
      </c>
      <c r="P9">
        <v>95</v>
      </c>
      <c r="Q9">
        <v>8.7888983093448783</v>
      </c>
      <c r="R9">
        <v>20</v>
      </c>
      <c r="S9">
        <v>12.3</v>
      </c>
      <c r="T9">
        <v>38</v>
      </c>
      <c r="V9">
        <v>95</v>
      </c>
      <c r="W9">
        <v>20</v>
      </c>
      <c r="X9">
        <v>12.3</v>
      </c>
      <c r="Y9">
        <v>38</v>
      </c>
    </row>
    <row r="10" spans="4:25" x14ac:dyDescent="0.2">
      <c r="D10">
        <v>164</v>
      </c>
      <c r="E10">
        <v>9.8875105980129874</v>
      </c>
      <c r="F10">
        <v>26</v>
      </c>
      <c r="G10">
        <v>4</v>
      </c>
      <c r="H10">
        <v>44</v>
      </c>
      <c r="J10">
        <v>164</v>
      </c>
      <c r="K10">
        <v>4</v>
      </c>
      <c r="L10">
        <v>26</v>
      </c>
      <c r="P10">
        <v>113</v>
      </c>
      <c r="Q10">
        <v>9.8875105980129874</v>
      </c>
      <c r="R10">
        <v>25</v>
      </c>
      <c r="S10">
        <v>6.2</v>
      </c>
      <c r="T10">
        <v>37</v>
      </c>
      <c r="V10">
        <v>113</v>
      </c>
      <c r="W10">
        <v>25</v>
      </c>
      <c r="X10">
        <v>6.2</v>
      </c>
      <c r="Y10" s="6">
        <v>37</v>
      </c>
    </row>
    <row r="11" spans="4:25" ht="15" x14ac:dyDescent="0.25">
      <c r="D11">
        <v>188</v>
      </c>
      <c r="E11">
        <v>9.8875105980129874</v>
      </c>
      <c r="F11">
        <v>28</v>
      </c>
      <c r="G11">
        <v>6.1</v>
      </c>
      <c r="H11">
        <v>83</v>
      </c>
      <c r="J11">
        <v>188</v>
      </c>
      <c r="K11">
        <v>6.1</v>
      </c>
      <c r="L11">
        <v>28</v>
      </c>
      <c r="P11">
        <v>120</v>
      </c>
      <c r="Q11">
        <v>8.7888983093448783</v>
      </c>
      <c r="R11" s="22">
        <v>19.149999999999999</v>
      </c>
      <c r="S11" s="3">
        <v>8</v>
      </c>
      <c r="T11">
        <v>66</v>
      </c>
      <c r="V11">
        <v>120</v>
      </c>
      <c r="W11" s="22">
        <v>19.149999999999999</v>
      </c>
      <c r="X11" s="3">
        <v>8</v>
      </c>
      <c r="Y11">
        <v>66</v>
      </c>
    </row>
    <row r="12" spans="4:25" x14ac:dyDescent="0.2">
      <c r="D12">
        <v>190</v>
      </c>
      <c r="E12">
        <v>7.6902860206767683</v>
      </c>
      <c r="F12" s="22">
        <v>28</v>
      </c>
      <c r="G12">
        <v>8</v>
      </c>
      <c r="H12">
        <v>53.200000000000017</v>
      </c>
      <c r="J12">
        <v>190</v>
      </c>
      <c r="K12">
        <v>8</v>
      </c>
      <c r="L12">
        <v>28</v>
      </c>
      <c r="P12">
        <v>126</v>
      </c>
      <c r="Q12">
        <v>8.7888983093448783</v>
      </c>
      <c r="R12">
        <v>14.4</v>
      </c>
      <c r="S12">
        <v>9.6999999999999993</v>
      </c>
      <c r="T12">
        <v>56</v>
      </c>
      <c r="V12">
        <v>126</v>
      </c>
      <c r="W12">
        <v>14.4</v>
      </c>
      <c r="X12">
        <v>9.6999999999999993</v>
      </c>
      <c r="Y12">
        <v>56</v>
      </c>
    </row>
    <row r="13" spans="4:25" x14ac:dyDescent="0.2">
      <c r="D13">
        <v>190</v>
      </c>
      <c r="E13">
        <v>8.7888983093448783</v>
      </c>
      <c r="F13" s="22">
        <v>28</v>
      </c>
      <c r="G13">
        <v>8</v>
      </c>
      <c r="H13">
        <v>30.400000000000006</v>
      </c>
      <c r="J13">
        <v>190</v>
      </c>
      <c r="K13">
        <v>8</v>
      </c>
      <c r="L13">
        <v>28</v>
      </c>
      <c r="P13">
        <v>134</v>
      </c>
      <c r="Q13">
        <v>8.7888983093448783</v>
      </c>
      <c r="R13">
        <v>25</v>
      </c>
      <c r="S13">
        <v>4</v>
      </c>
      <c r="T13">
        <v>75</v>
      </c>
      <c r="V13">
        <v>134</v>
      </c>
      <c r="W13">
        <v>25</v>
      </c>
      <c r="X13">
        <v>4</v>
      </c>
      <c r="Y13">
        <v>75</v>
      </c>
    </row>
    <row r="14" spans="4:25" x14ac:dyDescent="0.2">
      <c r="D14">
        <v>194</v>
      </c>
      <c r="E14">
        <v>9.8875105980129874</v>
      </c>
      <c r="F14">
        <v>25</v>
      </c>
      <c r="G14">
        <v>7.5</v>
      </c>
      <c r="H14">
        <v>89</v>
      </c>
      <c r="J14">
        <v>194</v>
      </c>
      <c r="K14">
        <v>7.5</v>
      </c>
      <c r="L14">
        <v>25</v>
      </c>
      <c r="P14">
        <v>134</v>
      </c>
      <c r="Q14">
        <v>8.7888983093448783</v>
      </c>
      <c r="R14">
        <v>25</v>
      </c>
      <c r="S14">
        <v>6</v>
      </c>
      <c r="T14">
        <v>71</v>
      </c>
      <c r="V14">
        <v>134</v>
      </c>
      <c r="W14">
        <v>25</v>
      </c>
      <c r="X14">
        <v>6</v>
      </c>
      <c r="Y14">
        <v>71</v>
      </c>
    </row>
    <row r="15" spans="4:25" x14ac:dyDescent="0.2">
      <c r="D15">
        <v>200</v>
      </c>
      <c r="E15">
        <v>7.6902860206767683</v>
      </c>
      <c r="F15" s="22">
        <v>26.5</v>
      </c>
      <c r="G15">
        <v>6</v>
      </c>
      <c r="H15">
        <v>60</v>
      </c>
      <c r="J15">
        <v>200</v>
      </c>
      <c r="K15">
        <v>6</v>
      </c>
      <c r="L15">
        <v>26.5</v>
      </c>
      <c r="P15">
        <v>148</v>
      </c>
      <c r="Q15">
        <v>10.986122886681098</v>
      </c>
      <c r="R15">
        <v>23</v>
      </c>
      <c r="S15">
        <v>10.6</v>
      </c>
      <c r="T15">
        <v>54</v>
      </c>
      <c r="V15">
        <v>148</v>
      </c>
      <c r="W15">
        <v>23</v>
      </c>
      <c r="X15">
        <v>10.6</v>
      </c>
      <c r="Y15">
        <v>54</v>
      </c>
    </row>
    <row r="16" spans="4:25" x14ac:dyDescent="0.2">
      <c r="D16">
        <v>200</v>
      </c>
      <c r="E16">
        <v>8.7888983093448783</v>
      </c>
      <c r="F16" s="22">
        <v>26.5</v>
      </c>
      <c r="G16">
        <v>6</v>
      </c>
      <c r="H16">
        <v>36</v>
      </c>
      <c r="J16">
        <v>200</v>
      </c>
      <c r="K16">
        <v>6</v>
      </c>
      <c r="L16">
        <v>26.5</v>
      </c>
      <c r="P16">
        <v>148</v>
      </c>
      <c r="Q16">
        <v>10.986122886681098</v>
      </c>
      <c r="R16">
        <v>23</v>
      </c>
      <c r="S16">
        <v>9.9</v>
      </c>
      <c r="T16">
        <v>74</v>
      </c>
      <c r="V16">
        <v>148</v>
      </c>
      <c r="W16">
        <v>23</v>
      </c>
      <c r="X16">
        <v>9.9</v>
      </c>
      <c r="Y16">
        <v>74</v>
      </c>
    </row>
    <row r="17" spans="4:25" x14ac:dyDescent="0.2">
      <c r="D17">
        <v>205</v>
      </c>
      <c r="E17">
        <v>7.6902860206767683</v>
      </c>
      <c r="F17" s="22">
        <v>30</v>
      </c>
      <c r="G17">
        <v>4</v>
      </c>
      <c r="H17">
        <v>67.650000000000006</v>
      </c>
      <c r="J17">
        <v>205</v>
      </c>
      <c r="K17">
        <v>4</v>
      </c>
      <c r="L17">
        <v>30</v>
      </c>
      <c r="P17">
        <v>149</v>
      </c>
      <c r="Q17">
        <v>9.8875105980129874</v>
      </c>
      <c r="R17">
        <v>21</v>
      </c>
      <c r="S17">
        <v>5.0999999999999996</v>
      </c>
      <c r="T17">
        <v>49</v>
      </c>
      <c r="V17">
        <v>149</v>
      </c>
      <c r="W17">
        <v>21</v>
      </c>
      <c r="X17">
        <v>5.0999999999999996</v>
      </c>
      <c r="Y17">
        <v>49</v>
      </c>
    </row>
    <row r="18" spans="4:25" x14ac:dyDescent="0.2">
      <c r="D18">
        <v>205</v>
      </c>
      <c r="E18">
        <v>8.7888983093448783</v>
      </c>
      <c r="F18" s="22">
        <v>30</v>
      </c>
      <c r="G18">
        <v>4</v>
      </c>
      <c r="H18">
        <v>33.825000000000017</v>
      </c>
      <c r="J18">
        <v>205</v>
      </c>
      <c r="K18">
        <v>4</v>
      </c>
      <c r="L18">
        <v>30</v>
      </c>
      <c r="P18">
        <v>154</v>
      </c>
      <c r="Q18">
        <v>8.7888983093448783</v>
      </c>
      <c r="R18">
        <v>13.6</v>
      </c>
      <c r="S18">
        <v>7.7</v>
      </c>
      <c r="T18">
        <v>74</v>
      </c>
      <c r="V18">
        <v>154</v>
      </c>
      <c r="W18">
        <v>13.6</v>
      </c>
      <c r="X18">
        <v>7.7</v>
      </c>
      <c r="Y18">
        <v>74</v>
      </c>
    </row>
    <row r="19" spans="4:25" x14ac:dyDescent="0.2">
      <c r="D19">
        <v>207</v>
      </c>
      <c r="E19">
        <v>8.7888983093448783</v>
      </c>
      <c r="F19">
        <v>26</v>
      </c>
      <c r="G19">
        <v>8</v>
      </c>
      <c r="H19">
        <v>73</v>
      </c>
      <c r="J19">
        <v>207</v>
      </c>
      <c r="K19">
        <v>8</v>
      </c>
      <c r="L19">
        <v>26</v>
      </c>
      <c r="P19">
        <v>174</v>
      </c>
      <c r="Q19">
        <v>8.7888983093448783</v>
      </c>
      <c r="R19">
        <v>13.7</v>
      </c>
      <c r="S19">
        <v>14.5</v>
      </c>
      <c r="T19">
        <v>54</v>
      </c>
      <c r="V19">
        <v>174</v>
      </c>
      <c r="W19">
        <v>13.7</v>
      </c>
      <c r="X19">
        <v>14.5</v>
      </c>
      <c r="Y19">
        <v>54</v>
      </c>
    </row>
    <row r="20" spans="4:25" x14ac:dyDescent="0.2">
      <c r="D20">
        <v>207</v>
      </c>
      <c r="E20">
        <v>9.8875105980129874</v>
      </c>
      <c r="F20">
        <v>26</v>
      </c>
      <c r="G20">
        <v>8</v>
      </c>
      <c r="H20">
        <v>63</v>
      </c>
      <c r="J20">
        <v>207</v>
      </c>
      <c r="K20">
        <v>8</v>
      </c>
      <c r="L20">
        <v>26</v>
      </c>
      <c r="P20">
        <v>178</v>
      </c>
      <c r="Q20">
        <v>8.7888983093448783</v>
      </c>
      <c r="R20">
        <v>20</v>
      </c>
      <c r="S20">
        <v>10.4</v>
      </c>
      <c r="T20">
        <v>43</v>
      </c>
      <c r="V20">
        <v>178</v>
      </c>
      <c r="W20">
        <v>20</v>
      </c>
      <c r="X20">
        <v>10.4</v>
      </c>
      <c r="Y20">
        <v>43</v>
      </c>
    </row>
    <row r="21" spans="4:25" x14ac:dyDescent="0.2">
      <c r="D21">
        <v>207</v>
      </c>
      <c r="E21">
        <v>9.8875105980129874</v>
      </c>
      <c r="F21">
        <v>26</v>
      </c>
      <c r="G21">
        <v>8</v>
      </c>
      <c r="H21">
        <v>35</v>
      </c>
      <c r="J21">
        <v>207</v>
      </c>
      <c r="K21">
        <v>8</v>
      </c>
      <c r="L21">
        <v>26</v>
      </c>
      <c r="P21">
        <v>182</v>
      </c>
      <c r="Q21">
        <v>9.8875105980129874</v>
      </c>
      <c r="R21">
        <v>18</v>
      </c>
      <c r="S21">
        <v>11</v>
      </c>
      <c r="T21">
        <v>45</v>
      </c>
      <c r="V21">
        <v>182</v>
      </c>
      <c r="W21">
        <v>18</v>
      </c>
      <c r="X21">
        <v>11</v>
      </c>
      <c r="Y21" s="6">
        <v>45</v>
      </c>
    </row>
    <row r="22" spans="4:25" x14ac:dyDescent="0.2">
      <c r="D22">
        <v>216</v>
      </c>
      <c r="E22">
        <v>8.7888983093448783</v>
      </c>
      <c r="F22">
        <v>14.4</v>
      </c>
      <c r="G22">
        <v>9.6999999999999993</v>
      </c>
      <c r="H22">
        <v>130</v>
      </c>
      <c r="J22">
        <v>216</v>
      </c>
      <c r="K22">
        <v>9.6999999999999993</v>
      </c>
      <c r="L22">
        <v>14.4</v>
      </c>
      <c r="P22">
        <v>188</v>
      </c>
      <c r="Q22">
        <v>9.8875105980129874</v>
      </c>
      <c r="R22">
        <v>20</v>
      </c>
      <c r="S22">
        <v>4</v>
      </c>
      <c r="T22">
        <v>58</v>
      </c>
      <c r="V22">
        <v>188</v>
      </c>
      <c r="W22">
        <v>20</v>
      </c>
      <c r="X22">
        <v>4</v>
      </c>
      <c r="Y22" s="6">
        <v>58</v>
      </c>
    </row>
    <row r="23" spans="4:25" x14ac:dyDescent="0.2">
      <c r="D23">
        <v>219</v>
      </c>
      <c r="E23">
        <v>8.7888983093448783</v>
      </c>
      <c r="F23">
        <v>20</v>
      </c>
      <c r="G23">
        <v>12.3</v>
      </c>
      <c r="H23">
        <v>119</v>
      </c>
      <c r="J23">
        <v>219</v>
      </c>
      <c r="K23">
        <v>12.3</v>
      </c>
      <c r="L23">
        <v>20</v>
      </c>
      <c r="P23">
        <v>189</v>
      </c>
      <c r="Q23">
        <v>12.084735175349207</v>
      </c>
      <c r="R23">
        <v>20</v>
      </c>
      <c r="S23">
        <v>3.2</v>
      </c>
      <c r="T23">
        <v>144</v>
      </c>
      <c r="V23">
        <v>189</v>
      </c>
      <c r="W23">
        <v>20</v>
      </c>
      <c r="X23">
        <v>3.2</v>
      </c>
      <c r="Y23">
        <v>144</v>
      </c>
    </row>
    <row r="24" spans="4:25" ht="15" x14ac:dyDescent="0.25">
      <c r="D24" s="6">
        <v>243</v>
      </c>
      <c r="E24">
        <v>9.8875105980129874</v>
      </c>
      <c r="F24" s="5">
        <v>21</v>
      </c>
      <c r="G24">
        <v>12</v>
      </c>
      <c r="H24" s="3">
        <v>165</v>
      </c>
      <c r="J24">
        <v>243</v>
      </c>
      <c r="K24">
        <v>12</v>
      </c>
      <c r="L24">
        <v>19</v>
      </c>
      <c r="P24">
        <v>190</v>
      </c>
      <c r="Q24">
        <v>5.4930614433405491</v>
      </c>
      <c r="R24">
        <v>18.5</v>
      </c>
      <c r="S24">
        <v>3.6</v>
      </c>
      <c r="T24">
        <v>45</v>
      </c>
      <c r="V24">
        <v>190</v>
      </c>
      <c r="W24">
        <v>18.5</v>
      </c>
      <c r="X24">
        <v>3.6</v>
      </c>
      <c r="Y24">
        <v>45</v>
      </c>
    </row>
    <row r="25" spans="4:25" ht="15" x14ac:dyDescent="0.25">
      <c r="D25" s="6">
        <v>243</v>
      </c>
      <c r="E25">
        <v>9.8875105980129874</v>
      </c>
      <c r="F25" s="5">
        <v>19</v>
      </c>
      <c r="G25">
        <v>6</v>
      </c>
      <c r="H25" s="3">
        <v>76</v>
      </c>
      <c r="J25">
        <v>243</v>
      </c>
      <c r="K25">
        <v>6</v>
      </c>
      <c r="L25">
        <v>21</v>
      </c>
      <c r="P25">
        <v>191</v>
      </c>
      <c r="Q25">
        <v>9.8875105980129874</v>
      </c>
      <c r="R25">
        <v>23</v>
      </c>
      <c r="S25">
        <v>4</v>
      </c>
      <c r="T25">
        <v>60</v>
      </c>
      <c r="V25">
        <v>191</v>
      </c>
      <c r="W25">
        <v>23</v>
      </c>
      <c r="X25">
        <v>4</v>
      </c>
      <c r="Y25" s="6">
        <v>60</v>
      </c>
    </row>
    <row r="26" spans="4:25" ht="15" x14ac:dyDescent="0.25">
      <c r="D26" s="6">
        <v>243</v>
      </c>
      <c r="E26">
        <v>9.8875105980129874</v>
      </c>
      <c r="F26" s="5">
        <v>26</v>
      </c>
      <c r="G26">
        <v>24</v>
      </c>
      <c r="H26" s="3">
        <v>58</v>
      </c>
      <c r="J26">
        <v>243</v>
      </c>
      <c r="K26">
        <v>24</v>
      </c>
      <c r="L26">
        <v>26</v>
      </c>
      <c r="P26">
        <v>192</v>
      </c>
      <c r="Q26">
        <v>9.8875105980129874</v>
      </c>
      <c r="R26">
        <v>22</v>
      </c>
      <c r="S26">
        <v>7</v>
      </c>
      <c r="T26">
        <v>45</v>
      </c>
      <c r="V26">
        <v>192</v>
      </c>
      <c r="W26">
        <v>22</v>
      </c>
      <c r="X26">
        <v>7</v>
      </c>
      <c r="Y26">
        <v>45</v>
      </c>
    </row>
    <row r="27" spans="4:25" x14ac:dyDescent="0.2">
      <c r="D27">
        <v>258</v>
      </c>
      <c r="E27">
        <v>9.8875105980129874</v>
      </c>
      <c r="F27">
        <v>25</v>
      </c>
      <c r="G27">
        <v>6.2</v>
      </c>
      <c r="H27">
        <v>103</v>
      </c>
      <c r="J27">
        <v>258</v>
      </c>
      <c r="K27">
        <v>6.2</v>
      </c>
      <c r="L27">
        <v>25</v>
      </c>
      <c r="P27">
        <v>195</v>
      </c>
      <c r="Q27">
        <v>9.8875105980129874</v>
      </c>
      <c r="R27">
        <v>21</v>
      </c>
      <c r="S27">
        <v>8.8000000000000007</v>
      </c>
      <c r="T27">
        <v>49</v>
      </c>
      <c r="V27">
        <v>195</v>
      </c>
      <c r="W27">
        <v>21</v>
      </c>
      <c r="X27">
        <v>8.8000000000000007</v>
      </c>
      <c r="Y27">
        <v>49</v>
      </c>
    </row>
    <row r="28" spans="4:25" ht="15" x14ac:dyDescent="0.25">
      <c r="D28">
        <v>274</v>
      </c>
      <c r="E28">
        <v>8.7888983093448783</v>
      </c>
      <c r="F28">
        <v>13.6</v>
      </c>
      <c r="G28">
        <v>7.7</v>
      </c>
      <c r="H28">
        <v>201</v>
      </c>
      <c r="J28">
        <v>274</v>
      </c>
      <c r="K28">
        <v>7.7</v>
      </c>
      <c r="L28">
        <v>13.6</v>
      </c>
      <c r="P28">
        <v>200</v>
      </c>
      <c r="Q28">
        <v>10.986122886681098</v>
      </c>
      <c r="R28" s="22">
        <v>26</v>
      </c>
      <c r="S28" s="3">
        <v>4</v>
      </c>
      <c r="T28">
        <v>76</v>
      </c>
      <c r="V28">
        <v>200</v>
      </c>
      <c r="W28" s="22">
        <v>26</v>
      </c>
      <c r="X28" s="3">
        <v>4</v>
      </c>
      <c r="Y28">
        <v>76</v>
      </c>
    </row>
    <row r="29" spans="4:25" x14ac:dyDescent="0.2">
      <c r="D29">
        <v>285</v>
      </c>
      <c r="E29">
        <v>9.8875105980129874</v>
      </c>
      <c r="F29">
        <v>18</v>
      </c>
      <c r="G29">
        <v>4.4000000000000004</v>
      </c>
      <c r="H29">
        <v>189</v>
      </c>
      <c r="J29">
        <v>285</v>
      </c>
      <c r="K29">
        <v>4.4000000000000004</v>
      </c>
      <c r="L29">
        <v>18</v>
      </c>
      <c r="P29">
        <v>206</v>
      </c>
      <c r="Q29">
        <v>8.7888983093448783</v>
      </c>
      <c r="R29">
        <v>20</v>
      </c>
      <c r="S29">
        <v>9.1</v>
      </c>
      <c r="T29">
        <v>43</v>
      </c>
      <c r="V29">
        <v>206</v>
      </c>
      <c r="W29">
        <v>20</v>
      </c>
      <c r="X29">
        <v>9.1</v>
      </c>
      <c r="Y29">
        <v>43</v>
      </c>
    </row>
    <row r="30" spans="4:25" x14ac:dyDescent="0.2">
      <c r="D30">
        <v>307</v>
      </c>
      <c r="E30">
        <v>9.8875105980129874</v>
      </c>
      <c r="F30">
        <v>21</v>
      </c>
      <c r="G30">
        <v>5.0999999999999996</v>
      </c>
      <c r="H30">
        <v>117</v>
      </c>
      <c r="J30">
        <v>307</v>
      </c>
      <c r="K30">
        <v>5.0999999999999996</v>
      </c>
      <c r="L30">
        <v>21</v>
      </c>
      <c r="P30">
        <v>207</v>
      </c>
      <c r="Q30">
        <v>9.8875105980129874</v>
      </c>
      <c r="R30">
        <v>22</v>
      </c>
      <c r="S30">
        <v>5</v>
      </c>
      <c r="T30">
        <v>78</v>
      </c>
      <c r="V30">
        <v>207</v>
      </c>
      <c r="W30">
        <v>22</v>
      </c>
      <c r="X30">
        <v>5</v>
      </c>
      <c r="Y30">
        <v>78</v>
      </c>
    </row>
    <row r="31" spans="4:25" ht="15" x14ac:dyDescent="0.25">
      <c r="D31">
        <v>312</v>
      </c>
      <c r="E31">
        <v>13.183347464017316</v>
      </c>
      <c r="F31">
        <v>13</v>
      </c>
      <c r="G31">
        <v>4.7</v>
      </c>
      <c r="H31">
        <v>112.32</v>
      </c>
      <c r="J31">
        <v>312</v>
      </c>
      <c r="K31">
        <v>4.7</v>
      </c>
      <c r="L31">
        <v>13</v>
      </c>
      <c r="P31">
        <v>208</v>
      </c>
      <c r="Q31">
        <v>8.7888983093448783</v>
      </c>
      <c r="R31">
        <v>22.5</v>
      </c>
      <c r="S31" s="3">
        <v>9.6999999999999993</v>
      </c>
      <c r="T31">
        <v>66.56</v>
      </c>
      <c r="V31">
        <v>208</v>
      </c>
      <c r="W31">
        <v>22.5</v>
      </c>
      <c r="X31" s="3">
        <v>9.6999999999999993</v>
      </c>
      <c r="Y31">
        <v>66.56</v>
      </c>
    </row>
    <row r="32" spans="4:25" ht="15" x14ac:dyDescent="0.25">
      <c r="D32">
        <v>312</v>
      </c>
      <c r="E32">
        <v>13.183347464017316</v>
      </c>
      <c r="F32">
        <v>22</v>
      </c>
      <c r="G32">
        <v>4.7</v>
      </c>
      <c r="H32">
        <v>93.600000000000023</v>
      </c>
      <c r="J32">
        <v>312</v>
      </c>
      <c r="K32">
        <v>4.7</v>
      </c>
      <c r="L32">
        <v>16</v>
      </c>
      <c r="P32">
        <v>218</v>
      </c>
      <c r="Q32">
        <v>10.986122886681098</v>
      </c>
      <c r="R32">
        <v>23</v>
      </c>
      <c r="S32" s="3">
        <v>7.7</v>
      </c>
      <c r="T32">
        <v>143</v>
      </c>
      <c r="V32">
        <v>218</v>
      </c>
      <c r="W32">
        <v>23</v>
      </c>
      <c r="X32" s="3">
        <v>7.7</v>
      </c>
      <c r="Y32">
        <v>80</v>
      </c>
    </row>
    <row r="33" spans="4:25" x14ac:dyDescent="0.2">
      <c r="D33">
        <v>312</v>
      </c>
      <c r="E33">
        <v>13.183347464017316</v>
      </c>
      <c r="F33">
        <v>25</v>
      </c>
      <c r="G33">
        <v>4.7</v>
      </c>
      <c r="H33">
        <v>93.600000000000023</v>
      </c>
      <c r="J33">
        <v>312</v>
      </c>
      <c r="K33">
        <v>4.7</v>
      </c>
      <c r="L33">
        <v>19</v>
      </c>
      <c r="P33">
        <v>218</v>
      </c>
      <c r="Q33">
        <v>10.986122886681098</v>
      </c>
      <c r="R33">
        <v>23</v>
      </c>
      <c r="S33">
        <v>7.9</v>
      </c>
      <c r="T33">
        <v>80</v>
      </c>
      <c r="V33">
        <v>218</v>
      </c>
      <c r="W33">
        <v>23</v>
      </c>
      <c r="X33">
        <v>7.9</v>
      </c>
      <c r="Y33">
        <v>143</v>
      </c>
    </row>
    <row r="34" spans="4:25" x14ac:dyDescent="0.2">
      <c r="D34">
        <v>312</v>
      </c>
      <c r="E34">
        <v>13.183347464017316</v>
      </c>
      <c r="F34">
        <v>16</v>
      </c>
      <c r="G34">
        <v>4.7</v>
      </c>
      <c r="H34">
        <v>90.480000000000018</v>
      </c>
      <c r="J34">
        <v>312</v>
      </c>
      <c r="K34">
        <v>4.7</v>
      </c>
      <c r="L34">
        <v>22</v>
      </c>
      <c r="P34">
        <v>218</v>
      </c>
      <c r="Q34">
        <v>10.986122886681098</v>
      </c>
      <c r="R34">
        <v>23</v>
      </c>
      <c r="S34">
        <v>7.8</v>
      </c>
      <c r="T34">
        <v>81</v>
      </c>
      <c r="V34">
        <v>218</v>
      </c>
      <c r="W34">
        <v>23</v>
      </c>
      <c r="X34">
        <v>7.8</v>
      </c>
      <c r="Y34">
        <v>81</v>
      </c>
    </row>
    <row r="35" spans="4:25" x14ac:dyDescent="0.2">
      <c r="D35">
        <v>312</v>
      </c>
      <c r="E35">
        <v>13.183347464017316</v>
      </c>
      <c r="F35">
        <v>19</v>
      </c>
      <c r="G35">
        <v>4.7</v>
      </c>
      <c r="H35">
        <v>87.360000000000014</v>
      </c>
      <c r="J35">
        <v>312</v>
      </c>
      <c r="K35">
        <v>4.7</v>
      </c>
      <c r="L35">
        <v>25</v>
      </c>
      <c r="P35">
        <v>219</v>
      </c>
      <c r="Q35">
        <v>9.8875105980129874</v>
      </c>
      <c r="R35">
        <v>22</v>
      </c>
      <c r="S35">
        <v>7.2</v>
      </c>
      <c r="T35">
        <v>74</v>
      </c>
      <c r="V35">
        <v>219</v>
      </c>
      <c r="W35">
        <v>22</v>
      </c>
      <c r="X35">
        <v>7.2</v>
      </c>
      <c r="Y35">
        <v>74</v>
      </c>
    </row>
    <row r="36" spans="4:25" x14ac:dyDescent="0.2">
      <c r="D36">
        <v>318</v>
      </c>
      <c r="E36">
        <v>9.8875105980129874</v>
      </c>
      <c r="F36">
        <v>32</v>
      </c>
      <c r="G36">
        <v>24</v>
      </c>
      <c r="H36">
        <v>136.74</v>
      </c>
      <c r="J36">
        <v>318</v>
      </c>
      <c r="K36">
        <v>24</v>
      </c>
      <c r="L36">
        <v>32</v>
      </c>
      <c r="P36">
        <v>224</v>
      </c>
      <c r="Q36">
        <v>8.7888983093448783</v>
      </c>
      <c r="R36">
        <v>20</v>
      </c>
      <c r="S36">
        <v>9.5</v>
      </c>
      <c r="T36">
        <v>53</v>
      </c>
      <c r="V36">
        <v>224</v>
      </c>
      <c r="W36">
        <v>20</v>
      </c>
      <c r="X36">
        <v>9.5</v>
      </c>
      <c r="Y36">
        <v>53</v>
      </c>
    </row>
    <row r="37" spans="4:25" x14ac:dyDescent="0.2">
      <c r="D37">
        <v>318</v>
      </c>
      <c r="E37">
        <v>8.7888983093448783</v>
      </c>
      <c r="F37">
        <v>32</v>
      </c>
      <c r="G37">
        <v>24</v>
      </c>
      <c r="H37">
        <v>133.87800000000001</v>
      </c>
      <c r="J37">
        <v>318</v>
      </c>
      <c r="K37">
        <v>24</v>
      </c>
      <c r="L37">
        <v>32</v>
      </c>
      <c r="P37">
        <v>229</v>
      </c>
      <c r="Q37">
        <v>8.7888983093448783</v>
      </c>
      <c r="R37">
        <v>20</v>
      </c>
      <c r="S37">
        <v>9.6</v>
      </c>
      <c r="T37">
        <v>56</v>
      </c>
      <c r="V37">
        <v>229</v>
      </c>
      <c r="W37">
        <v>20</v>
      </c>
      <c r="X37">
        <v>9.6</v>
      </c>
      <c r="Y37">
        <v>56</v>
      </c>
    </row>
    <row r="38" spans="4:25" x14ac:dyDescent="0.2">
      <c r="D38">
        <v>321</v>
      </c>
      <c r="E38">
        <v>10.986122886681098</v>
      </c>
      <c r="F38" s="22">
        <v>26</v>
      </c>
      <c r="G38">
        <v>4</v>
      </c>
      <c r="H38">
        <v>153</v>
      </c>
      <c r="J38">
        <v>321</v>
      </c>
      <c r="K38">
        <v>4</v>
      </c>
      <c r="L38" s="9">
        <v>26</v>
      </c>
      <c r="P38">
        <v>232</v>
      </c>
      <c r="Q38">
        <v>8.7888983093448783</v>
      </c>
      <c r="R38">
        <v>12.7</v>
      </c>
      <c r="S38">
        <v>13.6</v>
      </c>
      <c r="T38">
        <v>65</v>
      </c>
      <c r="V38">
        <v>232</v>
      </c>
      <c r="W38">
        <v>12.7</v>
      </c>
      <c r="X38">
        <v>13.6</v>
      </c>
      <c r="Y38">
        <v>65</v>
      </c>
    </row>
    <row r="39" spans="4:25" x14ac:dyDescent="0.2">
      <c r="D39">
        <v>341</v>
      </c>
      <c r="E39">
        <v>12.084735175349207</v>
      </c>
      <c r="F39">
        <v>20</v>
      </c>
      <c r="G39">
        <v>3.2</v>
      </c>
      <c r="H39">
        <v>273</v>
      </c>
      <c r="J39">
        <v>341</v>
      </c>
      <c r="K39">
        <v>3.2</v>
      </c>
      <c r="L39">
        <v>20</v>
      </c>
      <c r="P39">
        <v>233</v>
      </c>
      <c r="Q39">
        <v>8.7888983093448783</v>
      </c>
      <c r="R39">
        <v>22.7</v>
      </c>
      <c r="S39">
        <v>5.7</v>
      </c>
      <c r="T39">
        <v>125.82</v>
      </c>
      <c r="V39">
        <v>233</v>
      </c>
      <c r="W39">
        <v>22.7</v>
      </c>
      <c r="X39">
        <v>5.7</v>
      </c>
      <c r="Y39">
        <v>125.82</v>
      </c>
    </row>
    <row r="40" spans="4:25" x14ac:dyDescent="0.2">
      <c r="D40">
        <v>341</v>
      </c>
      <c r="E40">
        <v>9.8875105980129874</v>
      </c>
      <c r="F40">
        <v>35</v>
      </c>
      <c r="G40">
        <v>4</v>
      </c>
      <c r="H40">
        <v>119</v>
      </c>
      <c r="J40">
        <v>341</v>
      </c>
      <c r="K40">
        <v>4</v>
      </c>
      <c r="L40">
        <v>35</v>
      </c>
      <c r="P40">
        <v>233</v>
      </c>
      <c r="Q40">
        <v>8.7888983093448783</v>
      </c>
      <c r="R40">
        <v>24.3</v>
      </c>
      <c r="S40">
        <v>5.9</v>
      </c>
      <c r="T40">
        <v>107.17999999999999</v>
      </c>
      <c r="V40">
        <v>233</v>
      </c>
      <c r="W40">
        <v>24.3</v>
      </c>
      <c r="X40">
        <v>5.9</v>
      </c>
      <c r="Y40">
        <v>107.17999999999999</v>
      </c>
    </row>
    <row r="41" spans="4:25" x14ac:dyDescent="0.2">
      <c r="D41">
        <v>342</v>
      </c>
      <c r="E41">
        <v>8.7888983093448783</v>
      </c>
      <c r="F41" s="22">
        <v>19.149999999999999</v>
      </c>
      <c r="G41">
        <v>8</v>
      </c>
      <c r="H41">
        <v>118</v>
      </c>
      <c r="J41">
        <v>342</v>
      </c>
      <c r="K41">
        <v>8</v>
      </c>
      <c r="L41" s="9">
        <v>19.149999999999999</v>
      </c>
      <c r="P41">
        <v>235</v>
      </c>
      <c r="Q41">
        <v>10.986122886681098</v>
      </c>
      <c r="R41">
        <v>23</v>
      </c>
      <c r="S41">
        <v>5.7</v>
      </c>
      <c r="T41">
        <v>101</v>
      </c>
      <c r="V41">
        <v>235</v>
      </c>
      <c r="W41">
        <v>23</v>
      </c>
      <c r="X41">
        <v>5.7</v>
      </c>
      <c r="Y41">
        <v>101</v>
      </c>
    </row>
    <row r="42" spans="4:25" x14ac:dyDescent="0.2">
      <c r="D42">
        <v>344</v>
      </c>
      <c r="E42">
        <v>8.7888983093448783</v>
      </c>
      <c r="F42">
        <v>13</v>
      </c>
      <c r="G42">
        <v>8</v>
      </c>
      <c r="H42">
        <v>141.04000000000002</v>
      </c>
      <c r="J42">
        <v>344</v>
      </c>
      <c r="K42">
        <v>8</v>
      </c>
      <c r="L42">
        <v>13</v>
      </c>
      <c r="P42">
        <v>235</v>
      </c>
      <c r="Q42">
        <v>10.986122886681098</v>
      </c>
      <c r="R42">
        <v>23</v>
      </c>
      <c r="S42">
        <v>5.7</v>
      </c>
      <c r="T42">
        <v>145</v>
      </c>
      <c r="V42">
        <v>235</v>
      </c>
      <c r="W42">
        <v>23</v>
      </c>
      <c r="X42">
        <v>5.7</v>
      </c>
      <c r="Y42">
        <v>145</v>
      </c>
    </row>
    <row r="43" spans="4:25" x14ac:dyDescent="0.2">
      <c r="D43">
        <v>346</v>
      </c>
      <c r="E43">
        <v>8.7888983093448783</v>
      </c>
      <c r="F43">
        <v>13.7</v>
      </c>
      <c r="G43">
        <v>14.5</v>
      </c>
      <c r="H43">
        <v>192</v>
      </c>
      <c r="J43">
        <v>346</v>
      </c>
      <c r="K43">
        <v>14.5</v>
      </c>
      <c r="L43">
        <v>13.7</v>
      </c>
      <c r="P43">
        <v>236</v>
      </c>
      <c r="Q43">
        <v>9.8875105980129874</v>
      </c>
      <c r="R43">
        <v>18</v>
      </c>
      <c r="S43">
        <v>4.4000000000000004</v>
      </c>
      <c r="T43">
        <v>105</v>
      </c>
      <c r="V43">
        <v>236</v>
      </c>
      <c r="W43">
        <v>18</v>
      </c>
      <c r="X43">
        <v>4.4000000000000004</v>
      </c>
      <c r="Y43">
        <v>105</v>
      </c>
    </row>
    <row r="44" spans="4:25" x14ac:dyDescent="0.2">
      <c r="D44">
        <v>351</v>
      </c>
      <c r="E44">
        <v>8.7888983093448783</v>
      </c>
      <c r="F44">
        <v>20</v>
      </c>
      <c r="G44">
        <v>9.1</v>
      </c>
      <c r="H44">
        <v>159</v>
      </c>
      <c r="J44">
        <v>351</v>
      </c>
      <c r="K44">
        <v>9.1</v>
      </c>
      <c r="L44">
        <v>20</v>
      </c>
      <c r="P44">
        <v>258</v>
      </c>
      <c r="Q44">
        <v>12.084735175349207</v>
      </c>
      <c r="R44">
        <v>25</v>
      </c>
      <c r="S44">
        <v>4</v>
      </c>
      <c r="T44">
        <v>143</v>
      </c>
      <c r="V44">
        <v>258</v>
      </c>
      <c r="W44">
        <v>25</v>
      </c>
      <c r="X44">
        <v>4</v>
      </c>
      <c r="Y44">
        <v>143</v>
      </c>
    </row>
    <row r="45" spans="4:25" x14ac:dyDescent="0.2">
      <c r="D45">
        <v>363</v>
      </c>
      <c r="E45">
        <v>8.7888983093448783</v>
      </c>
      <c r="F45">
        <v>20</v>
      </c>
      <c r="G45">
        <v>9.5</v>
      </c>
      <c r="H45">
        <v>150</v>
      </c>
      <c r="J45">
        <v>363</v>
      </c>
      <c r="K45">
        <v>9.5</v>
      </c>
      <c r="L45">
        <v>20</v>
      </c>
      <c r="P45">
        <v>258</v>
      </c>
      <c r="Q45">
        <v>13.183347464017316</v>
      </c>
      <c r="R45">
        <v>25</v>
      </c>
      <c r="S45">
        <v>4</v>
      </c>
      <c r="T45">
        <v>142</v>
      </c>
      <c r="V45">
        <v>258</v>
      </c>
      <c r="W45">
        <v>25</v>
      </c>
      <c r="X45">
        <v>4</v>
      </c>
      <c r="Y45">
        <v>142</v>
      </c>
    </row>
    <row r="46" spans="4:25" x14ac:dyDescent="0.2">
      <c r="D46">
        <v>373</v>
      </c>
      <c r="E46">
        <v>8.7888983093448783</v>
      </c>
      <c r="F46">
        <v>25</v>
      </c>
      <c r="G46">
        <v>6</v>
      </c>
      <c r="H46">
        <v>173</v>
      </c>
      <c r="J46">
        <v>373</v>
      </c>
      <c r="K46">
        <v>6</v>
      </c>
      <c r="L46">
        <v>25</v>
      </c>
      <c r="P46">
        <v>267</v>
      </c>
      <c r="Q46">
        <v>13.183347464017316</v>
      </c>
      <c r="R46">
        <v>25.5</v>
      </c>
      <c r="S46">
        <v>72</v>
      </c>
      <c r="T46">
        <v>131</v>
      </c>
      <c r="V46">
        <v>267</v>
      </c>
      <c r="W46">
        <v>25.5</v>
      </c>
      <c r="X46">
        <v>72</v>
      </c>
      <c r="Y46">
        <v>131</v>
      </c>
    </row>
    <row r="47" spans="4:25" x14ac:dyDescent="0.2">
      <c r="D47">
        <v>373</v>
      </c>
      <c r="E47">
        <v>8.7888983093448783</v>
      </c>
      <c r="F47">
        <v>25</v>
      </c>
      <c r="G47">
        <v>4</v>
      </c>
      <c r="H47">
        <v>167</v>
      </c>
      <c r="J47">
        <v>373</v>
      </c>
      <c r="K47">
        <v>4</v>
      </c>
      <c r="L47">
        <v>25</v>
      </c>
      <c r="P47">
        <v>272</v>
      </c>
      <c r="Q47">
        <v>10.986122886681098</v>
      </c>
      <c r="R47">
        <v>23</v>
      </c>
      <c r="S47">
        <v>4.9000000000000004</v>
      </c>
      <c r="T47">
        <v>204</v>
      </c>
      <c r="V47">
        <v>272</v>
      </c>
      <c r="W47">
        <v>23</v>
      </c>
      <c r="X47">
        <v>4.9000000000000004</v>
      </c>
      <c r="Y47">
        <v>204</v>
      </c>
    </row>
    <row r="48" spans="4:25" x14ac:dyDescent="0.2">
      <c r="D48">
        <v>374</v>
      </c>
      <c r="E48">
        <v>9.8875105980129874</v>
      </c>
      <c r="F48">
        <v>22</v>
      </c>
      <c r="G48">
        <v>7</v>
      </c>
      <c r="H48">
        <v>152</v>
      </c>
      <c r="J48">
        <v>374</v>
      </c>
      <c r="K48">
        <v>7</v>
      </c>
      <c r="L48">
        <v>22</v>
      </c>
      <c r="P48">
        <v>272</v>
      </c>
      <c r="Q48">
        <v>10.986122886681098</v>
      </c>
      <c r="R48">
        <v>23</v>
      </c>
      <c r="S48">
        <v>5.0999999999999996</v>
      </c>
      <c r="T48">
        <v>180</v>
      </c>
      <c r="V48">
        <v>272</v>
      </c>
      <c r="W48">
        <v>23</v>
      </c>
      <c r="X48">
        <v>5.0999999999999996</v>
      </c>
      <c r="Y48">
        <v>180</v>
      </c>
    </row>
    <row r="49" spans="4:25" x14ac:dyDescent="0.2">
      <c r="D49" s="9">
        <v>383.33333333333331</v>
      </c>
      <c r="E49">
        <v>10.986122886681098</v>
      </c>
      <c r="F49">
        <v>20</v>
      </c>
      <c r="G49">
        <v>16</v>
      </c>
      <c r="H49" s="9">
        <v>66.666666666666671</v>
      </c>
      <c r="J49">
        <v>383.33333333333331</v>
      </c>
      <c r="K49">
        <v>16</v>
      </c>
      <c r="L49">
        <v>20</v>
      </c>
      <c r="P49">
        <v>280</v>
      </c>
      <c r="Q49">
        <v>13.183347464017316</v>
      </c>
      <c r="R49">
        <v>26</v>
      </c>
      <c r="S49">
        <v>2.7</v>
      </c>
      <c r="T49">
        <v>150</v>
      </c>
      <c r="V49">
        <v>280</v>
      </c>
      <c r="W49">
        <v>26</v>
      </c>
      <c r="X49">
        <v>2.7</v>
      </c>
      <c r="Y49">
        <v>150</v>
      </c>
    </row>
    <row r="50" spans="4:25" x14ac:dyDescent="0.2">
      <c r="D50" s="9">
        <v>385.41666666666663</v>
      </c>
      <c r="E50">
        <v>10.986122886681098</v>
      </c>
      <c r="F50">
        <v>20</v>
      </c>
      <c r="G50">
        <v>20</v>
      </c>
      <c r="H50" s="9">
        <v>73.958333333333329</v>
      </c>
      <c r="J50">
        <v>385.41666666666663</v>
      </c>
      <c r="K50">
        <v>20</v>
      </c>
      <c r="L50">
        <v>20</v>
      </c>
      <c r="P50">
        <v>280</v>
      </c>
      <c r="Q50">
        <v>12.084735175349207</v>
      </c>
      <c r="R50">
        <v>26</v>
      </c>
      <c r="S50">
        <v>2.7</v>
      </c>
      <c r="T50">
        <v>147</v>
      </c>
      <c r="V50">
        <v>280</v>
      </c>
      <c r="W50">
        <v>26</v>
      </c>
      <c r="X50">
        <v>2.7</v>
      </c>
      <c r="Y50">
        <v>147</v>
      </c>
    </row>
    <row r="51" spans="4:25" x14ac:dyDescent="0.2">
      <c r="D51">
        <v>392</v>
      </c>
      <c r="E51">
        <v>8.7888983093448783</v>
      </c>
      <c r="F51">
        <v>20</v>
      </c>
      <c r="G51">
        <v>10.4</v>
      </c>
      <c r="H51">
        <v>149</v>
      </c>
      <c r="J51">
        <v>392</v>
      </c>
      <c r="K51">
        <v>10.4</v>
      </c>
      <c r="L51">
        <v>20</v>
      </c>
      <c r="P51">
        <v>289</v>
      </c>
      <c r="Q51">
        <v>12.084735175349207</v>
      </c>
      <c r="R51">
        <v>17</v>
      </c>
      <c r="S51">
        <v>5.5</v>
      </c>
      <c r="T51">
        <v>167</v>
      </c>
      <c r="V51">
        <v>289</v>
      </c>
      <c r="W51">
        <v>17</v>
      </c>
      <c r="X51">
        <v>5.5</v>
      </c>
      <c r="Y51">
        <v>167</v>
      </c>
    </row>
    <row r="52" spans="4:25" x14ac:dyDescent="0.2">
      <c r="D52">
        <v>393</v>
      </c>
      <c r="E52">
        <v>9.8875105980129874</v>
      </c>
      <c r="F52">
        <v>22</v>
      </c>
      <c r="G52">
        <v>5</v>
      </c>
      <c r="H52">
        <v>280</v>
      </c>
      <c r="J52">
        <v>393</v>
      </c>
      <c r="K52">
        <v>5</v>
      </c>
      <c r="L52">
        <v>22</v>
      </c>
      <c r="P52">
        <v>289</v>
      </c>
      <c r="Q52">
        <v>13.183347464017316</v>
      </c>
      <c r="R52">
        <v>17</v>
      </c>
      <c r="S52">
        <v>5.5</v>
      </c>
      <c r="T52">
        <v>162</v>
      </c>
      <c r="V52">
        <v>289</v>
      </c>
      <c r="W52">
        <v>17</v>
      </c>
      <c r="X52">
        <v>5.5</v>
      </c>
      <c r="Y52">
        <v>162</v>
      </c>
    </row>
    <row r="53" spans="4:25" x14ac:dyDescent="0.2">
      <c r="D53">
        <v>396</v>
      </c>
      <c r="E53">
        <v>10.986122886681098</v>
      </c>
      <c r="F53">
        <v>23</v>
      </c>
      <c r="G53">
        <v>6</v>
      </c>
      <c r="H53">
        <v>283</v>
      </c>
      <c r="J53">
        <v>393</v>
      </c>
      <c r="K53">
        <v>6</v>
      </c>
      <c r="L53">
        <v>25</v>
      </c>
      <c r="P53">
        <v>296</v>
      </c>
      <c r="Q53">
        <v>12.084735175349207</v>
      </c>
      <c r="R53">
        <v>31</v>
      </c>
      <c r="S53">
        <v>1.4</v>
      </c>
      <c r="T53">
        <v>151</v>
      </c>
      <c r="V53">
        <v>296</v>
      </c>
      <c r="W53">
        <v>31</v>
      </c>
      <c r="X53">
        <v>1.4</v>
      </c>
      <c r="Y53">
        <v>151</v>
      </c>
    </row>
    <row r="54" spans="4:25" x14ac:dyDescent="0.2">
      <c r="D54">
        <v>396</v>
      </c>
      <c r="E54">
        <v>10.986122886681098</v>
      </c>
      <c r="F54">
        <v>23</v>
      </c>
      <c r="G54">
        <v>7.8</v>
      </c>
      <c r="H54">
        <v>144</v>
      </c>
      <c r="J54">
        <v>396</v>
      </c>
      <c r="K54">
        <v>7.8</v>
      </c>
      <c r="L54">
        <v>23</v>
      </c>
      <c r="P54">
        <v>296</v>
      </c>
      <c r="Q54">
        <v>13.183347464017316</v>
      </c>
      <c r="R54">
        <v>31</v>
      </c>
      <c r="S54">
        <v>1.4</v>
      </c>
      <c r="T54">
        <v>146</v>
      </c>
      <c r="V54">
        <v>296</v>
      </c>
      <c r="W54">
        <v>31</v>
      </c>
      <c r="X54">
        <v>1.4</v>
      </c>
      <c r="Y54">
        <v>146</v>
      </c>
    </row>
    <row r="55" spans="4:25" x14ac:dyDescent="0.2">
      <c r="D55">
        <v>398</v>
      </c>
      <c r="E55">
        <v>10.986122886681098</v>
      </c>
      <c r="F55">
        <v>23</v>
      </c>
      <c r="G55">
        <v>7.9</v>
      </c>
      <c r="H55">
        <v>153</v>
      </c>
      <c r="J55">
        <v>396</v>
      </c>
      <c r="K55">
        <v>7.9</v>
      </c>
      <c r="L55">
        <v>23</v>
      </c>
      <c r="P55">
        <v>311</v>
      </c>
      <c r="Q55">
        <v>12.084735175349207</v>
      </c>
      <c r="R55">
        <v>12</v>
      </c>
      <c r="S55">
        <v>7</v>
      </c>
      <c r="T55">
        <v>164</v>
      </c>
      <c r="V55">
        <v>311</v>
      </c>
      <c r="W55">
        <v>12</v>
      </c>
      <c r="X55">
        <v>7</v>
      </c>
      <c r="Y55">
        <v>164</v>
      </c>
    </row>
    <row r="56" spans="4:25" x14ac:dyDescent="0.2">
      <c r="D56">
        <v>398</v>
      </c>
      <c r="E56">
        <v>10.986122886681098</v>
      </c>
      <c r="F56">
        <v>23</v>
      </c>
      <c r="G56">
        <v>10.6</v>
      </c>
      <c r="H56">
        <v>159</v>
      </c>
      <c r="J56">
        <v>398</v>
      </c>
      <c r="K56">
        <v>10.6</v>
      </c>
      <c r="L56">
        <v>23</v>
      </c>
      <c r="P56">
        <v>311</v>
      </c>
      <c r="Q56">
        <v>13.183347464017316</v>
      </c>
      <c r="R56">
        <v>12</v>
      </c>
      <c r="S56">
        <v>7</v>
      </c>
      <c r="T56">
        <v>157</v>
      </c>
      <c r="V56">
        <v>311</v>
      </c>
      <c r="W56">
        <v>12</v>
      </c>
      <c r="X56">
        <v>7</v>
      </c>
      <c r="Y56">
        <v>157</v>
      </c>
    </row>
    <row r="57" spans="4:25" x14ac:dyDescent="0.2">
      <c r="D57">
        <v>400</v>
      </c>
      <c r="E57">
        <v>8.7888983093448783</v>
      </c>
      <c r="F57">
        <v>12.7</v>
      </c>
      <c r="G57">
        <v>9.9</v>
      </c>
      <c r="H57">
        <v>239</v>
      </c>
      <c r="J57">
        <v>398</v>
      </c>
      <c r="K57">
        <v>9.9</v>
      </c>
      <c r="L57">
        <v>23</v>
      </c>
      <c r="P57">
        <v>334</v>
      </c>
      <c r="Q57">
        <v>10.986122886681098</v>
      </c>
      <c r="R57">
        <v>25</v>
      </c>
      <c r="S57">
        <v>16</v>
      </c>
      <c r="T57">
        <v>66.8</v>
      </c>
      <c r="V57">
        <v>334</v>
      </c>
      <c r="W57">
        <v>25</v>
      </c>
      <c r="X57">
        <v>16</v>
      </c>
      <c r="Y57">
        <v>66.8</v>
      </c>
    </row>
    <row r="58" spans="4:25" x14ac:dyDescent="0.2">
      <c r="D58">
        <v>400</v>
      </c>
      <c r="E58">
        <v>9.8875105980129874</v>
      </c>
      <c r="F58">
        <v>19</v>
      </c>
      <c r="G58">
        <v>13.6</v>
      </c>
      <c r="H58">
        <v>142</v>
      </c>
      <c r="J58">
        <v>400</v>
      </c>
      <c r="K58">
        <v>13.6</v>
      </c>
      <c r="L58">
        <v>12.7</v>
      </c>
      <c r="P58">
        <v>334</v>
      </c>
      <c r="Q58">
        <v>10.986122886681098</v>
      </c>
      <c r="R58">
        <v>25</v>
      </c>
      <c r="S58">
        <v>16</v>
      </c>
      <c r="T58">
        <v>57.8</v>
      </c>
      <c r="V58">
        <v>334</v>
      </c>
      <c r="W58">
        <v>25</v>
      </c>
      <c r="X58">
        <v>16</v>
      </c>
      <c r="Y58">
        <v>57.8</v>
      </c>
    </row>
    <row r="59" spans="4:25" ht="15" x14ac:dyDescent="0.25">
      <c r="D59">
        <v>402</v>
      </c>
      <c r="E59">
        <v>8.7888983093448783</v>
      </c>
      <c r="F59">
        <v>22.5</v>
      </c>
      <c r="G59">
        <v>14.5</v>
      </c>
      <c r="H59">
        <v>144.71999999999997</v>
      </c>
      <c r="J59">
        <v>400</v>
      </c>
      <c r="K59">
        <v>14.5</v>
      </c>
      <c r="L59">
        <v>19</v>
      </c>
      <c r="P59" s="3">
        <v>335</v>
      </c>
      <c r="Q59">
        <v>12.084735175349207</v>
      </c>
      <c r="R59" s="3">
        <v>17</v>
      </c>
      <c r="S59" s="3">
        <v>18</v>
      </c>
      <c r="T59" s="6">
        <v>113</v>
      </c>
      <c r="V59" s="3">
        <v>335</v>
      </c>
      <c r="W59" s="3">
        <v>17</v>
      </c>
      <c r="X59" s="3">
        <v>18</v>
      </c>
      <c r="Y59">
        <v>113</v>
      </c>
    </row>
    <row r="60" spans="4:25" ht="15" x14ac:dyDescent="0.25">
      <c r="D60">
        <v>403</v>
      </c>
      <c r="E60">
        <v>9.8875105980129874</v>
      </c>
      <c r="F60">
        <v>18</v>
      </c>
      <c r="G60">
        <v>9.6999999999999993</v>
      </c>
      <c r="H60">
        <v>149</v>
      </c>
      <c r="J60">
        <v>402</v>
      </c>
      <c r="K60">
        <v>9.6999999999999993</v>
      </c>
      <c r="L60" s="9">
        <v>22.5</v>
      </c>
      <c r="P60" s="3">
        <v>342</v>
      </c>
      <c r="Q60">
        <v>12.084735175349207</v>
      </c>
      <c r="R60" s="3">
        <v>22</v>
      </c>
      <c r="S60" s="3">
        <v>5</v>
      </c>
      <c r="T60" s="6">
        <v>224</v>
      </c>
      <c r="V60" s="3">
        <v>342</v>
      </c>
      <c r="W60" s="3">
        <v>22</v>
      </c>
      <c r="X60" s="3">
        <v>5</v>
      </c>
      <c r="Y60">
        <v>224</v>
      </c>
    </row>
    <row r="61" spans="4:25" ht="15" x14ac:dyDescent="0.25">
      <c r="D61" s="9">
        <v>403.64583333333326</v>
      </c>
      <c r="E61">
        <v>10.986122886681098</v>
      </c>
      <c r="F61">
        <v>20</v>
      </c>
      <c r="G61">
        <v>11</v>
      </c>
      <c r="H61" s="9">
        <v>100.26041666666666</v>
      </c>
      <c r="J61">
        <v>403</v>
      </c>
      <c r="K61">
        <v>11</v>
      </c>
      <c r="L61">
        <v>18</v>
      </c>
      <c r="P61" s="3">
        <v>343</v>
      </c>
      <c r="Q61">
        <v>12.084735175349207</v>
      </c>
      <c r="R61" s="3">
        <v>19</v>
      </c>
      <c r="S61" s="3">
        <v>6</v>
      </c>
      <c r="T61" s="6">
        <v>199</v>
      </c>
      <c r="V61" s="3">
        <v>343</v>
      </c>
      <c r="W61" s="3">
        <v>19</v>
      </c>
      <c r="X61" s="3">
        <v>6</v>
      </c>
      <c r="Y61">
        <v>199</v>
      </c>
    </row>
    <row r="62" spans="4:25" x14ac:dyDescent="0.2">
      <c r="D62">
        <v>406</v>
      </c>
      <c r="E62">
        <v>9.8875105980129874</v>
      </c>
      <c r="F62">
        <v>23</v>
      </c>
      <c r="G62">
        <v>4</v>
      </c>
      <c r="H62">
        <v>142</v>
      </c>
      <c r="J62">
        <v>406</v>
      </c>
      <c r="K62">
        <v>4</v>
      </c>
      <c r="L62">
        <v>23</v>
      </c>
      <c r="P62">
        <v>343</v>
      </c>
      <c r="Q62">
        <v>9.8875105980129874</v>
      </c>
      <c r="R62">
        <v>27.4</v>
      </c>
      <c r="S62">
        <v>7.5</v>
      </c>
      <c r="T62">
        <v>29</v>
      </c>
      <c r="V62">
        <v>343</v>
      </c>
      <c r="W62">
        <v>27.4</v>
      </c>
      <c r="X62">
        <v>7.5</v>
      </c>
      <c r="Y62">
        <v>29</v>
      </c>
    </row>
    <row r="63" spans="4:25" ht="15" x14ac:dyDescent="0.25">
      <c r="D63">
        <v>407</v>
      </c>
      <c r="E63">
        <v>9.8875105980129874</v>
      </c>
      <c r="F63">
        <v>21</v>
      </c>
      <c r="G63">
        <v>8.8000000000000007</v>
      </c>
      <c r="H63">
        <v>142</v>
      </c>
      <c r="J63">
        <v>407</v>
      </c>
      <c r="K63">
        <v>8.8000000000000007</v>
      </c>
      <c r="L63">
        <v>21</v>
      </c>
      <c r="P63" s="3">
        <v>349</v>
      </c>
      <c r="Q63">
        <v>12.084735175349207</v>
      </c>
      <c r="R63" s="3">
        <v>13</v>
      </c>
      <c r="S63" s="3">
        <v>8</v>
      </c>
      <c r="T63" s="6">
        <v>156</v>
      </c>
      <c r="V63" s="3">
        <v>349</v>
      </c>
      <c r="W63" s="3">
        <v>13</v>
      </c>
      <c r="X63" s="3">
        <v>8</v>
      </c>
      <c r="Y63" s="6">
        <v>156</v>
      </c>
    </row>
    <row r="64" spans="4:25" ht="15" x14ac:dyDescent="0.25">
      <c r="D64" s="6">
        <v>422.40000000000003</v>
      </c>
      <c r="E64">
        <v>12.084735175349207</v>
      </c>
      <c r="F64" s="3">
        <v>13</v>
      </c>
      <c r="G64">
        <v>21.6</v>
      </c>
      <c r="H64" s="3">
        <v>219.16981132075475</v>
      </c>
      <c r="J64">
        <v>414</v>
      </c>
      <c r="K64">
        <v>21.6</v>
      </c>
      <c r="L64">
        <v>22</v>
      </c>
      <c r="P64">
        <v>352</v>
      </c>
      <c r="Q64">
        <v>10.986122886681098</v>
      </c>
      <c r="R64">
        <v>18</v>
      </c>
      <c r="S64">
        <v>25</v>
      </c>
      <c r="T64">
        <v>158.39999999999998</v>
      </c>
      <c r="V64">
        <v>352</v>
      </c>
      <c r="W64">
        <v>18</v>
      </c>
      <c r="X64">
        <v>25</v>
      </c>
      <c r="Y64">
        <v>158.39999999999998</v>
      </c>
    </row>
    <row r="65" spans="4:25" ht="15" x14ac:dyDescent="0.25">
      <c r="D65">
        <v>424</v>
      </c>
      <c r="E65">
        <v>9.8875105980129874</v>
      </c>
      <c r="F65">
        <v>20</v>
      </c>
      <c r="G65">
        <v>8</v>
      </c>
      <c r="H65">
        <v>169</v>
      </c>
      <c r="J65">
        <v>422.40000000000003</v>
      </c>
      <c r="K65">
        <v>8</v>
      </c>
      <c r="L65">
        <v>13</v>
      </c>
      <c r="P65" s="3">
        <v>371</v>
      </c>
      <c r="Q65">
        <v>8.7888983093448783</v>
      </c>
      <c r="R65" s="3">
        <v>17</v>
      </c>
      <c r="S65" s="3">
        <v>48</v>
      </c>
      <c r="T65" s="6">
        <v>89</v>
      </c>
      <c r="V65" s="3">
        <v>371</v>
      </c>
      <c r="W65" s="3">
        <v>17</v>
      </c>
      <c r="X65" s="3">
        <v>48</v>
      </c>
      <c r="Y65">
        <v>89</v>
      </c>
    </row>
    <row r="66" spans="4:25" ht="15" x14ac:dyDescent="0.25">
      <c r="D66" s="6">
        <v>432</v>
      </c>
      <c r="E66">
        <v>12.084735175349207</v>
      </c>
      <c r="F66" s="3">
        <v>17</v>
      </c>
      <c r="G66">
        <v>4</v>
      </c>
      <c r="H66" s="3">
        <v>186.62400000000002</v>
      </c>
      <c r="J66">
        <v>424</v>
      </c>
      <c r="K66">
        <v>4</v>
      </c>
      <c r="L66">
        <v>20</v>
      </c>
      <c r="P66" s="3">
        <v>371</v>
      </c>
      <c r="Q66">
        <v>8.7888983093448783</v>
      </c>
      <c r="R66" s="3">
        <v>17</v>
      </c>
      <c r="S66">
        <v>96</v>
      </c>
      <c r="T66" s="6">
        <v>73</v>
      </c>
      <c r="V66" s="3">
        <v>371</v>
      </c>
      <c r="W66" s="3">
        <v>17</v>
      </c>
      <c r="X66">
        <v>96</v>
      </c>
      <c r="Y66">
        <v>73</v>
      </c>
    </row>
    <row r="67" spans="4:25" x14ac:dyDescent="0.2">
      <c r="D67" s="9">
        <v>434</v>
      </c>
      <c r="E67">
        <v>13.183347464017316</v>
      </c>
      <c r="F67">
        <v>25.5</v>
      </c>
      <c r="G67">
        <v>18</v>
      </c>
      <c r="H67">
        <v>172</v>
      </c>
      <c r="J67">
        <v>432</v>
      </c>
      <c r="K67">
        <v>18</v>
      </c>
      <c r="L67">
        <v>17</v>
      </c>
      <c r="P67">
        <v>376</v>
      </c>
      <c r="Q67">
        <v>8.7888983093448783</v>
      </c>
      <c r="R67">
        <v>23</v>
      </c>
      <c r="S67">
        <v>4</v>
      </c>
      <c r="T67">
        <v>109.04000000000002</v>
      </c>
      <c r="V67">
        <v>376</v>
      </c>
      <c r="W67">
        <v>23</v>
      </c>
      <c r="X67">
        <v>4</v>
      </c>
      <c r="Y67">
        <v>109.04000000000002</v>
      </c>
    </row>
    <row r="68" spans="4:25" x14ac:dyDescent="0.2">
      <c r="D68" s="9">
        <v>437.5</v>
      </c>
      <c r="E68">
        <v>10.986122886681098</v>
      </c>
      <c r="F68">
        <v>20</v>
      </c>
      <c r="G68">
        <v>72</v>
      </c>
      <c r="H68" s="9">
        <v>108.33333333333333</v>
      </c>
      <c r="J68">
        <v>434</v>
      </c>
      <c r="K68">
        <v>72</v>
      </c>
      <c r="L68">
        <v>25.5</v>
      </c>
      <c r="P68">
        <v>384</v>
      </c>
      <c r="Q68">
        <v>9.8875105980129874</v>
      </c>
      <c r="R68">
        <v>27.4</v>
      </c>
      <c r="S68">
        <v>7.5</v>
      </c>
      <c r="T68">
        <v>46</v>
      </c>
      <c r="V68">
        <v>384</v>
      </c>
      <c r="W68">
        <v>27.4</v>
      </c>
      <c r="X68">
        <v>7.5</v>
      </c>
      <c r="Y68">
        <v>46</v>
      </c>
    </row>
    <row r="69" spans="4:25" ht="15" x14ac:dyDescent="0.25">
      <c r="D69" s="9">
        <v>442.70833333333331</v>
      </c>
      <c r="E69">
        <v>10.986122886681098</v>
      </c>
      <c r="F69">
        <v>20</v>
      </c>
      <c r="G69">
        <v>40</v>
      </c>
      <c r="H69" s="9">
        <v>69.270833333333329</v>
      </c>
      <c r="J69">
        <v>437.5</v>
      </c>
      <c r="K69">
        <v>40</v>
      </c>
      <c r="L69">
        <v>20</v>
      </c>
      <c r="P69" s="3">
        <v>398</v>
      </c>
      <c r="Q69">
        <v>12.084735175349207</v>
      </c>
      <c r="R69" s="3">
        <v>22</v>
      </c>
      <c r="S69" s="3">
        <v>4</v>
      </c>
      <c r="T69" s="6">
        <v>318</v>
      </c>
      <c r="V69" s="3">
        <v>398</v>
      </c>
      <c r="W69" s="3">
        <v>22</v>
      </c>
      <c r="X69" s="3">
        <v>4</v>
      </c>
      <c r="Y69" s="6">
        <v>318</v>
      </c>
    </row>
    <row r="70" spans="4:25" ht="15" x14ac:dyDescent="0.25">
      <c r="D70">
        <v>444</v>
      </c>
      <c r="E70">
        <v>8.7888983093448783</v>
      </c>
      <c r="F70">
        <v>20</v>
      </c>
      <c r="G70">
        <v>10</v>
      </c>
      <c r="H70">
        <v>228</v>
      </c>
      <c r="J70">
        <v>442.70833333333331</v>
      </c>
      <c r="K70">
        <v>10</v>
      </c>
      <c r="L70">
        <v>20</v>
      </c>
      <c r="P70" s="3">
        <v>400</v>
      </c>
      <c r="Q70">
        <v>9.8875105980129874</v>
      </c>
      <c r="R70" s="5">
        <v>21</v>
      </c>
      <c r="S70" s="3">
        <v>12</v>
      </c>
      <c r="T70" s="6">
        <v>301</v>
      </c>
      <c r="V70" s="3">
        <v>400</v>
      </c>
      <c r="W70" s="5">
        <v>19</v>
      </c>
      <c r="X70" s="3">
        <v>12</v>
      </c>
      <c r="Y70">
        <v>105</v>
      </c>
    </row>
    <row r="71" spans="4:25" ht="15" x14ac:dyDescent="0.25">
      <c r="D71">
        <v>452</v>
      </c>
      <c r="E71">
        <v>8.7888983093448783</v>
      </c>
      <c r="F71">
        <v>22.7</v>
      </c>
      <c r="G71">
        <v>9.6</v>
      </c>
      <c r="H71">
        <v>235.04000000000002</v>
      </c>
      <c r="J71">
        <v>444</v>
      </c>
      <c r="K71">
        <v>9.6</v>
      </c>
      <c r="L71">
        <v>20</v>
      </c>
      <c r="P71" s="3">
        <v>400</v>
      </c>
      <c r="Q71">
        <v>9.8875105980129874</v>
      </c>
      <c r="R71" s="5">
        <v>19</v>
      </c>
      <c r="S71" s="3">
        <v>6</v>
      </c>
      <c r="T71" s="6">
        <v>105</v>
      </c>
      <c r="V71" s="3">
        <v>400</v>
      </c>
      <c r="W71" s="5">
        <v>21</v>
      </c>
      <c r="X71" s="3">
        <v>6</v>
      </c>
      <c r="Y71">
        <v>301</v>
      </c>
    </row>
    <row r="72" spans="4:25" ht="15" x14ac:dyDescent="0.25">
      <c r="D72">
        <v>452</v>
      </c>
      <c r="E72">
        <v>8.7888983093448783</v>
      </c>
      <c r="F72">
        <v>24.3</v>
      </c>
      <c r="G72">
        <v>5.7</v>
      </c>
      <c r="H72">
        <v>230.52</v>
      </c>
      <c r="J72">
        <v>452</v>
      </c>
      <c r="K72">
        <v>5.7</v>
      </c>
      <c r="L72">
        <v>22.7</v>
      </c>
      <c r="P72" s="3">
        <v>400</v>
      </c>
      <c r="Q72">
        <v>9.8875105980129874</v>
      </c>
      <c r="R72" s="5">
        <v>26</v>
      </c>
      <c r="S72" s="3">
        <v>24</v>
      </c>
      <c r="T72" s="6">
        <v>55</v>
      </c>
      <c r="V72" s="3">
        <v>400</v>
      </c>
      <c r="W72" s="5">
        <v>26</v>
      </c>
      <c r="X72" s="3">
        <v>24</v>
      </c>
      <c r="Y72">
        <v>55</v>
      </c>
    </row>
    <row r="73" spans="4:25" ht="15" x14ac:dyDescent="0.25">
      <c r="D73">
        <v>459</v>
      </c>
      <c r="E73">
        <v>9.8875105980129874</v>
      </c>
      <c r="F73">
        <v>22</v>
      </c>
      <c r="G73">
        <v>5.9</v>
      </c>
      <c r="H73">
        <v>206</v>
      </c>
      <c r="J73">
        <v>452</v>
      </c>
      <c r="K73">
        <v>5.9</v>
      </c>
      <c r="L73">
        <v>24.3</v>
      </c>
      <c r="P73">
        <v>403</v>
      </c>
      <c r="Q73">
        <v>8.7888983093448783</v>
      </c>
      <c r="R73">
        <v>24.3</v>
      </c>
      <c r="S73" s="3">
        <v>13.6</v>
      </c>
      <c r="T73">
        <v>141</v>
      </c>
      <c r="V73">
        <v>403</v>
      </c>
      <c r="W73">
        <v>24.3</v>
      </c>
      <c r="X73" s="3">
        <v>13.6</v>
      </c>
      <c r="Y73" s="6">
        <v>141</v>
      </c>
    </row>
    <row r="74" spans="4:25" x14ac:dyDescent="0.2">
      <c r="D74">
        <v>475</v>
      </c>
      <c r="E74">
        <v>5.4930614433405491</v>
      </c>
      <c r="F74">
        <v>18.5</v>
      </c>
      <c r="G74">
        <v>7.2</v>
      </c>
      <c r="H74">
        <v>165</v>
      </c>
      <c r="J74">
        <v>459</v>
      </c>
      <c r="K74">
        <v>7.2</v>
      </c>
      <c r="L74">
        <v>22</v>
      </c>
      <c r="P74">
        <v>404</v>
      </c>
      <c r="Q74">
        <v>10.986122886681098</v>
      </c>
      <c r="R74">
        <v>22</v>
      </c>
      <c r="S74">
        <v>25</v>
      </c>
      <c r="T74">
        <v>153.52000000000001</v>
      </c>
      <c r="V74">
        <v>404</v>
      </c>
      <c r="W74">
        <v>22</v>
      </c>
      <c r="X74">
        <v>25</v>
      </c>
      <c r="Y74">
        <v>153.52000000000001</v>
      </c>
    </row>
    <row r="75" spans="4:25" ht="15" x14ac:dyDescent="0.25">
      <c r="D75" s="6">
        <v>475.2</v>
      </c>
      <c r="E75">
        <v>12.084735175349207</v>
      </c>
      <c r="F75" s="3">
        <v>19</v>
      </c>
      <c r="G75">
        <v>3.6</v>
      </c>
      <c r="H75" s="3">
        <v>292.93150684931504</v>
      </c>
      <c r="J75">
        <v>475</v>
      </c>
      <c r="K75">
        <v>3.6</v>
      </c>
      <c r="L75">
        <v>18.5</v>
      </c>
      <c r="P75">
        <v>423</v>
      </c>
      <c r="Q75">
        <v>9.8875105980129874</v>
      </c>
      <c r="R75">
        <v>25</v>
      </c>
      <c r="S75">
        <v>11.2</v>
      </c>
      <c r="T75">
        <v>255</v>
      </c>
      <c r="V75">
        <v>423</v>
      </c>
      <c r="W75">
        <v>25</v>
      </c>
      <c r="X75">
        <v>11.2</v>
      </c>
      <c r="Y75">
        <v>255</v>
      </c>
    </row>
    <row r="76" spans="4:25" x14ac:dyDescent="0.2">
      <c r="D76" s="9">
        <v>475.66</v>
      </c>
      <c r="E76">
        <v>10.986122886681098</v>
      </c>
      <c r="F76">
        <v>20</v>
      </c>
      <c r="G76">
        <v>6</v>
      </c>
      <c r="H76" s="9">
        <v>52.53</v>
      </c>
      <c r="J76">
        <v>475.2</v>
      </c>
      <c r="K76">
        <v>6</v>
      </c>
      <c r="L76">
        <v>19</v>
      </c>
      <c r="P76">
        <v>425</v>
      </c>
      <c r="Q76">
        <v>9.8875105980129874</v>
      </c>
      <c r="R76">
        <v>25</v>
      </c>
      <c r="S76">
        <v>8.8000000000000007</v>
      </c>
      <c r="T76">
        <v>326</v>
      </c>
      <c r="V76">
        <v>425</v>
      </c>
      <c r="W76">
        <v>25</v>
      </c>
      <c r="X76">
        <v>8.8000000000000007</v>
      </c>
      <c r="Y76">
        <v>326</v>
      </c>
    </row>
    <row r="77" spans="4:25" ht="15" x14ac:dyDescent="0.25">
      <c r="D77" s="6">
        <v>489.6</v>
      </c>
      <c r="E77">
        <v>12.084735175349207</v>
      </c>
      <c r="F77" s="3">
        <v>9</v>
      </c>
      <c r="H77" s="3">
        <v>274.58447276940905</v>
      </c>
      <c r="J77">
        <v>475.66</v>
      </c>
      <c r="L77">
        <v>20</v>
      </c>
      <c r="P77">
        <v>431</v>
      </c>
      <c r="Q77">
        <v>10.986122886681098</v>
      </c>
      <c r="R77">
        <v>25</v>
      </c>
      <c r="S77">
        <v>25</v>
      </c>
      <c r="T77">
        <v>172.40000000000003</v>
      </c>
      <c r="V77">
        <v>431</v>
      </c>
      <c r="W77">
        <v>25</v>
      </c>
      <c r="X77">
        <v>25</v>
      </c>
      <c r="Y77">
        <v>172.40000000000003</v>
      </c>
    </row>
    <row r="78" spans="4:25" x14ac:dyDescent="0.2">
      <c r="D78">
        <v>492</v>
      </c>
      <c r="E78">
        <v>10.986122886681098</v>
      </c>
      <c r="F78">
        <v>23</v>
      </c>
      <c r="G78">
        <v>8</v>
      </c>
      <c r="H78">
        <v>202</v>
      </c>
      <c r="J78">
        <v>492</v>
      </c>
      <c r="K78">
        <v>8</v>
      </c>
      <c r="L78">
        <v>15</v>
      </c>
      <c r="P78">
        <v>458</v>
      </c>
      <c r="Q78">
        <v>9.8875105980129874</v>
      </c>
      <c r="R78">
        <v>25</v>
      </c>
      <c r="S78">
        <v>13</v>
      </c>
      <c r="T78">
        <v>142</v>
      </c>
      <c r="V78">
        <v>458</v>
      </c>
      <c r="W78">
        <v>25</v>
      </c>
      <c r="X78">
        <v>13</v>
      </c>
      <c r="Y78">
        <v>142</v>
      </c>
    </row>
    <row r="79" spans="4:25" x14ac:dyDescent="0.2">
      <c r="D79">
        <v>492</v>
      </c>
      <c r="E79">
        <v>9.8875105980129874</v>
      </c>
      <c r="F79">
        <v>15</v>
      </c>
      <c r="G79">
        <v>7.7</v>
      </c>
      <c r="H79">
        <v>178</v>
      </c>
      <c r="J79">
        <v>492</v>
      </c>
      <c r="K79">
        <v>7.7</v>
      </c>
      <c r="L79">
        <v>23</v>
      </c>
      <c r="P79">
        <v>479</v>
      </c>
      <c r="Q79">
        <v>9.8875105980129874</v>
      </c>
      <c r="R79">
        <v>25</v>
      </c>
      <c r="S79">
        <v>10.5</v>
      </c>
      <c r="T79">
        <v>209</v>
      </c>
      <c r="V79">
        <v>479</v>
      </c>
      <c r="W79">
        <v>25</v>
      </c>
      <c r="X79">
        <v>10.5</v>
      </c>
      <c r="Y79">
        <v>209</v>
      </c>
    </row>
    <row r="80" spans="4:25" x14ac:dyDescent="0.2">
      <c r="D80">
        <v>509</v>
      </c>
      <c r="E80">
        <v>10.986122886681098</v>
      </c>
      <c r="F80">
        <v>23</v>
      </c>
      <c r="G80">
        <v>5.7</v>
      </c>
      <c r="H80">
        <v>259</v>
      </c>
      <c r="J80">
        <v>509</v>
      </c>
      <c r="K80">
        <v>5.7</v>
      </c>
      <c r="L80">
        <v>23</v>
      </c>
      <c r="P80">
        <v>481</v>
      </c>
      <c r="Q80">
        <v>15.380572041353537</v>
      </c>
      <c r="R80">
        <v>30</v>
      </c>
      <c r="S80">
        <v>32</v>
      </c>
      <c r="T80">
        <v>116</v>
      </c>
      <c r="V80">
        <v>481</v>
      </c>
      <c r="W80">
        <v>30</v>
      </c>
      <c r="X80">
        <v>32</v>
      </c>
      <c r="Y80">
        <v>116</v>
      </c>
    </row>
    <row r="81" spans="4:25" ht="15" x14ac:dyDescent="0.25">
      <c r="D81">
        <v>509</v>
      </c>
      <c r="E81">
        <v>10.986122886681098</v>
      </c>
      <c r="F81">
        <v>23</v>
      </c>
      <c r="G81">
        <v>5.7</v>
      </c>
      <c r="H81">
        <v>272</v>
      </c>
      <c r="J81">
        <v>509</v>
      </c>
      <c r="K81">
        <v>5.7</v>
      </c>
      <c r="L81">
        <v>23</v>
      </c>
      <c r="P81" s="3">
        <v>491</v>
      </c>
      <c r="Q81">
        <v>12.084735175349207</v>
      </c>
      <c r="R81" s="3">
        <v>9</v>
      </c>
      <c r="S81" s="3">
        <v>12</v>
      </c>
      <c r="T81" s="6">
        <v>201</v>
      </c>
      <c r="V81" s="3">
        <v>491</v>
      </c>
      <c r="W81" s="3">
        <v>9</v>
      </c>
      <c r="X81" s="3">
        <v>12</v>
      </c>
      <c r="Y81">
        <v>201</v>
      </c>
    </row>
    <row r="82" spans="4:25" x14ac:dyDescent="0.2">
      <c r="D82">
        <v>532</v>
      </c>
      <c r="E82">
        <v>8.7888983093448783</v>
      </c>
      <c r="F82">
        <v>22.5</v>
      </c>
      <c r="G82">
        <v>6</v>
      </c>
      <c r="H82">
        <v>195</v>
      </c>
      <c r="J82">
        <v>532</v>
      </c>
      <c r="K82">
        <v>6</v>
      </c>
      <c r="L82">
        <v>23</v>
      </c>
      <c r="P82">
        <v>562</v>
      </c>
      <c r="Q82">
        <v>9.8875105980129874</v>
      </c>
      <c r="R82">
        <v>25</v>
      </c>
      <c r="S82">
        <v>9.5</v>
      </c>
      <c r="T82">
        <v>516</v>
      </c>
      <c r="V82">
        <v>562</v>
      </c>
      <c r="W82">
        <v>25</v>
      </c>
      <c r="X82">
        <v>9.5</v>
      </c>
      <c r="Y82">
        <v>516</v>
      </c>
    </row>
    <row r="83" spans="4:25" x14ac:dyDescent="0.2">
      <c r="D83">
        <v>539</v>
      </c>
      <c r="E83">
        <v>8.7888983093448783</v>
      </c>
      <c r="F83">
        <v>23</v>
      </c>
      <c r="G83">
        <v>24</v>
      </c>
      <c r="H83" s="9">
        <v>71</v>
      </c>
      <c r="J83">
        <v>539</v>
      </c>
      <c r="K83">
        <v>24</v>
      </c>
      <c r="L83" s="9">
        <v>23</v>
      </c>
      <c r="P83">
        <v>612</v>
      </c>
      <c r="Q83">
        <v>8.7888983093448783</v>
      </c>
      <c r="R83">
        <v>23</v>
      </c>
      <c r="S83">
        <v>24</v>
      </c>
      <c r="T83">
        <v>157</v>
      </c>
      <c r="V83">
        <v>612</v>
      </c>
      <c r="W83">
        <v>23</v>
      </c>
      <c r="X83">
        <v>24</v>
      </c>
      <c r="Y83">
        <v>157</v>
      </c>
    </row>
    <row r="84" spans="4:25" x14ac:dyDescent="0.2">
      <c r="D84">
        <v>539</v>
      </c>
      <c r="E84">
        <v>8.7888983093448783</v>
      </c>
      <c r="F84">
        <v>23</v>
      </c>
      <c r="G84">
        <v>48</v>
      </c>
      <c r="H84" s="9">
        <v>71</v>
      </c>
      <c r="J84">
        <v>539</v>
      </c>
      <c r="K84">
        <v>48</v>
      </c>
      <c r="L84" s="9">
        <v>23</v>
      </c>
      <c r="P84">
        <v>612</v>
      </c>
      <c r="Q84">
        <v>8.7888983093448783</v>
      </c>
      <c r="R84">
        <v>23</v>
      </c>
      <c r="S84">
        <v>36</v>
      </c>
      <c r="T84">
        <v>148</v>
      </c>
      <c r="V84">
        <v>612</v>
      </c>
      <c r="W84">
        <v>23</v>
      </c>
      <c r="X84">
        <v>36</v>
      </c>
      <c r="Y84">
        <v>148</v>
      </c>
    </row>
    <row r="85" spans="4:25" x14ac:dyDescent="0.2">
      <c r="D85">
        <v>539</v>
      </c>
      <c r="E85">
        <v>8.7888983093448783</v>
      </c>
      <c r="F85">
        <v>23</v>
      </c>
      <c r="G85">
        <v>36</v>
      </c>
      <c r="H85" s="9">
        <v>50</v>
      </c>
      <c r="J85">
        <v>539</v>
      </c>
      <c r="K85">
        <v>36</v>
      </c>
      <c r="L85" s="9">
        <v>23</v>
      </c>
      <c r="P85">
        <v>612</v>
      </c>
      <c r="Q85">
        <v>8.7888983093448783</v>
      </c>
      <c r="R85">
        <v>23</v>
      </c>
      <c r="S85">
        <v>48</v>
      </c>
      <c r="T85">
        <v>125</v>
      </c>
      <c r="V85">
        <v>612</v>
      </c>
      <c r="W85">
        <v>23</v>
      </c>
      <c r="X85">
        <v>48</v>
      </c>
      <c r="Y85">
        <v>125</v>
      </c>
    </row>
    <row r="86" spans="4:25" ht="15" x14ac:dyDescent="0.25">
      <c r="D86">
        <v>553</v>
      </c>
      <c r="E86">
        <v>8.7888983093448783</v>
      </c>
      <c r="F86" s="22">
        <v>22.5</v>
      </c>
      <c r="G86">
        <v>5.7</v>
      </c>
      <c r="H86">
        <v>293.09000000000003</v>
      </c>
      <c r="J86">
        <v>553</v>
      </c>
      <c r="K86">
        <v>5.7</v>
      </c>
      <c r="L86" s="9">
        <v>22.5</v>
      </c>
      <c r="P86" s="3">
        <v>623</v>
      </c>
      <c r="Q86">
        <v>8.7888983093448783</v>
      </c>
      <c r="R86" s="3">
        <v>24</v>
      </c>
      <c r="S86" s="3">
        <v>48</v>
      </c>
      <c r="T86" s="6">
        <v>116</v>
      </c>
      <c r="V86" s="3">
        <v>623</v>
      </c>
      <c r="W86" s="3">
        <v>24</v>
      </c>
      <c r="X86" s="3">
        <v>48</v>
      </c>
      <c r="Y86" s="6">
        <v>116</v>
      </c>
    </row>
    <row r="87" spans="4:25" ht="15" x14ac:dyDescent="0.25">
      <c r="D87">
        <v>553</v>
      </c>
      <c r="E87">
        <v>8.7888983093448783</v>
      </c>
      <c r="F87" s="22">
        <v>22.5</v>
      </c>
      <c r="G87">
        <v>2.8</v>
      </c>
      <c r="H87">
        <v>276.5</v>
      </c>
      <c r="J87">
        <v>553</v>
      </c>
      <c r="K87">
        <v>2.8</v>
      </c>
      <c r="L87" s="9">
        <v>22.5</v>
      </c>
      <c r="P87" s="3">
        <v>623</v>
      </c>
      <c r="Q87">
        <v>8.7888983093448783</v>
      </c>
      <c r="R87" s="3">
        <v>24</v>
      </c>
      <c r="S87">
        <v>96</v>
      </c>
      <c r="T87" s="6">
        <v>113</v>
      </c>
      <c r="V87" s="3">
        <v>623</v>
      </c>
      <c r="W87" s="3">
        <v>24</v>
      </c>
      <c r="X87">
        <v>96</v>
      </c>
      <c r="Y87">
        <v>113</v>
      </c>
    </row>
    <row r="88" spans="4:25" x14ac:dyDescent="0.2">
      <c r="D88">
        <v>553</v>
      </c>
      <c r="E88">
        <v>8.7888983093448783</v>
      </c>
      <c r="F88" s="22">
        <v>22.5</v>
      </c>
      <c r="G88">
        <v>4.4000000000000004</v>
      </c>
      <c r="H88">
        <v>243.32</v>
      </c>
      <c r="J88">
        <v>553</v>
      </c>
      <c r="K88">
        <v>4.4000000000000004</v>
      </c>
      <c r="L88" s="9">
        <v>22.5</v>
      </c>
      <c r="P88">
        <v>692</v>
      </c>
      <c r="Q88">
        <v>9.8875105980129874</v>
      </c>
      <c r="R88">
        <v>27.4</v>
      </c>
      <c r="S88">
        <v>7.5</v>
      </c>
      <c r="T88">
        <v>18</v>
      </c>
      <c r="V88">
        <v>692</v>
      </c>
      <c r="W88">
        <v>27.4</v>
      </c>
      <c r="X88">
        <v>7.5</v>
      </c>
      <c r="Y88">
        <v>18</v>
      </c>
    </row>
    <row r="89" spans="4:25" x14ac:dyDescent="0.2">
      <c r="D89">
        <v>559</v>
      </c>
      <c r="E89">
        <v>10.986122886681098</v>
      </c>
      <c r="F89">
        <v>23</v>
      </c>
      <c r="G89">
        <v>5.0999999999999996</v>
      </c>
      <c r="H89">
        <v>279</v>
      </c>
      <c r="J89">
        <v>559</v>
      </c>
      <c r="K89">
        <v>5.0999999999999996</v>
      </c>
      <c r="L89">
        <v>23</v>
      </c>
      <c r="P89">
        <v>833</v>
      </c>
      <c r="Q89">
        <v>14.281959752685427</v>
      </c>
      <c r="R89">
        <v>22.7</v>
      </c>
      <c r="S89">
        <v>9.1</v>
      </c>
      <c r="T89">
        <v>569</v>
      </c>
      <c r="V89">
        <v>833</v>
      </c>
      <c r="W89">
        <v>22.7</v>
      </c>
      <c r="X89">
        <v>9.1</v>
      </c>
      <c r="Y89">
        <v>569</v>
      </c>
    </row>
    <row r="90" spans="4:25" ht="15" x14ac:dyDescent="0.25">
      <c r="D90">
        <v>559</v>
      </c>
      <c r="E90">
        <v>10.986122886681098</v>
      </c>
      <c r="F90">
        <v>23</v>
      </c>
      <c r="G90">
        <v>4.9000000000000004</v>
      </c>
      <c r="H90">
        <v>289</v>
      </c>
      <c r="J90">
        <v>559</v>
      </c>
      <c r="K90">
        <v>4.9000000000000004</v>
      </c>
      <c r="L90">
        <v>23</v>
      </c>
      <c r="P90" s="10"/>
      <c r="R90" s="3"/>
      <c r="T90" s="6"/>
      <c r="Y90" s="6"/>
    </row>
    <row r="91" spans="4:25" x14ac:dyDescent="0.2">
      <c r="D91">
        <v>567</v>
      </c>
      <c r="E91">
        <v>12.084735175349207</v>
      </c>
      <c r="F91">
        <v>17</v>
      </c>
      <c r="G91">
        <v>5.5</v>
      </c>
      <c r="H91">
        <v>175</v>
      </c>
      <c r="J91">
        <v>567</v>
      </c>
      <c r="K91">
        <v>5.5</v>
      </c>
      <c r="L91">
        <v>17</v>
      </c>
      <c r="R91" s="22"/>
    </row>
    <row r="92" spans="4:25" x14ac:dyDescent="0.2">
      <c r="D92">
        <v>567</v>
      </c>
      <c r="E92">
        <v>13.183347464017316</v>
      </c>
      <c r="F92">
        <v>17</v>
      </c>
      <c r="G92">
        <v>5.5</v>
      </c>
      <c r="H92">
        <v>155</v>
      </c>
      <c r="J92">
        <v>567</v>
      </c>
      <c r="K92">
        <v>5.5</v>
      </c>
      <c r="L92">
        <v>17</v>
      </c>
      <c r="R92" s="22"/>
    </row>
    <row r="93" spans="4:25" x14ac:dyDescent="0.2">
      <c r="D93">
        <v>572</v>
      </c>
      <c r="E93">
        <v>12.084735175349207</v>
      </c>
      <c r="F93">
        <v>26</v>
      </c>
      <c r="G93">
        <v>2.7</v>
      </c>
      <c r="H93">
        <v>211</v>
      </c>
      <c r="J93">
        <v>572</v>
      </c>
      <c r="K93">
        <v>2.7</v>
      </c>
      <c r="L93">
        <v>26</v>
      </c>
    </row>
    <row r="94" spans="4:25" x14ac:dyDescent="0.2">
      <c r="D94">
        <v>572</v>
      </c>
      <c r="E94">
        <v>13.183347464017316</v>
      </c>
      <c r="F94">
        <v>26</v>
      </c>
      <c r="G94">
        <v>2.7</v>
      </c>
      <c r="H94">
        <v>190</v>
      </c>
      <c r="J94">
        <v>572</v>
      </c>
      <c r="K94">
        <v>2.7</v>
      </c>
      <c r="L94">
        <v>26</v>
      </c>
    </row>
    <row r="95" spans="4:25" x14ac:dyDescent="0.2">
      <c r="D95">
        <v>586</v>
      </c>
      <c r="E95">
        <v>12.084735175349207</v>
      </c>
      <c r="F95">
        <v>25</v>
      </c>
      <c r="G95">
        <v>4</v>
      </c>
      <c r="H95">
        <v>195</v>
      </c>
      <c r="J95">
        <v>586</v>
      </c>
      <c r="K95">
        <v>4</v>
      </c>
      <c r="L95">
        <v>25</v>
      </c>
    </row>
    <row r="96" spans="4:25" x14ac:dyDescent="0.2">
      <c r="D96">
        <v>586</v>
      </c>
      <c r="E96">
        <v>13.183347464017316</v>
      </c>
      <c r="F96">
        <v>25</v>
      </c>
      <c r="G96">
        <v>4</v>
      </c>
      <c r="H96">
        <v>184</v>
      </c>
      <c r="J96">
        <v>586</v>
      </c>
      <c r="K96">
        <v>4</v>
      </c>
      <c r="L96">
        <v>25</v>
      </c>
    </row>
    <row r="97" spans="4:25" x14ac:dyDescent="0.2">
      <c r="D97">
        <v>589</v>
      </c>
      <c r="E97">
        <v>15.380572041353537</v>
      </c>
      <c r="F97">
        <v>30</v>
      </c>
      <c r="G97">
        <v>32</v>
      </c>
      <c r="H97">
        <v>226</v>
      </c>
      <c r="J97">
        <v>589</v>
      </c>
      <c r="K97">
        <v>32</v>
      </c>
      <c r="L97">
        <v>30</v>
      </c>
      <c r="W97" s="22"/>
    </row>
    <row r="98" spans="4:25" x14ac:dyDescent="0.2">
      <c r="D98">
        <v>600</v>
      </c>
      <c r="E98">
        <v>8.7888983093448783</v>
      </c>
      <c r="F98" s="22">
        <f>AVERAGE(9,32)</f>
        <v>20.5</v>
      </c>
      <c r="G98">
        <v>6</v>
      </c>
      <c r="H98">
        <v>226.8</v>
      </c>
      <c r="J98">
        <v>600</v>
      </c>
      <c r="K98">
        <v>6</v>
      </c>
      <c r="L98">
        <v>20.5</v>
      </c>
    </row>
    <row r="99" spans="4:25" ht="15" x14ac:dyDescent="0.25">
      <c r="D99">
        <v>612</v>
      </c>
      <c r="E99">
        <v>12.084735175349207</v>
      </c>
      <c r="F99">
        <v>31</v>
      </c>
      <c r="G99">
        <v>1.4</v>
      </c>
      <c r="H99">
        <v>255</v>
      </c>
      <c r="J99">
        <v>612</v>
      </c>
      <c r="K99">
        <v>1.4</v>
      </c>
      <c r="L99">
        <v>31</v>
      </c>
      <c r="P99" s="3"/>
      <c r="R99" s="3"/>
    </row>
    <row r="100" spans="4:25" x14ac:dyDescent="0.2">
      <c r="D100">
        <v>612</v>
      </c>
      <c r="E100">
        <v>13.183347464017316</v>
      </c>
      <c r="F100">
        <v>31</v>
      </c>
      <c r="G100">
        <v>1.4</v>
      </c>
      <c r="H100">
        <v>254</v>
      </c>
      <c r="J100">
        <v>612</v>
      </c>
      <c r="K100">
        <v>1.4</v>
      </c>
      <c r="L100">
        <v>31</v>
      </c>
    </row>
    <row r="101" spans="4:25" ht="15" x14ac:dyDescent="0.25">
      <c r="D101" s="6">
        <v>618</v>
      </c>
      <c r="E101">
        <v>12.084735175349207</v>
      </c>
      <c r="F101" s="3">
        <v>22</v>
      </c>
      <c r="G101">
        <v>5</v>
      </c>
      <c r="H101" s="3">
        <v>495</v>
      </c>
      <c r="J101">
        <v>618</v>
      </c>
      <c r="K101">
        <v>5</v>
      </c>
      <c r="L101">
        <v>22</v>
      </c>
    </row>
    <row r="102" spans="4:25" x14ac:dyDescent="0.2">
      <c r="D102">
        <v>622</v>
      </c>
      <c r="E102">
        <v>9.8875105980129874</v>
      </c>
      <c r="F102">
        <v>27.4</v>
      </c>
      <c r="G102">
        <v>7.5</v>
      </c>
      <c r="H102">
        <v>102</v>
      </c>
      <c r="J102">
        <v>622</v>
      </c>
      <c r="K102">
        <v>7.5</v>
      </c>
      <c r="L102">
        <v>27.4</v>
      </c>
    </row>
    <row r="103" spans="4:25" x14ac:dyDescent="0.2">
      <c r="D103">
        <v>627</v>
      </c>
      <c r="E103">
        <v>8.7888983093448783</v>
      </c>
      <c r="F103">
        <v>23</v>
      </c>
      <c r="G103">
        <v>4</v>
      </c>
      <c r="H103">
        <v>163.01999999999998</v>
      </c>
      <c r="J103">
        <v>627</v>
      </c>
      <c r="K103">
        <v>4</v>
      </c>
      <c r="L103" s="9">
        <v>23</v>
      </c>
    </row>
    <row r="104" spans="4:25" x14ac:dyDescent="0.2">
      <c r="D104">
        <v>637</v>
      </c>
      <c r="E104">
        <v>10.986122886681098</v>
      </c>
      <c r="F104">
        <v>17</v>
      </c>
      <c r="G104">
        <v>18</v>
      </c>
      <c r="H104">
        <v>254.8</v>
      </c>
      <c r="J104">
        <v>637</v>
      </c>
      <c r="K104">
        <v>18</v>
      </c>
      <c r="L104">
        <v>17</v>
      </c>
    </row>
    <row r="105" spans="4:25" x14ac:dyDescent="0.2">
      <c r="D105">
        <v>637</v>
      </c>
      <c r="E105">
        <v>10.986122886681098</v>
      </c>
      <c r="F105">
        <v>19</v>
      </c>
      <c r="G105">
        <v>14</v>
      </c>
      <c r="H105">
        <v>248.43</v>
      </c>
      <c r="J105">
        <v>637</v>
      </c>
      <c r="K105">
        <v>14</v>
      </c>
      <c r="L105">
        <v>17</v>
      </c>
      <c r="Y105" s="6"/>
    </row>
    <row r="106" spans="4:25" x14ac:dyDescent="0.2">
      <c r="D106">
        <v>637</v>
      </c>
      <c r="E106">
        <v>10.986122886681098</v>
      </c>
      <c r="F106">
        <v>19</v>
      </c>
      <c r="G106">
        <v>10</v>
      </c>
      <c r="H106">
        <v>229.32</v>
      </c>
      <c r="J106">
        <v>637</v>
      </c>
      <c r="K106">
        <v>10</v>
      </c>
      <c r="L106">
        <v>17</v>
      </c>
    </row>
    <row r="107" spans="4:25" x14ac:dyDescent="0.2">
      <c r="D107">
        <v>637</v>
      </c>
      <c r="E107">
        <v>10.986122886681098</v>
      </c>
      <c r="F107">
        <v>19</v>
      </c>
      <c r="G107">
        <v>18</v>
      </c>
      <c r="H107">
        <v>229.32</v>
      </c>
      <c r="J107">
        <v>637</v>
      </c>
      <c r="K107">
        <v>18</v>
      </c>
      <c r="L107">
        <v>19</v>
      </c>
      <c r="S107" s="9"/>
      <c r="X107" s="9"/>
      <c r="Y107" s="6"/>
    </row>
    <row r="108" spans="4:25" x14ac:dyDescent="0.2">
      <c r="D108">
        <v>637</v>
      </c>
      <c r="E108">
        <v>10.986122886681098</v>
      </c>
      <c r="F108">
        <v>19</v>
      </c>
      <c r="G108">
        <v>14</v>
      </c>
      <c r="H108">
        <v>222.95</v>
      </c>
      <c r="J108">
        <v>637</v>
      </c>
      <c r="K108">
        <v>14</v>
      </c>
      <c r="L108">
        <v>19</v>
      </c>
    </row>
    <row r="109" spans="4:25" ht="15" x14ac:dyDescent="0.25">
      <c r="D109">
        <v>637</v>
      </c>
      <c r="E109">
        <v>10.986122886681098</v>
      </c>
      <c r="F109">
        <v>19</v>
      </c>
      <c r="G109">
        <v>36</v>
      </c>
      <c r="H109">
        <v>203.83999999999997</v>
      </c>
      <c r="J109">
        <v>637</v>
      </c>
      <c r="K109">
        <v>36</v>
      </c>
      <c r="L109">
        <v>19</v>
      </c>
      <c r="S109" s="3"/>
      <c r="X109" s="3"/>
    </row>
    <row r="110" spans="4:25" ht="15" x14ac:dyDescent="0.25">
      <c r="D110">
        <v>637</v>
      </c>
      <c r="E110">
        <v>10.986122886681098</v>
      </c>
      <c r="F110">
        <v>17</v>
      </c>
      <c r="G110">
        <v>8</v>
      </c>
      <c r="H110">
        <v>178.36</v>
      </c>
      <c r="J110">
        <v>637</v>
      </c>
      <c r="K110">
        <v>8</v>
      </c>
      <c r="L110">
        <v>19</v>
      </c>
      <c r="S110" s="3"/>
      <c r="X110" s="3"/>
    </row>
    <row r="111" spans="4:25" ht="15" x14ac:dyDescent="0.25">
      <c r="D111">
        <v>637</v>
      </c>
      <c r="E111">
        <v>10.986122886681098</v>
      </c>
      <c r="F111">
        <v>19</v>
      </c>
      <c r="G111">
        <v>24</v>
      </c>
      <c r="H111">
        <v>171.99</v>
      </c>
      <c r="J111">
        <v>637</v>
      </c>
      <c r="K111">
        <v>24</v>
      </c>
      <c r="L111">
        <v>19</v>
      </c>
      <c r="P111" s="3"/>
      <c r="R111" s="3"/>
      <c r="S111" s="3"/>
      <c r="T111" s="6"/>
      <c r="X111" s="3"/>
    </row>
    <row r="112" spans="4:25" ht="15" x14ac:dyDescent="0.25">
      <c r="D112">
        <v>637</v>
      </c>
      <c r="E112">
        <v>10.986122886681098</v>
      </c>
      <c r="F112">
        <v>19</v>
      </c>
      <c r="G112">
        <v>10</v>
      </c>
      <c r="H112">
        <v>171.99</v>
      </c>
      <c r="J112">
        <v>637</v>
      </c>
      <c r="K112">
        <v>10</v>
      </c>
      <c r="L112">
        <v>19</v>
      </c>
      <c r="S112" s="3"/>
      <c r="X112" s="3"/>
    </row>
    <row r="113" spans="4:25" ht="15" x14ac:dyDescent="0.25">
      <c r="D113">
        <v>637</v>
      </c>
      <c r="E113">
        <v>10.986122886681098</v>
      </c>
      <c r="F113">
        <v>17</v>
      </c>
      <c r="G113">
        <v>6</v>
      </c>
      <c r="H113">
        <v>165.62</v>
      </c>
      <c r="J113">
        <v>637</v>
      </c>
      <c r="K113">
        <v>6</v>
      </c>
      <c r="L113">
        <v>19</v>
      </c>
      <c r="P113" s="3"/>
      <c r="R113" s="3"/>
      <c r="S113" s="3"/>
      <c r="X113" s="3"/>
    </row>
    <row r="114" spans="4:25" ht="15" x14ac:dyDescent="0.25">
      <c r="D114">
        <v>644</v>
      </c>
      <c r="E114">
        <v>9.8875105980129874</v>
      </c>
      <c r="F114">
        <v>27.4</v>
      </c>
      <c r="G114">
        <v>7.5</v>
      </c>
      <c r="H114">
        <v>129</v>
      </c>
      <c r="J114">
        <v>644</v>
      </c>
      <c r="K114">
        <v>7.5</v>
      </c>
      <c r="L114">
        <v>27.4</v>
      </c>
      <c r="P114" s="3"/>
      <c r="R114" s="3"/>
      <c r="S114" s="3"/>
      <c r="X114" s="3"/>
      <c r="Y114" s="6"/>
    </row>
    <row r="115" spans="4:25" x14ac:dyDescent="0.2">
      <c r="D115">
        <v>653</v>
      </c>
      <c r="E115">
        <v>9.8875105980129874</v>
      </c>
      <c r="F115">
        <v>25</v>
      </c>
      <c r="G115">
        <v>8.8000000000000007</v>
      </c>
      <c r="H115">
        <v>518</v>
      </c>
      <c r="J115">
        <v>653</v>
      </c>
      <c r="K115">
        <v>8.8000000000000007</v>
      </c>
      <c r="L115">
        <v>25</v>
      </c>
    </row>
    <row r="116" spans="4:25" x14ac:dyDescent="0.2">
      <c r="D116">
        <v>659</v>
      </c>
      <c r="E116">
        <v>9.8875105980129874</v>
      </c>
      <c r="F116">
        <v>25</v>
      </c>
      <c r="G116">
        <v>11.2</v>
      </c>
      <c r="H116">
        <v>391</v>
      </c>
      <c r="J116">
        <v>659</v>
      </c>
      <c r="K116">
        <v>11.2</v>
      </c>
      <c r="L116">
        <v>25</v>
      </c>
    </row>
    <row r="117" spans="4:25" x14ac:dyDescent="0.2">
      <c r="D117">
        <v>672</v>
      </c>
      <c r="E117">
        <v>10.986122886681098</v>
      </c>
      <c r="F117">
        <v>25</v>
      </c>
      <c r="G117">
        <v>4</v>
      </c>
      <c r="H117">
        <v>238</v>
      </c>
      <c r="J117">
        <v>672</v>
      </c>
      <c r="K117">
        <v>4</v>
      </c>
      <c r="L117">
        <v>25</v>
      </c>
    </row>
    <row r="118" spans="4:25" ht="15" x14ac:dyDescent="0.25">
      <c r="D118" s="6">
        <v>686</v>
      </c>
      <c r="E118">
        <v>12.084735175349207</v>
      </c>
      <c r="F118" s="3">
        <v>22</v>
      </c>
      <c r="G118">
        <v>4</v>
      </c>
      <c r="H118" s="3">
        <v>584</v>
      </c>
      <c r="J118">
        <v>686</v>
      </c>
      <c r="K118">
        <v>4</v>
      </c>
      <c r="L118">
        <v>22</v>
      </c>
    </row>
    <row r="119" spans="4:25" x14ac:dyDescent="0.2">
      <c r="D119">
        <v>698</v>
      </c>
      <c r="E119">
        <v>10.986122886681098</v>
      </c>
      <c r="F119">
        <v>25</v>
      </c>
      <c r="G119">
        <v>6</v>
      </c>
      <c r="H119">
        <v>198</v>
      </c>
      <c r="J119">
        <v>698</v>
      </c>
      <c r="K119">
        <v>6</v>
      </c>
      <c r="L119">
        <v>25</v>
      </c>
    </row>
    <row r="120" spans="4:25" ht="15" x14ac:dyDescent="0.25">
      <c r="D120">
        <v>699</v>
      </c>
      <c r="E120">
        <v>9.8875105980129874</v>
      </c>
      <c r="F120">
        <v>23.5</v>
      </c>
      <c r="G120">
        <v>8</v>
      </c>
      <c r="H120" s="7">
        <v>203</v>
      </c>
      <c r="J120">
        <v>699</v>
      </c>
      <c r="K120">
        <v>8</v>
      </c>
      <c r="L120">
        <v>28.5</v>
      </c>
    </row>
    <row r="121" spans="4:25" ht="15" x14ac:dyDescent="0.25">
      <c r="D121">
        <v>700</v>
      </c>
      <c r="E121">
        <v>12.084735175349207</v>
      </c>
      <c r="F121">
        <v>12</v>
      </c>
      <c r="G121">
        <v>7</v>
      </c>
      <c r="H121">
        <v>207</v>
      </c>
      <c r="J121">
        <v>700</v>
      </c>
      <c r="K121">
        <v>7</v>
      </c>
      <c r="L121">
        <v>12</v>
      </c>
      <c r="S121" s="3"/>
      <c r="V121" s="10"/>
      <c r="W121" s="3"/>
      <c r="X121" s="3"/>
      <c r="Y121" s="6"/>
    </row>
    <row r="122" spans="4:25" x14ac:dyDescent="0.2">
      <c r="D122">
        <v>700</v>
      </c>
      <c r="E122">
        <v>13.183347464017316</v>
      </c>
      <c r="F122">
        <v>12</v>
      </c>
      <c r="G122">
        <v>7</v>
      </c>
      <c r="H122">
        <v>202</v>
      </c>
      <c r="J122">
        <v>700</v>
      </c>
      <c r="K122">
        <v>7</v>
      </c>
      <c r="L122">
        <v>12</v>
      </c>
    </row>
    <row r="123" spans="4:25" x14ac:dyDescent="0.2">
      <c r="D123">
        <v>733</v>
      </c>
      <c r="E123">
        <v>9.8875105980129874</v>
      </c>
      <c r="F123">
        <v>23.5</v>
      </c>
      <c r="G123">
        <v>6</v>
      </c>
      <c r="H123">
        <v>244</v>
      </c>
      <c r="J123">
        <v>733</v>
      </c>
      <c r="K123">
        <v>6</v>
      </c>
      <c r="L123">
        <v>28.5</v>
      </c>
    </row>
    <row r="124" spans="4:25" x14ac:dyDescent="0.2">
      <c r="D124">
        <v>745</v>
      </c>
      <c r="E124">
        <v>9.8875105980129874</v>
      </c>
      <c r="F124">
        <v>25</v>
      </c>
      <c r="G124">
        <v>10.5</v>
      </c>
      <c r="H124">
        <v>506</v>
      </c>
      <c r="J124">
        <v>745</v>
      </c>
      <c r="K124">
        <v>10.5</v>
      </c>
      <c r="L124">
        <v>25</v>
      </c>
    </row>
    <row r="125" spans="4:25" x14ac:dyDescent="0.2">
      <c r="D125">
        <v>750</v>
      </c>
      <c r="E125">
        <v>10.986122886681098</v>
      </c>
      <c r="F125">
        <v>25</v>
      </c>
      <c r="G125">
        <v>3</v>
      </c>
      <c r="H125">
        <v>432</v>
      </c>
      <c r="J125">
        <v>750</v>
      </c>
      <c r="K125">
        <v>3</v>
      </c>
      <c r="L125">
        <v>25</v>
      </c>
    </row>
    <row r="126" spans="4:25" x14ac:dyDescent="0.2">
      <c r="D126">
        <v>756</v>
      </c>
      <c r="E126">
        <v>9.8875105980129874</v>
      </c>
      <c r="F126">
        <v>25</v>
      </c>
      <c r="G126">
        <v>13</v>
      </c>
      <c r="H126">
        <v>234</v>
      </c>
      <c r="J126">
        <v>756</v>
      </c>
      <c r="K126">
        <v>13</v>
      </c>
      <c r="L126">
        <v>25</v>
      </c>
      <c r="W126" s="22"/>
    </row>
    <row r="127" spans="4:25" x14ac:dyDescent="0.2">
      <c r="D127">
        <v>776</v>
      </c>
      <c r="E127">
        <v>10.986122886681098</v>
      </c>
      <c r="F127">
        <v>25</v>
      </c>
      <c r="G127">
        <v>2.4</v>
      </c>
      <c r="H127">
        <v>398</v>
      </c>
      <c r="J127">
        <v>776</v>
      </c>
      <c r="K127">
        <v>2.4</v>
      </c>
      <c r="L127">
        <v>25</v>
      </c>
    </row>
    <row r="128" spans="4:25" ht="15" x14ac:dyDescent="0.25">
      <c r="D128" s="6">
        <v>794.87999999999988</v>
      </c>
      <c r="E128">
        <v>9.8875105980129874</v>
      </c>
      <c r="F128" s="3">
        <v>15</v>
      </c>
      <c r="G128">
        <v>24</v>
      </c>
      <c r="H128" s="3">
        <v>588.21119999999996</v>
      </c>
      <c r="J128">
        <v>794.87999999999988</v>
      </c>
      <c r="K128">
        <v>24</v>
      </c>
      <c r="L128">
        <v>15</v>
      </c>
      <c r="W128" s="22"/>
    </row>
    <row r="129" spans="4:25" ht="15" x14ac:dyDescent="0.25">
      <c r="D129">
        <v>803</v>
      </c>
      <c r="E129">
        <v>9.8875105980129874</v>
      </c>
      <c r="F129">
        <f>AVERAGE(22,35)</f>
        <v>28.5</v>
      </c>
      <c r="G129">
        <v>3</v>
      </c>
      <c r="H129">
        <v>293</v>
      </c>
      <c r="J129">
        <v>803</v>
      </c>
      <c r="K129">
        <v>3</v>
      </c>
      <c r="L129">
        <v>28.5</v>
      </c>
      <c r="S129" s="3"/>
      <c r="V129" s="3"/>
      <c r="W129" s="3"/>
      <c r="X129" s="3"/>
    </row>
    <row r="130" spans="4:25" ht="15" x14ac:dyDescent="0.25">
      <c r="D130">
        <v>809</v>
      </c>
      <c r="E130">
        <v>9.8875105980129874</v>
      </c>
      <c r="F130">
        <v>27.4</v>
      </c>
      <c r="G130">
        <v>7.5</v>
      </c>
      <c r="H130">
        <v>92</v>
      </c>
      <c r="J130">
        <v>809</v>
      </c>
      <c r="K130">
        <v>7.5</v>
      </c>
      <c r="L130">
        <v>27.4</v>
      </c>
      <c r="W130" s="5"/>
    </row>
    <row r="131" spans="4:25" ht="15" x14ac:dyDescent="0.25">
      <c r="D131">
        <v>820</v>
      </c>
      <c r="E131">
        <v>9.8875105980129874</v>
      </c>
      <c r="F131">
        <v>25</v>
      </c>
      <c r="G131">
        <v>9.5</v>
      </c>
      <c r="H131">
        <v>631</v>
      </c>
      <c r="J131">
        <v>820</v>
      </c>
      <c r="K131">
        <v>9.5</v>
      </c>
      <c r="L131">
        <v>25</v>
      </c>
      <c r="W131" s="5"/>
    </row>
    <row r="132" spans="4:25" x14ac:dyDescent="0.2">
      <c r="D132">
        <v>821</v>
      </c>
      <c r="E132">
        <v>15.380572041353537</v>
      </c>
      <c r="F132">
        <v>12.9</v>
      </c>
      <c r="G132">
        <v>57.2</v>
      </c>
      <c r="H132">
        <v>789.5</v>
      </c>
      <c r="J132">
        <v>821</v>
      </c>
      <c r="K132">
        <v>57.2</v>
      </c>
      <c r="L132">
        <v>12.9</v>
      </c>
      <c r="W132" s="22"/>
    </row>
    <row r="133" spans="4:25" ht="15" x14ac:dyDescent="0.25">
      <c r="D133" s="6">
        <v>833.5200000000001</v>
      </c>
      <c r="E133">
        <v>10.986122886681098</v>
      </c>
      <c r="F133" s="3">
        <v>16.399999999999999</v>
      </c>
      <c r="G133">
        <v>23</v>
      </c>
      <c r="H133" s="3">
        <v>516.78240000000005</v>
      </c>
      <c r="J133">
        <v>833.5200000000001</v>
      </c>
      <c r="K133">
        <v>23</v>
      </c>
      <c r="L133">
        <v>16.399999999999999</v>
      </c>
    </row>
    <row r="134" spans="4:25" ht="15" x14ac:dyDescent="0.25">
      <c r="D134" s="6">
        <v>835.19999999999993</v>
      </c>
      <c r="E134">
        <v>10.986122886681098</v>
      </c>
      <c r="F134" s="3">
        <v>16.399999999999999</v>
      </c>
      <c r="G134">
        <v>24</v>
      </c>
      <c r="H134" s="3">
        <v>492.76799999999997</v>
      </c>
      <c r="J134">
        <v>835.19999999999993</v>
      </c>
      <c r="K134">
        <v>24</v>
      </c>
      <c r="L134">
        <v>16.399999999999999</v>
      </c>
    </row>
    <row r="135" spans="4:25" x14ac:dyDescent="0.2">
      <c r="D135">
        <v>875</v>
      </c>
      <c r="E135">
        <v>8.7888983093448783</v>
      </c>
      <c r="F135">
        <v>24.3</v>
      </c>
      <c r="G135">
        <v>13.6</v>
      </c>
      <c r="H135">
        <v>253</v>
      </c>
      <c r="J135">
        <v>875</v>
      </c>
      <c r="K135">
        <v>13.6</v>
      </c>
      <c r="L135">
        <v>24.3</v>
      </c>
      <c r="Y135" s="6"/>
    </row>
    <row r="136" spans="4:25" ht="15" x14ac:dyDescent="0.25">
      <c r="D136" s="6">
        <v>905</v>
      </c>
      <c r="E136">
        <v>8.7888983093448783</v>
      </c>
      <c r="F136" s="3">
        <v>17</v>
      </c>
      <c r="G136">
        <v>96</v>
      </c>
      <c r="H136" s="3">
        <v>433</v>
      </c>
      <c r="J136">
        <v>905</v>
      </c>
      <c r="K136">
        <v>96</v>
      </c>
      <c r="L136">
        <v>17</v>
      </c>
    </row>
    <row r="137" spans="4:25" ht="15" x14ac:dyDescent="0.25">
      <c r="D137" s="6">
        <v>905</v>
      </c>
      <c r="E137">
        <v>8.7888983093448783</v>
      </c>
      <c r="F137" s="3">
        <v>17</v>
      </c>
      <c r="G137">
        <v>48</v>
      </c>
      <c r="H137" s="3">
        <v>408</v>
      </c>
      <c r="J137">
        <v>905</v>
      </c>
      <c r="K137">
        <v>48</v>
      </c>
      <c r="L137">
        <v>17</v>
      </c>
      <c r="S137" s="28"/>
      <c r="X137" s="28"/>
    </row>
    <row r="138" spans="4:25" x14ac:dyDescent="0.2">
      <c r="D138">
        <v>925.6</v>
      </c>
      <c r="E138">
        <v>10.986122886681098</v>
      </c>
      <c r="F138">
        <v>25</v>
      </c>
      <c r="G138">
        <v>16</v>
      </c>
      <c r="H138">
        <v>280.39999999999998</v>
      </c>
      <c r="J138">
        <v>925.6</v>
      </c>
      <c r="K138">
        <v>16</v>
      </c>
      <c r="L138">
        <v>25</v>
      </c>
      <c r="Y138" s="9"/>
    </row>
    <row r="139" spans="4:25" x14ac:dyDescent="0.2">
      <c r="D139">
        <v>925.6</v>
      </c>
      <c r="E139">
        <v>10.986122886681098</v>
      </c>
      <c r="F139">
        <v>25</v>
      </c>
      <c r="G139">
        <v>16</v>
      </c>
      <c r="H139">
        <v>263.89999999999998</v>
      </c>
      <c r="J139">
        <v>925.6</v>
      </c>
      <c r="K139">
        <v>16</v>
      </c>
      <c r="L139">
        <v>25</v>
      </c>
      <c r="Y139" s="6"/>
    </row>
    <row r="140" spans="4:25" x14ac:dyDescent="0.2">
      <c r="D140">
        <v>976</v>
      </c>
      <c r="E140">
        <v>15.380572041353537</v>
      </c>
      <c r="F140">
        <v>13.8</v>
      </c>
      <c r="G140">
        <v>44.3</v>
      </c>
      <c r="H140">
        <v>670.6</v>
      </c>
      <c r="J140">
        <v>976</v>
      </c>
      <c r="K140">
        <v>44.3</v>
      </c>
      <c r="L140">
        <v>13.8</v>
      </c>
      <c r="R140" s="22"/>
    </row>
    <row r="141" spans="4:25" ht="15" x14ac:dyDescent="0.25">
      <c r="D141" s="6">
        <v>1042</v>
      </c>
      <c r="E141">
        <v>8.7888983093448783</v>
      </c>
      <c r="F141" s="3">
        <v>16</v>
      </c>
      <c r="G141">
        <v>48</v>
      </c>
      <c r="H141" s="3">
        <v>520</v>
      </c>
      <c r="J141">
        <v>1042</v>
      </c>
      <c r="K141">
        <v>48</v>
      </c>
      <c r="L141">
        <v>16</v>
      </c>
      <c r="R141" s="22"/>
    </row>
    <row r="142" spans="4:25" ht="15" x14ac:dyDescent="0.25">
      <c r="D142" s="6">
        <v>1141</v>
      </c>
      <c r="E142">
        <v>8.7888983093448783</v>
      </c>
      <c r="F142" s="3">
        <v>27</v>
      </c>
      <c r="G142">
        <v>48</v>
      </c>
      <c r="H142" s="3">
        <v>385</v>
      </c>
      <c r="J142">
        <v>1141</v>
      </c>
      <c r="K142">
        <v>48</v>
      </c>
      <c r="L142">
        <v>27</v>
      </c>
      <c r="R142" s="22"/>
    </row>
    <row r="143" spans="4:25" ht="15" x14ac:dyDescent="0.25">
      <c r="D143" s="6">
        <v>1267</v>
      </c>
      <c r="E143">
        <v>8.7888983093448783</v>
      </c>
      <c r="F143" s="3">
        <v>24</v>
      </c>
      <c r="G143">
        <v>96</v>
      </c>
      <c r="H143" s="3">
        <v>555</v>
      </c>
      <c r="J143">
        <v>1267</v>
      </c>
      <c r="K143">
        <v>96</v>
      </c>
      <c r="L143">
        <v>24</v>
      </c>
      <c r="R143" s="22"/>
    </row>
    <row r="144" spans="4:25" ht="15" x14ac:dyDescent="0.25">
      <c r="D144" s="6">
        <v>1267</v>
      </c>
      <c r="E144">
        <v>8.7888983093448783</v>
      </c>
      <c r="F144" s="3">
        <v>24</v>
      </c>
      <c r="G144">
        <v>48</v>
      </c>
      <c r="H144" s="3">
        <v>530</v>
      </c>
      <c r="J144">
        <v>1267</v>
      </c>
      <c r="K144">
        <v>48</v>
      </c>
      <c r="L144">
        <v>24</v>
      </c>
      <c r="P144" s="3"/>
      <c r="W144" s="22"/>
    </row>
    <row r="145" spans="4:25" ht="15" x14ac:dyDescent="0.25">
      <c r="D145" s="9">
        <v>1300</v>
      </c>
      <c r="E145">
        <v>14.281959752685427</v>
      </c>
      <c r="F145">
        <v>22.7</v>
      </c>
      <c r="G145">
        <v>9.1</v>
      </c>
      <c r="H145">
        <v>752</v>
      </c>
      <c r="J145">
        <v>1300</v>
      </c>
      <c r="K145">
        <v>9.1</v>
      </c>
      <c r="L145">
        <v>22.7</v>
      </c>
      <c r="P145" s="3"/>
      <c r="W145" s="22"/>
    </row>
    <row r="146" spans="4:25" ht="15" x14ac:dyDescent="0.25">
      <c r="D146">
        <v>1353</v>
      </c>
      <c r="E146">
        <v>8.7888983093448783</v>
      </c>
      <c r="F146">
        <v>23</v>
      </c>
      <c r="G146">
        <v>23</v>
      </c>
      <c r="H146">
        <v>676.5</v>
      </c>
      <c r="J146">
        <v>1353</v>
      </c>
      <c r="K146">
        <v>23</v>
      </c>
      <c r="L146">
        <v>23</v>
      </c>
      <c r="R146" s="5"/>
      <c r="W146" s="22"/>
    </row>
    <row r="147" spans="4:25" x14ac:dyDescent="0.2">
      <c r="D147">
        <v>1419</v>
      </c>
      <c r="E147">
        <v>10.986122886681098</v>
      </c>
      <c r="F147">
        <v>18</v>
      </c>
      <c r="G147">
        <v>25</v>
      </c>
      <c r="H147">
        <v>695.31</v>
      </c>
      <c r="J147">
        <v>1419</v>
      </c>
      <c r="K147">
        <v>25</v>
      </c>
      <c r="L147">
        <v>18</v>
      </c>
      <c r="R147" s="22"/>
    </row>
    <row r="148" spans="4:25" x14ac:dyDescent="0.2">
      <c r="D148">
        <v>1429</v>
      </c>
      <c r="E148">
        <v>10.986122886681098</v>
      </c>
      <c r="F148">
        <v>22</v>
      </c>
      <c r="G148">
        <v>25</v>
      </c>
      <c r="H148">
        <v>600.18000000000006</v>
      </c>
      <c r="J148">
        <v>1429</v>
      </c>
      <c r="K148">
        <v>25</v>
      </c>
      <c r="L148">
        <v>22</v>
      </c>
      <c r="R148" s="22"/>
    </row>
    <row r="149" spans="4:25" x14ac:dyDescent="0.2">
      <c r="R149" s="22"/>
    </row>
    <row r="150" spans="4:25" ht="15" x14ac:dyDescent="0.25">
      <c r="D150" s="6"/>
      <c r="F150" s="5"/>
      <c r="H150" s="3"/>
      <c r="R150" s="22"/>
    </row>
    <row r="151" spans="4:25" ht="15" x14ac:dyDescent="0.25">
      <c r="D151" s="6"/>
      <c r="F151" s="5"/>
      <c r="H151" s="3"/>
    </row>
    <row r="152" spans="4:25" ht="15" x14ac:dyDescent="0.25">
      <c r="D152" s="9"/>
      <c r="P152" s="3"/>
    </row>
    <row r="153" spans="4:25" ht="15" x14ac:dyDescent="0.25">
      <c r="D153" s="6"/>
      <c r="F153" s="22"/>
      <c r="H153" s="3"/>
      <c r="P153" s="3"/>
    </row>
    <row r="154" spans="4:25" ht="15" x14ac:dyDescent="0.25">
      <c r="D154" s="9"/>
      <c r="L154" s="9"/>
      <c r="P154" s="3"/>
      <c r="Y154" s="6"/>
    </row>
    <row r="155" spans="4:25" x14ac:dyDescent="0.2">
      <c r="L155" s="9"/>
    </row>
    <row r="156" spans="4:25" x14ac:dyDescent="0.2">
      <c r="Y156" s="6"/>
    </row>
    <row r="160" spans="4:25" x14ac:dyDescent="0.2">
      <c r="L160" s="9"/>
    </row>
    <row r="164" spans="4:25" ht="15" x14ac:dyDescent="0.25">
      <c r="R164" s="5"/>
    </row>
    <row r="165" spans="4:25" x14ac:dyDescent="0.2">
      <c r="L165" s="9"/>
      <c r="R165" s="22"/>
    </row>
    <row r="166" spans="4:25" x14ac:dyDescent="0.2">
      <c r="F166" s="22"/>
      <c r="L166" s="9"/>
      <c r="R166" s="22"/>
    </row>
    <row r="168" spans="4:25" x14ac:dyDescent="0.2">
      <c r="D168" s="9"/>
    </row>
    <row r="170" spans="4:25" x14ac:dyDescent="0.2">
      <c r="D170" s="9"/>
    </row>
    <row r="173" spans="4:25" x14ac:dyDescent="0.2">
      <c r="D173" s="9"/>
      <c r="Y173" s="6"/>
    </row>
    <row r="174" spans="4:25" ht="15" x14ac:dyDescent="0.25">
      <c r="D174" s="9"/>
      <c r="H174" s="3"/>
    </row>
    <row r="175" spans="4:25" x14ac:dyDescent="0.2">
      <c r="D175" s="9"/>
    </row>
    <row r="176" spans="4:25" x14ac:dyDescent="0.2">
      <c r="D176" s="9"/>
      <c r="L176" s="9"/>
    </row>
    <row r="177" spans="4:18" x14ac:dyDescent="0.2">
      <c r="D177" s="9"/>
      <c r="F177" s="22"/>
      <c r="R177" s="22"/>
    </row>
    <row r="179" spans="4:18" x14ac:dyDescent="0.2">
      <c r="D179" s="9"/>
    </row>
    <row r="181" spans="4:18" x14ac:dyDescent="0.2">
      <c r="L181" s="9"/>
    </row>
    <row r="199" spans="12:23" x14ac:dyDescent="0.2">
      <c r="L199">
        <v>27</v>
      </c>
    </row>
    <row r="200" spans="12:23" x14ac:dyDescent="0.2">
      <c r="L200">
        <v>20</v>
      </c>
    </row>
    <row r="201" spans="12:23" x14ac:dyDescent="0.2">
      <c r="L201">
        <v>25.5</v>
      </c>
    </row>
    <row r="202" spans="12:23" x14ac:dyDescent="0.2">
      <c r="L202">
        <v>20</v>
      </c>
    </row>
    <row r="203" spans="12:23" x14ac:dyDescent="0.2">
      <c r="L203">
        <v>20</v>
      </c>
      <c r="W203" s="22"/>
    </row>
    <row r="204" spans="12:23" x14ac:dyDescent="0.2">
      <c r="L204">
        <v>20</v>
      </c>
      <c r="W204" s="22"/>
    </row>
    <row r="205" spans="12:23" x14ac:dyDescent="0.2">
      <c r="L205">
        <v>13</v>
      </c>
      <c r="W205" s="22"/>
    </row>
    <row r="206" spans="12:23" x14ac:dyDescent="0.2">
      <c r="L206">
        <v>27.9</v>
      </c>
      <c r="W206" s="22"/>
    </row>
    <row r="207" spans="12:23" x14ac:dyDescent="0.2">
      <c r="L207">
        <v>25</v>
      </c>
      <c r="W207" s="22"/>
    </row>
    <row r="208" spans="12:23" x14ac:dyDescent="0.2">
      <c r="L208">
        <v>16</v>
      </c>
    </row>
    <row r="209" spans="12:25" ht="15" x14ac:dyDescent="0.25">
      <c r="L209">
        <v>15</v>
      </c>
      <c r="S209" s="3"/>
      <c r="V209" s="3"/>
      <c r="W209" s="3"/>
      <c r="X209" s="3"/>
    </row>
    <row r="210" spans="12:25" ht="15" x14ac:dyDescent="0.25">
      <c r="L210">
        <v>20</v>
      </c>
      <c r="S210" s="3"/>
      <c r="V210" s="3"/>
      <c r="W210" s="3"/>
      <c r="X210" s="3"/>
    </row>
    <row r="211" spans="12:25" ht="15" x14ac:dyDescent="0.25">
      <c r="L211">
        <v>31.5</v>
      </c>
      <c r="S211" s="3"/>
      <c r="V211" s="3"/>
      <c r="W211" s="3"/>
      <c r="X211" s="3"/>
    </row>
    <row r="212" spans="12:25" ht="15" x14ac:dyDescent="0.25">
      <c r="L212">
        <v>34</v>
      </c>
      <c r="S212" s="3"/>
      <c r="V212" s="3"/>
      <c r="X212" s="3"/>
    </row>
    <row r="213" spans="12:25" ht="15" x14ac:dyDescent="0.25">
      <c r="L213">
        <v>13</v>
      </c>
      <c r="S213" s="3"/>
      <c r="V213" s="3"/>
      <c r="X213" s="3"/>
    </row>
    <row r="214" spans="12:25" ht="15" x14ac:dyDescent="0.25">
      <c r="S214" s="3"/>
      <c r="V214" s="3"/>
      <c r="X214" s="3"/>
    </row>
    <row r="215" spans="12:25" ht="15" x14ac:dyDescent="0.25">
      <c r="S215" s="3"/>
      <c r="V215" s="3"/>
      <c r="X215" s="3"/>
    </row>
    <row r="216" spans="12:25" ht="15" x14ac:dyDescent="0.25">
      <c r="S216" s="3"/>
      <c r="V216" s="3"/>
      <c r="X216" s="3"/>
    </row>
    <row r="217" spans="12:25" ht="15" x14ac:dyDescent="0.25">
      <c r="S217" s="3"/>
      <c r="X217" s="3"/>
      <c r="Y217" s="6"/>
    </row>
    <row r="218" spans="12:25" ht="15" x14ac:dyDescent="0.25">
      <c r="S218" s="3"/>
      <c r="X218" s="3"/>
      <c r="Y218" s="6"/>
    </row>
    <row r="219" spans="12:25" ht="15" x14ac:dyDescent="0.25">
      <c r="S219" s="3"/>
      <c r="X219" s="3"/>
      <c r="Y219" s="6"/>
    </row>
    <row r="220" spans="12:25" ht="15" x14ac:dyDescent="0.25">
      <c r="L220" s="9"/>
      <c r="S220" s="3"/>
      <c r="X220" s="3"/>
      <c r="Y220" s="6"/>
    </row>
    <row r="221" spans="12:25" ht="15" x14ac:dyDescent="0.25">
      <c r="S221" s="3"/>
      <c r="X221" s="3"/>
      <c r="Y221" s="6"/>
    </row>
    <row r="222" spans="12:25" ht="15" x14ac:dyDescent="0.25">
      <c r="S222" s="3"/>
      <c r="X222" s="3"/>
      <c r="Y222" s="6"/>
    </row>
    <row r="223" spans="12:25" ht="15" x14ac:dyDescent="0.25">
      <c r="L223" s="9"/>
      <c r="S223" s="3"/>
      <c r="X223" s="3"/>
      <c r="Y223" s="6"/>
    </row>
    <row r="224" spans="12:25" ht="15" x14ac:dyDescent="0.25">
      <c r="S224" s="3"/>
      <c r="X224" s="3"/>
      <c r="Y224" s="6"/>
    </row>
    <row r="225" spans="4:25" ht="15" x14ac:dyDescent="0.25">
      <c r="S225" s="3"/>
      <c r="X225" s="3"/>
      <c r="Y225" s="6"/>
    </row>
    <row r="226" spans="4:25" ht="15" x14ac:dyDescent="0.25">
      <c r="S226" s="3"/>
      <c r="V226" s="3"/>
      <c r="W226" s="3"/>
      <c r="X226" s="3"/>
      <c r="Y226" s="6"/>
    </row>
    <row r="227" spans="4:25" ht="15" x14ac:dyDescent="0.25">
      <c r="S227" s="3"/>
      <c r="V227" s="3"/>
      <c r="W227" s="3"/>
      <c r="X227" s="3"/>
      <c r="Y227" s="6"/>
    </row>
    <row r="228" spans="4:25" ht="15" x14ac:dyDescent="0.25">
      <c r="D228" s="6"/>
      <c r="F228" s="3"/>
      <c r="H228" s="3"/>
      <c r="P228" s="3"/>
      <c r="R228" s="3"/>
      <c r="S228" s="3"/>
      <c r="T228" s="6"/>
      <c r="V228" s="3"/>
      <c r="W228" s="3"/>
      <c r="X228" s="3"/>
      <c r="Y228" s="6"/>
    </row>
    <row r="229" spans="4:25" ht="15" x14ac:dyDescent="0.25">
      <c r="D229" s="6"/>
      <c r="F229" s="3"/>
      <c r="H229" s="3"/>
      <c r="P229" s="3"/>
      <c r="R229" s="3"/>
      <c r="S229" s="3"/>
      <c r="T229" s="6"/>
      <c r="V229" s="3"/>
      <c r="W229" s="3"/>
      <c r="X229" s="3"/>
      <c r="Y229" s="6"/>
    </row>
    <row r="230" spans="4:25" ht="15" x14ac:dyDescent="0.25">
      <c r="D230" s="6"/>
      <c r="F230" s="3"/>
      <c r="H230" s="3"/>
      <c r="P230" s="3"/>
      <c r="R230" s="3"/>
      <c r="S230" s="3"/>
      <c r="T230" s="6"/>
      <c r="V230" s="3"/>
      <c r="W230" s="3"/>
      <c r="X230" s="3"/>
    </row>
    <row r="231" spans="4:25" ht="15" x14ac:dyDescent="0.25">
      <c r="D231" s="6"/>
      <c r="F231" s="3"/>
      <c r="H231" s="3"/>
      <c r="P231" s="3"/>
      <c r="R231" s="3"/>
      <c r="S231" s="3"/>
      <c r="T231" s="6"/>
      <c r="V231" s="3"/>
      <c r="W231" s="3"/>
      <c r="X231" s="3"/>
    </row>
    <row r="232" spans="4:25" ht="15" x14ac:dyDescent="0.25">
      <c r="D232" s="6"/>
      <c r="F232" s="3"/>
      <c r="H232" s="3"/>
      <c r="P232" s="3"/>
      <c r="R232" s="3"/>
      <c r="S232" s="3"/>
      <c r="T232" s="6"/>
      <c r="V232" s="3"/>
      <c r="W232" s="3"/>
      <c r="X232" s="3"/>
    </row>
    <row r="233" spans="4:25" ht="15" x14ac:dyDescent="0.25">
      <c r="D233" s="6"/>
      <c r="F233" s="3"/>
      <c r="H233" s="3"/>
      <c r="P233" s="3"/>
      <c r="R233" s="3"/>
      <c r="S233" s="3"/>
      <c r="T233" s="6"/>
      <c r="V233" s="3"/>
      <c r="W233" s="3"/>
      <c r="X233" s="3"/>
    </row>
    <row r="234" spans="4:25" ht="15" x14ac:dyDescent="0.25">
      <c r="D234" s="6"/>
      <c r="F234" s="3"/>
      <c r="H234" s="3"/>
      <c r="P234" s="3"/>
      <c r="R234" s="3"/>
      <c r="S234" s="3"/>
      <c r="T234" s="6"/>
      <c r="V234" s="3"/>
      <c r="W234" s="3"/>
      <c r="X234" s="3"/>
    </row>
    <row r="235" spans="4:25" ht="15" x14ac:dyDescent="0.25">
      <c r="D235" s="6"/>
      <c r="F235" s="3"/>
      <c r="H235" s="3"/>
      <c r="P235" s="3"/>
      <c r="R235" s="3"/>
      <c r="S235" s="3"/>
      <c r="T235" s="6"/>
      <c r="V235" s="3"/>
      <c r="W235" s="3"/>
      <c r="X235" s="3"/>
    </row>
    <row r="236" spans="4:25" ht="15" x14ac:dyDescent="0.25">
      <c r="D236" s="6"/>
      <c r="F236" s="3"/>
      <c r="H236" s="3"/>
      <c r="P236" s="3"/>
      <c r="R236" s="3"/>
      <c r="S236" s="3"/>
      <c r="T236" s="6"/>
      <c r="V236" s="3"/>
      <c r="W236" s="3"/>
      <c r="X236" s="3"/>
    </row>
    <row r="237" spans="4:25" ht="15" x14ac:dyDescent="0.25">
      <c r="D237" s="6"/>
      <c r="F237" s="3"/>
      <c r="H237" s="3"/>
      <c r="P237" s="3"/>
      <c r="R237" s="3"/>
      <c r="S237" s="3"/>
      <c r="T237" s="6"/>
      <c r="V237" s="3"/>
      <c r="W237" s="3"/>
      <c r="X237" s="3"/>
    </row>
    <row r="238" spans="4:25" ht="15" x14ac:dyDescent="0.25">
      <c r="D238" s="6"/>
      <c r="F238" s="3"/>
      <c r="H238" s="3"/>
      <c r="P238" s="3"/>
      <c r="R238" s="3"/>
      <c r="S238" s="3"/>
      <c r="T238" s="6"/>
      <c r="V238" s="3"/>
      <c r="W238" s="3"/>
      <c r="X238" s="3"/>
    </row>
    <row r="239" spans="4:25" ht="15" x14ac:dyDescent="0.25">
      <c r="D239" s="6"/>
      <c r="F239" s="3"/>
      <c r="H239" s="3"/>
      <c r="P239" s="3"/>
      <c r="R239" s="3"/>
      <c r="S239" s="3"/>
      <c r="T239" s="6"/>
      <c r="V239" s="3"/>
      <c r="W239" s="3"/>
      <c r="X239" s="3"/>
    </row>
    <row r="240" spans="4:25" ht="15" x14ac:dyDescent="0.25">
      <c r="D240" s="6"/>
      <c r="F240" s="3"/>
      <c r="H240" s="3"/>
      <c r="P240" s="3"/>
      <c r="R240" s="3"/>
      <c r="S240" s="3"/>
      <c r="T240" s="6"/>
      <c r="V240" s="3"/>
      <c r="W240" s="3"/>
      <c r="X240" s="3"/>
    </row>
    <row r="241" spans="4:24" ht="15" x14ac:dyDescent="0.25">
      <c r="D241" s="6"/>
      <c r="F241" s="3"/>
      <c r="H241" s="3"/>
      <c r="P241" s="3"/>
      <c r="R241" s="3"/>
      <c r="S241" s="3"/>
      <c r="T241" s="6"/>
      <c r="V241" s="3"/>
      <c r="W241" s="3"/>
      <c r="X241" s="3"/>
    </row>
    <row r="242" spans="4:24" ht="15" x14ac:dyDescent="0.25">
      <c r="D242" s="6"/>
      <c r="F242" s="3"/>
      <c r="H242" s="3"/>
      <c r="P242" s="3"/>
      <c r="R242" s="3"/>
      <c r="S242" s="3"/>
      <c r="T242" s="6"/>
      <c r="V242" s="3"/>
      <c r="W242" s="3"/>
      <c r="X242" s="3"/>
    </row>
    <row r="243" spans="4:24" ht="15" x14ac:dyDescent="0.25">
      <c r="D243" s="6"/>
      <c r="F243" s="3"/>
      <c r="H243" s="3"/>
      <c r="P243" s="3"/>
      <c r="R243" s="3"/>
      <c r="T243" s="6"/>
    </row>
    <row r="244" spans="4:24" ht="15" x14ac:dyDescent="0.25">
      <c r="D244" s="6"/>
      <c r="F244" s="3"/>
      <c r="H244" s="3"/>
      <c r="P244" s="3"/>
      <c r="R244" s="3"/>
      <c r="S244" s="30"/>
      <c r="T244" s="6"/>
      <c r="W244" s="22"/>
      <c r="X244" s="30"/>
    </row>
  </sheetData>
  <sortState xmlns:xlrd2="http://schemas.microsoft.com/office/spreadsheetml/2017/richdata2" ref="J2:L244">
    <sortCondition ref="J1:J24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EDCE3-1AA9-45A4-8641-5D31629086BE}">
  <dimension ref="B3:M22"/>
  <sheetViews>
    <sheetView workbookViewId="0">
      <selection activeCell="C46" sqref="C46"/>
    </sheetView>
  </sheetViews>
  <sheetFormatPr defaultRowHeight="14.25" x14ac:dyDescent="0.2"/>
  <cols>
    <col min="3" max="3" width="10.625" customWidth="1"/>
  </cols>
  <sheetData>
    <row r="3" spans="2:13" x14ac:dyDescent="0.2">
      <c r="B3" t="s">
        <v>400</v>
      </c>
      <c r="C3">
        <f>(H5/L5)*24</f>
        <v>0.21052631578947367</v>
      </c>
    </row>
    <row r="4" spans="2:13" x14ac:dyDescent="0.2">
      <c r="B4" t="s">
        <v>401</v>
      </c>
      <c r="C4">
        <v>0.46</v>
      </c>
    </row>
    <row r="5" spans="2:13" x14ac:dyDescent="0.2">
      <c r="B5" t="s">
        <v>404</v>
      </c>
      <c r="C5">
        <v>0.23300000000000001</v>
      </c>
      <c r="H5" s="20">
        <f>50/1000</f>
        <v>0.05</v>
      </c>
      <c r="I5">
        <v>22.7</v>
      </c>
      <c r="J5">
        <v>115</v>
      </c>
      <c r="K5" s="13" t="s">
        <v>43</v>
      </c>
      <c r="L5">
        <v>5.7</v>
      </c>
    </row>
    <row r="6" spans="2:13" x14ac:dyDescent="0.2">
      <c r="H6" s="20">
        <f>50/1000</f>
        <v>0.05</v>
      </c>
      <c r="I6">
        <v>24.3</v>
      </c>
      <c r="J6">
        <v>120</v>
      </c>
      <c r="K6" t="s">
        <v>43</v>
      </c>
      <c r="L6">
        <v>5.9</v>
      </c>
    </row>
    <row r="7" spans="2:13" x14ac:dyDescent="0.2">
      <c r="B7" t="s">
        <v>402</v>
      </c>
      <c r="C7">
        <f>(8/(1000))/7</f>
        <v>1.1428571428571429E-3</v>
      </c>
    </row>
    <row r="8" spans="2:13" x14ac:dyDescent="0.2">
      <c r="B8" t="s">
        <v>403</v>
      </c>
      <c r="C8">
        <v>1.4470000000000001</v>
      </c>
    </row>
    <row r="10" spans="2:13" x14ac:dyDescent="0.2">
      <c r="B10" t="s">
        <v>405</v>
      </c>
      <c r="C10">
        <f>25/1000</f>
        <v>2.5000000000000001E-2</v>
      </c>
    </row>
    <row r="11" spans="2:13" x14ac:dyDescent="0.2">
      <c r="B11" t="s">
        <v>406</v>
      </c>
      <c r="C11">
        <v>2.1999999999999999E-2</v>
      </c>
      <c r="L11">
        <v>5.9</v>
      </c>
      <c r="M11">
        <v>54</v>
      </c>
    </row>
    <row r="12" spans="2:13" x14ac:dyDescent="0.2">
      <c r="B12" t="s">
        <v>407</v>
      </c>
      <c r="C12">
        <v>0.88600000000000001</v>
      </c>
    </row>
    <row r="15" spans="2:13" x14ac:dyDescent="0.2">
      <c r="B15" t="s">
        <v>408</v>
      </c>
      <c r="C15">
        <f>C3*C4*C5</f>
        <v>2.2564210526315791E-2</v>
      </c>
    </row>
    <row r="17" spans="2:3" x14ac:dyDescent="0.2">
      <c r="B17" t="s">
        <v>409</v>
      </c>
      <c r="C17">
        <f>C15*C7-C8*(C7^2)</f>
        <v>2.3897709989258864E-5</v>
      </c>
    </row>
    <row r="19" spans="2:3" x14ac:dyDescent="0.2">
      <c r="B19" t="s">
        <v>410</v>
      </c>
      <c r="C19">
        <f>(C10*(1-C11))*(C15*C12-C7*C8+C15)</f>
        <v>1.0000633564511278E-3</v>
      </c>
    </row>
    <row r="22" spans="2:3" x14ac:dyDescent="0.2">
      <c r="B22" t="s">
        <v>411</v>
      </c>
      <c r="C22">
        <f>C17/C19</f>
        <v>2.3896196011084149E-2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2" ma:contentTypeDescription="Create a new document." ma:contentTypeScope="" ma:versionID="4b3bf6b0de748a692f8291188ffaf7eb">
  <xsd:schema xmlns:xsd="http://www.w3.org/2001/XMLSchema" xmlns:xs="http://www.w3.org/2001/XMLSchema" xmlns:p="http://schemas.microsoft.com/office/2006/metadata/properties" xmlns:ns3="5b9dbb6f-f28e-4a32-a7d6-aa04ef18b565" xmlns:ns4="62dac45c-a09b-4542-889f-7647871c89a7" targetNamespace="http://schemas.microsoft.com/office/2006/metadata/properties" ma:root="true" ma:fieldsID="389cfec3e8e83f45cd5ff637a0390171" ns3:_="" ns4:_="">
    <xsd:import namespace="5b9dbb6f-f28e-4a32-a7d6-aa04ef18b565"/>
    <xsd:import namespace="62dac45c-a09b-4542-889f-7647871c89a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9A7609-6C11-4696-BA8F-21BCE73CFF42}">
  <ds:schemaRefs>
    <ds:schemaRef ds:uri="http://www.w3.org/XML/1998/namespace"/>
    <ds:schemaRef ds:uri="http://purl.org/dc/dcmitype/"/>
    <ds:schemaRef ds:uri="62dac45c-a09b-4542-889f-7647871c89a7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5b9dbb6f-f28e-4a32-a7d6-aa04ef18b565"/>
  </ds:schemaRefs>
</ds:datastoreItem>
</file>

<file path=customXml/itemProps2.xml><?xml version="1.0" encoding="utf-8"?>
<ds:datastoreItem xmlns:ds="http://schemas.openxmlformats.org/officeDocument/2006/customXml" ds:itemID="{025C6A91-B3E5-45E2-9195-958AB8952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9dbb6f-f28e-4a32-a7d6-aa04ef18b565"/>
    <ds:schemaRef ds:uri="62dac45c-a09b-4542-889f-7647871c89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84AAD4-6EB8-4580-AA54-54D9B0BC72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Sources</vt:lpstr>
      <vt:lpstr>Data</vt:lpstr>
      <vt:lpstr>Other Reactor Type</vt:lpstr>
      <vt:lpstr>Analysis</vt:lpstr>
      <vt:lpstr>Analysis New</vt:lpstr>
      <vt:lpstr>Analysis 3</vt:lpstr>
      <vt:lpstr>Compleixty</vt:lpstr>
      <vt:lpstr>Hydrolysis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2022-09-07T14:30:48Z</dcterms:created>
  <dcterms:modified xsi:type="dcterms:W3CDTF">2022-11-01T15:33:49Z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