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lissa\Documents\PBX ASE paper\"/>
    </mc:Choice>
  </mc:AlternateContent>
  <bookViews>
    <workbookView xWindow="120" yWindow="45" windowWidth="15240" windowHeight="7335" firstSheet="1" activeTab="6"/>
  </bookViews>
  <sheets>
    <sheet name="hplc 1" sheetId="1" r:id="rId1"/>
    <sheet name="hplc 2" sheetId="4" r:id="rId2"/>
    <sheet name="HPLC 3" sheetId="5" r:id="rId3"/>
    <sheet name="HPLC 4" sheetId="6" r:id="rId4"/>
    <sheet name="HPLC 5" sheetId="7" r:id="rId5"/>
    <sheet name="HPLC 6" sheetId="8" r:id="rId6"/>
    <sheet name="Sheet2" sheetId="13" r:id="rId7"/>
    <sheet name="HPLC 7" sheetId="9" r:id="rId8"/>
    <sheet name="HPLC 8" sheetId="11" r:id="rId9"/>
    <sheet name="HPLC 9" sheetId="12" r:id="rId10"/>
    <sheet name="Sheet1" sheetId="10" r:id="rId11"/>
  </sheets>
  <calcPr calcId="162913"/>
</workbook>
</file>

<file path=xl/calcChain.xml><?xml version="1.0" encoding="utf-8"?>
<calcChain xmlns="http://schemas.openxmlformats.org/spreadsheetml/2006/main">
  <c r="G3" i="13" l="1"/>
  <c r="G4" i="13"/>
  <c r="G5" i="13"/>
  <c r="G6" i="13"/>
  <c r="G2" i="13"/>
  <c r="E6" i="13"/>
  <c r="E3" i="13"/>
  <c r="E4" i="13"/>
  <c r="E5" i="13"/>
  <c r="E2" i="13"/>
  <c r="K35" i="8"/>
  <c r="K34" i="8"/>
  <c r="J34" i="8"/>
  <c r="I33" i="12" l="1"/>
  <c r="I32" i="12"/>
  <c r="I31" i="12"/>
  <c r="I30" i="12"/>
  <c r="I29" i="12"/>
  <c r="I28" i="12"/>
  <c r="F9" i="12"/>
  <c r="F8" i="12"/>
  <c r="F7" i="12"/>
  <c r="J6" i="12"/>
  <c r="F6" i="12"/>
  <c r="F5" i="12"/>
  <c r="J5" i="12" s="1"/>
  <c r="I33" i="11"/>
  <c r="I32" i="11"/>
  <c r="I31" i="11"/>
  <c r="I30" i="11"/>
  <c r="I29" i="11"/>
  <c r="I28" i="11"/>
  <c r="F9" i="11"/>
  <c r="F8" i="11"/>
  <c r="F7" i="11"/>
  <c r="F6" i="11"/>
  <c r="F5" i="11"/>
  <c r="J6" i="11" s="1"/>
  <c r="J5" i="11" l="1"/>
  <c r="E33" i="12"/>
  <c r="H33" i="12" s="1"/>
  <c r="J33" i="12" s="1"/>
  <c r="E28" i="12"/>
  <c r="H28" i="12" s="1"/>
  <c r="J28" i="12" s="1"/>
  <c r="E30" i="12"/>
  <c r="H30" i="12" s="1"/>
  <c r="J30" i="12" s="1"/>
  <c r="E32" i="12"/>
  <c r="H32" i="12" s="1"/>
  <c r="J32" i="12" s="1"/>
  <c r="E29" i="12"/>
  <c r="H29" i="12" s="1"/>
  <c r="J29" i="12" s="1"/>
  <c r="E31" i="12"/>
  <c r="H31" i="12" s="1"/>
  <c r="J31" i="12" s="1"/>
  <c r="E32" i="11"/>
  <c r="H32" i="11" s="1"/>
  <c r="J32" i="11" s="1"/>
  <c r="E29" i="11"/>
  <c r="H29" i="11" s="1"/>
  <c r="J29" i="11" s="1"/>
  <c r="E31" i="11"/>
  <c r="H31" i="11" s="1"/>
  <c r="J31" i="11" s="1"/>
  <c r="E28" i="11"/>
  <c r="H28" i="11" s="1"/>
  <c r="J28" i="11" s="1"/>
  <c r="E33" i="11"/>
  <c r="H33" i="11" s="1"/>
  <c r="J33" i="11" s="1"/>
  <c r="E30" i="11"/>
  <c r="H30" i="11" s="1"/>
  <c r="J30" i="11" s="1"/>
  <c r="I33" i="9"/>
  <c r="I32" i="9"/>
  <c r="I30" i="9"/>
  <c r="I31" i="9"/>
  <c r="I29" i="9"/>
  <c r="I28" i="9"/>
  <c r="E33" i="9"/>
  <c r="H33" i="9" s="1"/>
  <c r="J33" i="9" s="1"/>
  <c r="E32" i="9"/>
  <c r="H32" i="9" s="1"/>
  <c r="E31" i="9"/>
  <c r="H31" i="9" s="1"/>
  <c r="J31" i="9" s="1"/>
  <c r="E30" i="9"/>
  <c r="H30" i="9" s="1"/>
  <c r="E29" i="9"/>
  <c r="H29" i="9" s="1"/>
  <c r="J29" i="9" s="1"/>
  <c r="E28" i="9"/>
  <c r="H28" i="9" s="1"/>
  <c r="F9" i="9"/>
  <c r="F8" i="9"/>
  <c r="F7" i="9"/>
  <c r="F6" i="9"/>
  <c r="F5" i="9"/>
  <c r="J28" i="9" l="1"/>
  <c r="J32" i="9"/>
  <c r="J30" i="9"/>
  <c r="I33" i="8"/>
  <c r="I32" i="8"/>
  <c r="I31" i="8"/>
  <c r="I30" i="8"/>
  <c r="I29" i="8"/>
  <c r="E33" i="8"/>
  <c r="H33" i="8" s="1"/>
  <c r="E32" i="8"/>
  <c r="H32" i="8" s="1"/>
  <c r="E31" i="8"/>
  <c r="H31" i="8" s="1"/>
  <c r="E30" i="8"/>
  <c r="H30" i="8" s="1"/>
  <c r="E29" i="8"/>
  <c r="H29" i="8" s="1"/>
  <c r="I28" i="8"/>
  <c r="E28" i="8"/>
  <c r="H28" i="8" s="1"/>
  <c r="F9" i="8"/>
  <c r="F8" i="8"/>
  <c r="F7" i="8"/>
  <c r="F6" i="8"/>
  <c r="F5" i="8"/>
  <c r="I31" i="7"/>
  <c r="I30" i="7"/>
  <c r="I33" i="7"/>
  <c r="I32" i="7"/>
  <c r="I29" i="7"/>
  <c r="I28" i="7"/>
  <c r="E33" i="7"/>
  <c r="H33" i="7" s="1"/>
  <c r="E32" i="7"/>
  <c r="H32" i="7" s="1"/>
  <c r="E31" i="7"/>
  <c r="H31" i="7" s="1"/>
  <c r="E30" i="7"/>
  <c r="H30" i="7" s="1"/>
  <c r="E29" i="7"/>
  <c r="H29" i="7" s="1"/>
  <c r="E28" i="7"/>
  <c r="H28" i="7" s="1"/>
  <c r="F9" i="7"/>
  <c r="F8" i="7"/>
  <c r="F7" i="7"/>
  <c r="F6" i="7"/>
  <c r="F5" i="7"/>
  <c r="J32" i="8" l="1"/>
  <c r="J30" i="8"/>
  <c r="J31" i="8"/>
  <c r="J33" i="8"/>
  <c r="J29" i="8"/>
  <c r="J28" i="8"/>
  <c r="J33" i="7"/>
  <c r="J31" i="7"/>
  <c r="J30" i="7"/>
  <c r="J32" i="7"/>
  <c r="K33" i="7" s="1"/>
  <c r="J29" i="7"/>
  <c r="J28" i="7"/>
  <c r="K29" i="7" s="1"/>
  <c r="I37" i="6"/>
  <c r="I38" i="6"/>
  <c r="I39" i="6"/>
  <c r="E39" i="6"/>
  <c r="H39" i="6" s="1"/>
  <c r="J39" i="6" s="1"/>
  <c r="E37" i="6"/>
  <c r="H37" i="6" s="1"/>
  <c r="J37" i="6" s="1"/>
  <c r="E38" i="6"/>
  <c r="H38" i="6" s="1"/>
  <c r="J38" i="6" s="1"/>
  <c r="E28" i="6"/>
  <c r="I37" i="5"/>
  <c r="I38" i="5"/>
  <c r="I39" i="5"/>
  <c r="E37" i="5"/>
  <c r="H37" i="5" s="1"/>
  <c r="H38" i="5"/>
  <c r="H39" i="5"/>
  <c r="J37" i="5" l="1"/>
  <c r="J39" i="5"/>
  <c r="K31" i="7"/>
  <c r="J38" i="5"/>
  <c r="I36" i="6"/>
  <c r="I29" i="6"/>
  <c r="I30" i="6"/>
  <c r="I31" i="6"/>
  <c r="I28" i="6"/>
  <c r="E36" i="6"/>
  <c r="H36" i="6" s="1"/>
  <c r="K39" i="6" s="1"/>
  <c r="E31" i="6"/>
  <c r="H31" i="6" s="1"/>
  <c r="E30" i="6"/>
  <c r="H30" i="6" s="1"/>
  <c r="J30" i="6" s="1"/>
  <c r="E29" i="6"/>
  <c r="H29" i="6" s="1"/>
  <c r="H28" i="6"/>
  <c r="F9" i="6"/>
  <c r="F8" i="6"/>
  <c r="F7" i="6"/>
  <c r="F6" i="6"/>
  <c r="F5" i="6"/>
  <c r="J31" i="6" l="1"/>
  <c r="J29" i="6"/>
  <c r="K31" i="6"/>
  <c r="J36" i="6"/>
  <c r="J28" i="6"/>
  <c r="I29" i="4"/>
  <c r="I30" i="4"/>
  <c r="I31" i="4"/>
  <c r="I28" i="4"/>
  <c r="I31" i="5"/>
  <c r="I30" i="5"/>
  <c r="I29" i="5"/>
  <c r="I28" i="5"/>
  <c r="I36" i="5"/>
  <c r="E36" i="5"/>
  <c r="H36" i="5" s="1"/>
  <c r="K39" i="5" s="1"/>
  <c r="E31" i="5"/>
  <c r="H31" i="5" s="1"/>
  <c r="E30" i="5"/>
  <c r="H30" i="5" s="1"/>
  <c r="E29" i="5"/>
  <c r="H29" i="5" s="1"/>
  <c r="E28" i="5"/>
  <c r="H28" i="5" s="1"/>
  <c r="F9" i="5"/>
  <c r="F8" i="5"/>
  <c r="F7" i="5"/>
  <c r="F6" i="5"/>
  <c r="F5" i="5"/>
  <c r="K31" i="5" l="1"/>
  <c r="J36" i="5"/>
  <c r="J29" i="5"/>
  <c r="J31" i="5"/>
  <c r="J30" i="5"/>
  <c r="J28" i="5"/>
  <c r="E29" i="4" l="1"/>
  <c r="E30" i="4"/>
  <c r="H30" i="4" s="1"/>
  <c r="J30" i="4" s="1"/>
  <c r="E31" i="4"/>
  <c r="H31" i="4" s="1"/>
  <c r="H29" i="4"/>
  <c r="J29" i="4" s="1"/>
  <c r="E28" i="4"/>
  <c r="H28" i="4" s="1"/>
  <c r="F9" i="4"/>
  <c r="F8" i="4"/>
  <c r="F7" i="4"/>
  <c r="F6" i="4"/>
  <c r="F5" i="4"/>
  <c r="I35" i="1"/>
  <c r="I36" i="1"/>
  <c r="I34" i="1"/>
  <c r="I32" i="1"/>
  <c r="I33" i="1"/>
  <c r="I31" i="1"/>
  <c r="I29" i="1"/>
  <c r="I30" i="1"/>
  <c r="I28" i="1"/>
  <c r="H31" i="1"/>
  <c r="E29" i="1"/>
  <c r="H29" i="1" s="1"/>
  <c r="E30" i="1"/>
  <c r="H30" i="1" s="1"/>
  <c r="E31" i="1"/>
  <c r="E32" i="1"/>
  <c r="H32" i="1" s="1"/>
  <c r="J32" i="1" s="1"/>
  <c r="E33" i="1"/>
  <c r="H33" i="1" s="1"/>
  <c r="J33" i="1" s="1"/>
  <c r="E34" i="1"/>
  <c r="H34" i="1" s="1"/>
  <c r="E35" i="1"/>
  <c r="H35" i="1" s="1"/>
  <c r="E36" i="1"/>
  <c r="H36" i="1" s="1"/>
  <c r="E28" i="1"/>
  <c r="H28" i="1" s="1"/>
  <c r="F6" i="1"/>
  <c r="F7" i="1"/>
  <c r="F8" i="1"/>
  <c r="F9" i="1"/>
  <c r="F5" i="1"/>
  <c r="K31" i="4" l="1"/>
  <c r="J31" i="4"/>
  <c r="K34" i="4" s="1"/>
  <c r="J28" i="4"/>
  <c r="J29" i="1"/>
  <c r="J30" i="1"/>
  <c r="J35" i="1"/>
  <c r="J36" i="1"/>
  <c r="K33" i="1"/>
  <c r="K30" i="1"/>
  <c r="J28" i="1"/>
  <c r="K36" i="1"/>
  <c r="J31" i="1"/>
  <c r="J34" i="1"/>
</calcChain>
</file>

<file path=xl/sharedStrings.xml><?xml version="1.0" encoding="utf-8"?>
<sst xmlns="http://schemas.openxmlformats.org/spreadsheetml/2006/main" count="321" uniqueCount="106">
  <si>
    <t>Name</t>
  </si>
  <si>
    <t>RT</t>
  </si>
  <si>
    <t>Area</t>
  </si>
  <si>
    <t>RDX5</t>
  </si>
  <si>
    <t>RDX4</t>
  </si>
  <si>
    <t>RDX3</t>
  </si>
  <si>
    <t>RDX2</t>
  </si>
  <si>
    <t>RDX1</t>
  </si>
  <si>
    <t>CRG1605101</t>
  </si>
  <si>
    <t>CRG1605102</t>
  </si>
  <si>
    <t>CRG1605103</t>
  </si>
  <si>
    <t>CRG1605201</t>
  </si>
  <si>
    <t>CRG1605202</t>
  </si>
  <si>
    <t>CRG1605203</t>
  </si>
  <si>
    <t>CRG1605301</t>
  </si>
  <si>
    <t>CRG1605302</t>
  </si>
  <si>
    <t>CRG1605303</t>
  </si>
  <si>
    <t>Calibration</t>
  </si>
  <si>
    <t>conc ppm</t>
  </si>
  <si>
    <t>conc mg/ml</t>
  </si>
  <si>
    <t>slope</t>
  </si>
  <si>
    <t>intercept</t>
  </si>
  <si>
    <t>area</t>
  </si>
  <si>
    <t>volume</t>
  </si>
  <si>
    <t>dilution</t>
  </si>
  <si>
    <t>RDX mass</t>
  </si>
  <si>
    <t>RDX initial mass</t>
  </si>
  <si>
    <t>% RDX recovered</t>
  </si>
  <si>
    <t>extraction</t>
  </si>
  <si>
    <t>Acetone</t>
  </si>
  <si>
    <t>100oC</t>
  </si>
  <si>
    <t>RDX Total recovery</t>
  </si>
  <si>
    <t>10 min</t>
  </si>
  <si>
    <t>20 min</t>
  </si>
  <si>
    <t>30 min</t>
  </si>
  <si>
    <t>no rinses</t>
  </si>
  <si>
    <t>CRG0606101</t>
  </si>
  <si>
    <t>CRG0606102</t>
  </si>
  <si>
    <t>CRG0606103</t>
  </si>
  <si>
    <t>CRG0606104</t>
  </si>
  <si>
    <t>3 rinses</t>
  </si>
  <si>
    <t>CRG0706101</t>
  </si>
  <si>
    <t>CRG0706102</t>
  </si>
  <si>
    <t>CRG0706103</t>
  </si>
  <si>
    <t>CRG0706104</t>
  </si>
  <si>
    <t>CRG0706201</t>
  </si>
  <si>
    <t>CRG0606101D</t>
  </si>
  <si>
    <t>Dilution and re-run HPLC</t>
  </si>
  <si>
    <t>HPLC of extractions from 16th May</t>
  </si>
  <si>
    <t>HPLC of extractions from 6th June</t>
  </si>
  <si>
    <t>HPLC of extractions from 7th June</t>
  </si>
  <si>
    <t>too concentrated - needed dilution and rerun</t>
  </si>
  <si>
    <t>total</t>
  </si>
  <si>
    <t>Cut sample</t>
  </si>
  <si>
    <t>Whole</t>
  </si>
  <si>
    <t>thimble</t>
  </si>
  <si>
    <t>CRG0806101</t>
  </si>
  <si>
    <t>CRG0806102</t>
  </si>
  <si>
    <t>CRG0806103</t>
  </si>
  <si>
    <t>CRG0806104</t>
  </si>
  <si>
    <t>CRG0706202</t>
  </si>
  <si>
    <t>CRG0706203</t>
  </si>
  <si>
    <t>CRG0706204</t>
  </si>
  <si>
    <t>CRG0806201</t>
  </si>
  <si>
    <t>CRG0806202</t>
  </si>
  <si>
    <t>CRG0806203</t>
  </si>
  <si>
    <t>CRG0806204</t>
  </si>
  <si>
    <t>no sand</t>
  </si>
  <si>
    <t>HPLC of extractions from 8th June</t>
  </si>
  <si>
    <t>sand</t>
  </si>
  <si>
    <t>HPLC of extractions from 12th June</t>
  </si>
  <si>
    <t>Cut samples</t>
  </si>
  <si>
    <t>CRG1206102</t>
  </si>
  <si>
    <t>CRG1206101</t>
  </si>
  <si>
    <t>CRG1206201</t>
  </si>
  <si>
    <t>CRG1206202</t>
  </si>
  <si>
    <t>CRG1206301</t>
  </si>
  <si>
    <t>CRG1206302</t>
  </si>
  <si>
    <t>HPLC of extractions from 13th June</t>
  </si>
  <si>
    <t>CRG1306101</t>
  </si>
  <si>
    <t>CRG1306201</t>
  </si>
  <si>
    <t>CRG1306301</t>
  </si>
  <si>
    <t>CRG1306401</t>
  </si>
  <si>
    <t>CRG1306501</t>
  </si>
  <si>
    <t>HPLC of extractions from 20th June PBXN-111</t>
  </si>
  <si>
    <t>CRG2006201</t>
  </si>
  <si>
    <t>CRG20062012</t>
  </si>
  <si>
    <t>CRG2006202</t>
  </si>
  <si>
    <t>CRG20062022</t>
  </si>
  <si>
    <t>CRG2006203</t>
  </si>
  <si>
    <t>CRG20062032</t>
  </si>
  <si>
    <t>CRG2006301</t>
  </si>
  <si>
    <t>CRG2006401</t>
  </si>
  <si>
    <t>HMX5</t>
  </si>
  <si>
    <t>HMX1</t>
  </si>
  <si>
    <t>HMX2</t>
  </si>
  <si>
    <t>HMX3</t>
  </si>
  <si>
    <t>HMX4</t>
  </si>
  <si>
    <t>conc need to be changed</t>
  </si>
  <si>
    <t>HPLC of extractions from xxth June PBXN-xxx</t>
  </si>
  <si>
    <t>Surface area</t>
  </si>
  <si>
    <t>w (mm)</t>
  </si>
  <si>
    <t>h (mm)</t>
  </si>
  <si>
    <t>l (mm)</t>
  </si>
  <si>
    <t>mm2</t>
  </si>
  <si>
    <t>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</si>
</sst>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4" fontId="0" fillId="0" borderId="0" xfId="0" applyNumberFormat="1"/>
    <xf numFmtId="9" fontId="0" fillId="0" borderId="0" xfId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9" fontId="0" fillId="0" borderId="7" xfId="1" applyFont="1" applyBorder="1"/>
    <xf numFmtId="0" fontId="0" fillId="0" borderId="8" xfId="0" applyBorder="1"/>
    <xf numFmtId="9" fontId="0" fillId="0" borderId="2" xfId="1" applyFont="1" applyBorder="1"/>
    <xf numFmtId="9" fontId="0" fillId="0" borderId="0" xfId="1" applyFont="1" applyBorder="1"/>
    <xf numFmtId="0" fontId="2" fillId="0" borderId="0" xfId="0" applyFont="1"/>
    <xf numFmtId="0" fontId="0" fillId="0" borderId="0" xfId="0" applyFont="1"/>
    <xf numFmtId="0" fontId="0" fillId="0" borderId="9" xfId="0" applyBorder="1"/>
    <xf numFmtId="9" fontId="0" fillId="0" borderId="0" xfId="0" applyNumberFormat="1" applyBorder="1"/>
    <xf numFmtId="0" fontId="0" fillId="0" borderId="0" xfId="0" applyFill="1" applyBorder="1"/>
    <xf numFmtId="164" fontId="0" fillId="0" borderId="0" xfId="1" applyNumberFormat="1" applyFont="1" applyBorder="1"/>
    <xf numFmtId="0" fontId="0" fillId="2" borderId="0" xfId="0" applyFill="1" applyBorder="1"/>
    <xf numFmtId="9" fontId="0" fillId="2" borderId="0" xfId="1" applyFont="1" applyFill="1" applyBorder="1"/>
    <xf numFmtId="0" fontId="0" fillId="3" borderId="0" xfId="0" applyFill="1"/>
    <xf numFmtId="10" fontId="0" fillId="0" borderId="0" xfId="0" applyNumberForma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RDX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'hplc 1'!$G$4</c:f>
              <c:strCache>
                <c:ptCount val="1"/>
                <c:pt idx="0">
                  <c:v>Area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15854265091863518"/>
                  <c:y val="-4.0571959755030619E-2"/>
                </c:manualLayout>
              </c:layout>
              <c:numFmt formatCode="#,##0.00" sourceLinked="0"/>
            </c:trendlineLbl>
          </c:trendline>
          <c:xVal>
            <c:numRef>
              <c:f>'hplc 1'!$F$5:$F$9</c:f>
              <c:numCache>
                <c:formatCode>General</c:formatCode>
                <c:ptCount val="5"/>
                <c:pt idx="0">
                  <c:v>8.77E-3</c:v>
                </c:pt>
                <c:pt idx="1">
                  <c:v>1.315E-2</c:v>
                </c:pt>
                <c:pt idx="2">
                  <c:v>2.63E-2</c:v>
                </c:pt>
                <c:pt idx="3">
                  <c:v>3.9450000000000006E-2</c:v>
                </c:pt>
                <c:pt idx="4">
                  <c:v>5.2600000000000001E-2</c:v>
                </c:pt>
              </c:numCache>
            </c:numRef>
          </c:xVal>
          <c:yVal>
            <c:numRef>
              <c:f>'hplc 1'!$G$5:$G$9</c:f>
              <c:numCache>
                <c:formatCode>General</c:formatCode>
                <c:ptCount val="5"/>
                <c:pt idx="0">
                  <c:v>81837</c:v>
                </c:pt>
                <c:pt idx="1">
                  <c:v>126950</c:v>
                </c:pt>
                <c:pt idx="2">
                  <c:v>254669</c:v>
                </c:pt>
                <c:pt idx="3">
                  <c:v>373612</c:v>
                </c:pt>
                <c:pt idx="4">
                  <c:v>495960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193-4322-809B-27E575FA61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661504"/>
        <c:axId val="159876224"/>
      </c:scatterChart>
      <c:valAx>
        <c:axId val="122661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59876224"/>
        <c:crosses val="autoZero"/>
        <c:crossBetween val="midCat"/>
      </c:valAx>
      <c:valAx>
        <c:axId val="1598762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266150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RDX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'hplc 2'!$G$4</c:f>
              <c:strCache>
                <c:ptCount val="1"/>
                <c:pt idx="0">
                  <c:v>Area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15854265091863518"/>
                  <c:y val="-4.0571959755030619E-2"/>
                </c:manualLayout>
              </c:layout>
              <c:numFmt formatCode="#,##0.00" sourceLinked="0"/>
            </c:trendlineLbl>
          </c:trendline>
          <c:xVal>
            <c:numRef>
              <c:f>'hplc 2'!$F$5:$F$9</c:f>
              <c:numCache>
                <c:formatCode>General</c:formatCode>
                <c:ptCount val="5"/>
                <c:pt idx="0">
                  <c:v>8.77E-3</c:v>
                </c:pt>
                <c:pt idx="1">
                  <c:v>1.315E-2</c:v>
                </c:pt>
                <c:pt idx="2">
                  <c:v>2.63E-2</c:v>
                </c:pt>
                <c:pt idx="3">
                  <c:v>3.9450000000000006E-2</c:v>
                </c:pt>
                <c:pt idx="4">
                  <c:v>5.2600000000000001E-2</c:v>
                </c:pt>
              </c:numCache>
            </c:numRef>
          </c:xVal>
          <c:yVal>
            <c:numRef>
              <c:f>'hplc 2'!$G$5:$G$9</c:f>
              <c:numCache>
                <c:formatCode>General</c:formatCode>
                <c:ptCount val="5"/>
                <c:pt idx="0">
                  <c:v>90706</c:v>
                </c:pt>
                <c:pt idx="1">
                  <c:v>129221</c:v>
                </c:pt>
                <c:pt idx="2">
                  <c:v>252750</c:v>
                </c:pt>
                <c:pt idx="3">
                  <c:v>381479</c:v>
                </c:pt>
                <c:pt idx="4">
                  <c:v>505281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B6-437B-A4BF-70B9E2234E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237504"/>
        <c:axId val="123239040"/>
      </c:scatterChart>
      <c:valAx>
        <c:axId val="12323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3239040"/>
        <c:crosses val="autoZero"/>
        <c:crossBetween val="midCat"/>
      </c:valAx>
      <c:valAx>
        <c:axId val="12323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323750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RDX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'HPLC 3'!$G$4</c:f>
              <c:strCache>
                <c:ptCount val="1"/>
                <c:pt idx="0">
                  <c:v>Area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15854265091863518"/>
                  <c:y val="-4.0571959755030619E-2"/>
                </c:manualLayout>
              </c:layout>
              <c:numFmt formatCode="#,##0.00" sourceLinked="0"/>
            </c:trendlineLbl>
          </c:trendline>
          <c:xVal>
            <c:numRef>
              <c:f>'HPLC 3'!$F$5:$F$9</c:f>
              <c:numCache>
                <c:formatCode>General</c:formatCode>
                <c:ptCount val="5"/>
                <c:pt idx="0">
                  <c:v>8.77E-3</c:v>
                </c:pt>
                <c:pt idx="1">
                  <c:v>1.315E-2</c:v>
                </c:pt>
                <c:pt idx="2">
                  <c:v>2.63E-2</c:v>
                </c:pt>
                <c:pt idx="3">
                  <c:v>3.9450000000000006E-2</c:v>
                </c:pt>
                <c:pt idx="4">
                  <c:v>5.2600000000000001E-2</c:v>
                </c:pt>
              </c:numCache>
            </c:numRef>
          </c:xVal>
          <c:yVal>
            <c:numRef>
              <c:f>'HPLC 3'!$G$5:$G$9</c:f>
              <c:numCache>
                <c:formatCode>General</c:formatCode>
                <c:ptCount val="5"/>
                <c:pt idx="0">
                  <c:v>86553</c:v>
                </c:pt>
                <c:pt idx="1">
                  <c:v>129221</c:v>
                </c:pt>
                <c:pt idx="2">
                  <c:v>256863</c:v>
                </c:pt>
                <c:pt idx="3">
                  <c:v>383763</c:v>
                </c:pt>
                <c:pt idx="4">
                  <c:v>505325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366-4727-A980-75C32116C4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636544"/>
        <c:axId val="124646528"/>
      </c:scatterChart>
      <c:valAx>
        <c:axId val="124636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4646528"/>
        <c:crosses val="autoZero"/>
        <c:crossBetween val="midCat"/>
      </c:valAx>
      <c:valAx>
        <c:axId val="1246465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46365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RDX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'HPLC 4'!$G$4</c:f>
              <c:strCache>
                <c:ptCount val="1"/>
                <c:pt idx="0">
                  <c:v>Area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15854265091863518"/>
                  <c:y val="-4.0571959755030619E-2"/>
                </c:manualLayout>
              </c:layout>
              <c:numFmt formatCode="#,##0.00" sourceLinked="0"/>
            </c:trendlineLbl>
          </c:trendline>
          <c:xVal>
            <c:numRef>
              <c:f>'HPLC 4'!$F$5:$F$9</c:f>
              <c:numCache>
                <c:formatCode>General</c:formatCode>
                <c:ptCount val="5"/>
                <c:pt idx="0">
                  <c:v>8.77E-3</c:v>
                </c:pt>
                <c:pt idx="1">
                  <c:v>1.315E-2</c:v>
                </c:pt>
                <c:pt idx="2">
                  <c:v>2.63E-2</c:v>
                </c:pt>
                <c:pt idx="3">
                  <c:v>3.9450000000000006E-2</c:v>
                </c:pt>
                <c:pt idx="4">
                  <c:v>5.2600000000000001E-2</c:v>
                </c:pt>
              </c:numCache>
            </c:numRef>
          </c:xVal>
          <c:yVal>
            <c:numRef>
              <c:f>'HPLC 4'!$G$5:$G$9</c:f>
              <c:numCache>
                <c:formatCode>General</c:formatCode>
                <c:ptCount val="5"/>
                <c:pt idx="0">
                  <c:v>87755</c:v>
                </c:pt>
                <c:pt idx="1">
                  <c:v>129375</c:v>
                </c:pt>
                <c:pt idx="2">
                  <c:v>251161</c:v>
                </c:pt>
                <c:pt idx="3">
                  <c:v>380405</c:v>
                </c:pt>
                <c:pt idx="4">
                  <c:v>509403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26-410B-8DBA-80B2A9E6A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747968"/>
        <c:axId val="127749504"/>
      </c:scatterChart>
      <c:valAx>
        <c:axId val="127747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7749504"/>
        <c:crosses val="autoZero"/>
        <c:crossBetween val="midCat"/>
      </c:valAx>
      <c:valAx>
        <c:axId val="1277495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77479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RDX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'HPLC 5'!$G$4</c:f>
              <c:strCache>
                <c:ptCount val="1"/>
                <c:pt idx="0">
                  <c:v>Area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15854265091863518"/>
                  <c:y val="-4.0571959755030619E-2"/>
                </c:manualLayout>
              </c:layout>
              <c:numFmt formatCode="#,##0.00" sourceLinked="0"/>
            </c:trendlineLbl>
          </c:trendline>
          <c:xVal>
            <c:numRef>
              <c:f>'HPLC 5'!$F$5:$F$9</c:f>
              <c:numCache>
                <c:formatCode>General</c:formatCode>
                <c:ptCount val="5"/>
                <c:pt idx="0">
                  <c:v>8.77E-3</c:v>
                </c:pt>
                <c:pt idx="1">
                  <c:v>1.315E-2</c:v>
                </c:pt>
                <c:pt idx="2">
                  <c:v>2.63E-2</c:v>
                </c:pt>
                <c:pt idx="3">
                  <c:v>3.9450000000000006E-2</c:v>
                </c:pt>
                <c:pt idx="4">
                  <c:v>5.2600000000000001E-2</c:v>
                </c:pt>
              </c:numCache>
            </c:numRef>
          </c:xVal>
          <c:yVal>
            <c:numRef>
              <c:f>'HPLC 5'!$G$5:$G$9</c:f>
              <c:numCache>
                <c:formatCode>General</c:formatCode>
                <c:ptCount val="5"/>
                <c:pt idx="0">
                  <c:v>74709</c:v>
                </c:pt>
                <c:pt idx="1">
                  <c:v>112128</c:v>
                </c:pt>
                <c:pt idx="2">
                  <c:v>221516</c:v>
                </c:pt>
                <c:pt idx="3">
                  <c:v>338014</c:v>
                </c:pt>
                <c:pt idx="4">
                  <c:v>445473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F0E-4C8A-A3E2-DE95C69EEC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487808"/>
        <c:axId val="128489344"/>
      </c:scatterChart>
      <c:valAx>
        <c:axId val="128487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8489344"/>
        <c:crosses val="autoZero"/>
        <c:crossBetween val="midCat"/>
      </c:valAx>
      <c:valAx>
        <c:axId val="1284893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84878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RDX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'HPLC 6'!$G$4</c:f>
              <c:strCache>
                <c:ptCount val="1"/>
                <c:pt idx="0">
                  <c:v>Area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15854265091863518"/>
                  <c:y val="-4.0571959755030619E-2"/>
                </c:manualLayout>
              </c:layout>
              <c:numFmt formatCode="#,##0.00" sourceLinked="0"/>
            </c:trendlineLbl>
          </c:trendline>
          <c:xVal>
            <c:numRef>
              <c:f>'HPLC 6'!$F$5:$F$9</c:f>
              <c:numCache>
                <c:formatCode>General</c:formatCode>
                <c:ptCount val="5"/>
                <c:pt idx="0">
                  <c:v>8.77E-3</c:v>
                </c:pt>
                <c:pt idx="1">
                  <c:v>1.315E-2</c:v>
                </c:pt>
                <c:pt idx="2">
                  <c:v>2.63E-2</c:v>
                </c:pt>
                <c:pt idx="3">
                  <c:v>3.9450000000000006E-2</c:v>
                </c:pt>
                <c:pt idx="4">
                  <c:v>5.2600000000000001E-2</c:v>
                </c:pt>
              </c:numCache>
            </c:numRef>
          </c:xVal>
          <c:yVal>
            <c:numRef>
              <c:f>'HPLC 6'!$G$5:$G$9</c:f>
              <c:numCache>
                <c:formatCode>General</c:formatCode>
                <c:ptCount val="5"/>
                <c:pt idx="0">
                  <c:v>77895</c:v>
                </c:pt>
                <c:pt idx="1">
                  <c:v>115347</c:v>
                </c:pt>
                <c:pt idx="2">
                  <c:v>226231</c:v>
                </c:pt>
                <c:pt idx="3">
                  <c:v>339914</c:v>
                </c:pt>
                <c:pt idx="4">
                  <c:v>452490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070-4087-8B20-0117DFC909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4444032"/>
        <c:axId val="144445824"/>
      </c:scatterChart>
      <c:valAx>
        <c:axId val="144444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4445824"/>
        <c:crosses val="autoZero"/>
        <c:crossBetween val="midCat"/>
      </c:valAx>
      <c:valAx>
        <c:axId val="1444458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444403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RDX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'HPLC 7'!$G$4</c:f>
              <c:strCache>
                <c:ptCount val="1"/>
                <c:pt idx="0">
                  <c:v>Area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15854265091863518"/>
                  <c:y val="-4.0571959755030619E-2"/>
                </c:manualLayout>
              </c:layout>
              <c:numFmt formatCode="#,##0.00" sourceLinked="0"/>
            </c:trendlineLbl>
          </c:trendline>
          <c:xVal>
            <c:numRef>
              <c:f>'HPLC 7'!$F$5:$F$9</c:f>
              <c:numCache>
                <c:formatCode>General</c:formatCode>
                <c:ptCount val="5"/>
                <c:pt idx="0">
                  <c:v>8.77E-3</c:v>
                </c:pt>
                <c:pt idx="1">
                  <c:v>1.315E-2</c:v>
                </c:pt>
                <c:pt idx="2">
                  <c:v>2.63E-2</c:v>
                </c:pt>
                <c:pt idx="3">
                  <c:v>3.9450000000000006E-2</c:v>
                </c:pt>
                <c:pt idx="4">
                  <c:v>5.2600000000000001E-2</c:v>
                </c:pt>
              </c:numCache>
            </c:numRef>
          </c:xVal>
          <c:yVal>
            <c:numRef>
              <c:f>'HPLC 7'!$G$5:$G$9</c:f>
              <c:numCache>
                <c:formatCode>General</c:formatCode>
                <c:ptCount val="5"/>
                <c:pt idx="0">
                  <c:v>77197</c:v>
                </c:pt>
                <c:pt idx="1">
                  <c:v>111808</c:v>
                </c:pt>
                <c:pt idx="2">
                  <c:v>222619</c:v>
                </c:pt>
                <c:pt idx="3">
                  <c:v>334083</c:v>
                </c:pt>
                <c:pt idx="4">
                  <c:v>444180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D9A-4D32-BF30-9C803B000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4528512"/>
        <c:axId val="144530048"/>
      </c:scatterChart>
      <c:valAx>
        <c:axId val="144528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4530048"/>
        <c:crosses val="autoZero"/>
        <c:crossBetween val="midCat"/>
      </c:valAx>
      <c:valAx>
        <c:axId val="1445300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452851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RDX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'HPLC 8'!$G$4</c:f>
              <c:strCache>
                <c:ptCount val="1"/>
                <c:pt idx="0">
                  <c:v>Area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15854265091863518"/>
                  <c:y val="-4.0571959755030619E-2"/>
                </c:manualLayout>
              </c:layout>
              <c:numFmt formatCode="#,##0.00" sourceLinked="0"/>
            </c:trendlineLbl>
          </c:trendline>
          <c:xVal>
            <c:numRef>
              <c:f>'HPLC 8'!$F$5:$F$9</c:f>
              <c:numCache>
                <c:formatCode>General</c:formatCode>
                <c:ptCount val="5"/>
                <c:pt idx="0">
                  <c:v>8.77E-3</c:v>
                </c:pt>
                <c:pt idx="1">
                  <c:v>1.315E-2</c:v>
                </c:pt>
                <c:pt idx="2">
                  <c:v>2.63E-2</c:v>
                </c:pt>
                <c:pt idx="3">
                  <c:v>3.9450000000000006E-2</c:v>
                </c:pt>
                <c:pt idx="4">
                  <c:v>5.2600000000000001E-2</c:v>
                </c:pt>
              </c:numCache>
            </c:numRef>
          </c:xVal>
          <c:yVal>
            <c:numRef>
              <c:f>'HPLC 8'!$G$5:$G$9</c:f>
              <c:numCache>
                <c:formatCode>General</c:formatCode>
                <c:ptCount val="5"/>
                <c:pt idx="0">
                  <c:v>76517</c:v>
                </c:pt>
                <c:pt idx="1">
                  <c:v>114536</c:v>
                </c:pt>
                <c:pt idx="2">
                  <c:v>223909</c:v>
                </c:pt>
                <c:pt idx="3">
                  <c:v>332245</c:v>
                </c:pt>
                <c:pt idx="4">
                  <c:v>454809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E47-41BA-9F3C-F54AE31957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075072"/>
        <c:axId val="151076864"/>
      </c:scatterChart>
      <c:valAx>
        <c:axId val="151075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51076864"/>
        <c:crosses val="autoZero"/>
        <c:crossBetween val="midCat"/>
      </c:valAx>
      <c:valAx>
        <c:axId val="1510768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107507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HMX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'HPLC 9'!$G$4</c:f>
              <c:strCache>
                <c:ptCount val="1"/>
                <c:pt idx="0">
                  <c:v>Area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15854265091863518"/>
                  <c:y val="-4.0571959755030619E-2"/>
                </c:manualLayout>
              </c:layout>
              <c:numFmt formatCode="#,##0.00" sourceLinked="0"/>
            </c:trendlineLbl>
          </c:trendline>
          <c:xVal>
            <c:numRef>
              <c:f>'HPLC 9'!$F$5:$F$9</c:f>
              <c:numCache>
                <c:formatCode>General</c:formatCode>
                <c:ptCount val="5"/>
                <c:pt idx="0">
                  <c:v>8.77E-3</c:v>
                </c:pt>
                <c:pt idx="1">
                  <c:v>1.315E-2</c:v>
                </c:pt>
                <c:pt idx="2">
                  <c:v>2.63E-2</c:v>
                </c:pt>
                <c:pt idx="3">
                  <c:v>3.9450000000000006E-2</c:v>
                </c:pt>
                <c:pt idx="4">
                  <c:v>5.2600000000000001E-2</c:v>
                </c:pt>
              </c:numCache>
            </c:numRef>
          </c:xVal>
          <c:yVal>
            <c:numRef>
              <c:f>'HPLC 9'!$G$5:$G$9</c:f>
              <c:numCache>
                <c:formatCode>General</c:formatCode>
                <c:ptCount val="5"/>
                <c:pt idx="0">
                  <c:v>77269</c:v>
                </c:pt>
                <c:pt idx="1">
                  <c:v>158151</c:v>
                </c:pt>
                <c:pt idx="2">
                  <c:v>217035</c:v>
                </c:pt>
                <c:pt idx="3">
                  <c:v>259079</c:v>
                </c:pt>
                <c:pt idx="4">
                  <c:v>315732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24-4C7C-BF29-3C85C75244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165056"/>
        <c:axId val="155166592"/>
      </c:scatterChart>
      <c:valAx>
        <c:axId val="155165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55166592"/>
        <c:crosses val="autoZero"/>
        <c:crossBetween val="midCat"/>
      </c:valAx>
      <c:valAx>
        <c:axId val="1551665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51650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385762</xdr:colOff>
      <xdr:row>10</xdr:row>
      <xdr:rowOff>42862</xdr:rowOff>
    </xdr:from>
    <xdr:to>
      <xdr:col>12</xdr:col>
      <xdr:colOff>80962</xdr:colOff>
      <xdr:row>24</xdr:row>
      <xdr:rowOff>119062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385762</xdr:colOff>
      <xdr:row>10</xdr:row>
      <xdr:rowOff>42862</xdr:rowOff>
    </xdr:from>
    <xdr:to>
      <xdr:col>12</xdr:col>
      <xdr:colOff>80962</xdr:colOff>
      <xdr:row>24</xdr:row>
      <xdr:rowOff>119062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385762</xdr:colOff>
      <xdr:row>10</xdr:row>
      <xdr:rowOff>42862</xdr:rowOff>
    </xdr:from>
    <xdr:to>
      <xdr:col>12</xdr:col>
      <xdr:colOff>80962</xdr:colOff>
      <xdr:row>24</xdr:row>
      <xdr:rowOff>119062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385762</xdr:colOff>
      <xdr:row>10</xdr:row>
      <xdr:rowOff>42862</xdr:rowOff>
    </xdr:from>
    <xdr:to>
      <xdr:col>12</xdr:col>
      <xdr:colOff>80962</xdr:colOff>
      <xdr:row>24</xdr:row>
      <xdr:rowOff>119062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385762</xdr:colOff>
      <xdr:row>10</xdr:row>
      <xdr:rowOff>42862</xdr:rowOff>
    </xdr:from>
    <xdr:to>
      <xdr:col>12</xdr:col>
      <xdr:colOff>80962</xdr:colOff>
      <xdr:row>24</xdr:row>
      <xdr:rowOff>119062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385762</xdr:colOff>
      <xdr:row>10</xdr:row>
      <xdr:rowOff>42862</xdr:rowOff>
    </xdr:from>
    <xdr:to>
      <xdr:col>12</xdr:col>
      <xdr:colOff>80962</xdr:colOff>
      <xdr:row>24</xdr:row>
      <xdr:rowOff>119062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385762</xdr:colOff>
      <xdr:row>10</xdr:row>
      <xdr:rowOff>42862</xdr:rowOff>
    </xdr:from>
    <xdr:to>
      <xdr:col>12</xdr:col>
      <xdr:colOff>80962</xdr:colOff>
      <xdr:row>24</xdr:row>
      <xdr:rowOff>119062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385762</xdr:colOff>
      <xdr:row>10</xdr:row>
      <xdr:rowOff>42862</xdr:rowOff>
    </xdr:from>
    <xdr:to>
      <xdr:col>12</xdr:col>
      <xdr:colOff>80962</xdr:colOff>
      <xdr:row>24</xdr:row>
      <xdr:rowOff>119062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385762</xdr:colOff>
      <xdr:row>10</xdr:row>
      <xdr:rowOff>42862</xdr:rowOff>
    </xdr:from>
    <xdr:to>
      <xdr:col>12</xdr:col>
      <xdr:colOff>80962</xdr:colOff>
      <xdr:row>24</xdr:row>
      <xdr:rowOff>119062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opLeftCell="B1" workbookViewId="0">
      <selection activeCell="O4" sqref="O4"/>
    </sheetView>
  </sheetViews>
  <sheetFormatPr defaultRowHeight="15" x14ac:dyDescent="0.25"/>
  <cols>
    <col min="1" max="1" width="11.5703125" bestFit="1" customWidth="1"/>
    <col min="2" max="2" width="14.42578125" customWidth="1"/>
    <col min="6" max="6" width="11.42578125" customWidth="1"/>
    <col min="10" max="10" width="11.7109375" bestFit="1" customWidth="1"/>
  </cols>
  <sheetData>
    <row r="1" spans="1:10" x14ac:dyDescent="0.25">
      <c r="B1" s="15" t="s">
        <v>48</v>
      </c>
    </row>
    <row r="2" spans="1:10" x14ac:dyDescent="0.25">
      <c r="A2" t="s">
        <v>17</v>
      </c>
    </row>
    <row r="4" spans="1:10" x14ac:dyDescent="0.25">
      <c r="A4" t="s">
        <v>0</v>
      </c>
      <c r="B4" t="s">
        <v>1</v>
      </c>
      <c r="C4" t="s">
        <v>2</v>
      </c>
      <c r="E4" t="s">
        <v>18</v>
      </c>
      <c r="F4" t="s">
        <v>19</v>
      </c>
      <c r="G4" t="s">
        <v>2</v>
      </c>
    </row>
    <row r="5" spans="1:10" x14ac:dyDescent="0.25">
      <c r="A5" t="s">
        <v>3</v>
      </c>
      <c r="B5">
        <v>1.0609999999999999</v>
      </c>
      <c r="C5">
        <v>81837</v>
      </c>
      <c r="E5">
        <v>8.77</v>
      </c>
      <c r="F5">
        <f>E5/1000</f>
        <v>8.77E-3</v>
      </c>
      <c r="G5">
        <v>81837</v>
      </c>
      <c r="I5" t="s">
        <v>20</v>
      </c>
      <c r="J5" s="1">
        <v>9413357.6500000004</v>
      </c>
    </row>
    <row r="6" spans="1:10" x14ac:dyDescent="0.25">
      <c r="A6" t="s">
        <v>4</v>
      </c>
      <c r="B6">
        <v>1.06</v>
      </c>
      <c r="C6">
        <v>126950</v>
      </c>
      <c r="E6">
        <v>13.15</v>
      </c>
      <c r="F6">
        <f t="shared" ref="F6:F9" si="0">E6/1000</f>
        <v>1.315E-2</v>
      </c>
      <c r="G6">
        <v>126950</v>
      </c>
      <c r="I6" t="s">
        <v>21</v>
      </c>
      <c r="J6" s="1">
        <v>2523.2600000000002</v>
      </c>
    </row>
    <row r="7" spans="1:10" x14ac:dyDescent="0.25">
      <c r="A7" t="s">
        <v>5</v>
      </c>
      <c r="B7">
        <v>1.0629999999999999</v>
      </c>
      <c r="C7">
        <v>254669</v>
      </c>
      <c r="E7">
        <v>26.3</v>
      </c>
      <c r="F7">
        <f t="shared" si="0"/>
        <v>2.63E-2</v>
      </c>
      <c r="G7">
        <v>254669</v>
      </c>
    </row>
    <row r="8" spans="1:10" x14ac:dyDescent="0.25">
      <c r="A8" t="s">
        <v>6</v>
      </c>
      <c r="B8">
        <v>1.0609999999999999</v>
      </c>
      <c r="C8">
        <v>373612</v>
      </c>
      <c r="E8">
        <v>39.450000000000003</v>
      </c>
      <c r="F8">
        <f t="shared" si="0"/>
        <v>3.9450000000000006E-2</v>
      </c>
      <c r="G8">
        <v>373612</v>
      </c>
    </row>
    <row r="9" spans="1:10" x14ac:dyDescent="0.25">
      <c r="A9" t="s">
        <v>7</v>
      </c>
      <c r="B9">
        <v>1.0620000000000001</v>
      </c>
      <c r="C9">
        <v>495960</v>
      </c>
      <c r="E9">
        <v>52.6</v>
      </c>
      <c r="F9">
        <f t="shared" si="0"/>
        <v>5.2600000000000001E-2</v>
      </c>
      <c r="G9">
        <v>495960</v>
      </c>
    </row>
    <row r="25" spans="1:12" x14ac:dyDescent="0.25">
      <c r="A25" t="s">
        <v>35</v>
      </c>
    </row>
    <row r="26" spans="1:12" x14ac:dyDescent="0.25">
      <c r="A26" t="s">
        <v>30</v>
      </c>
    </row>
    <row r="27" spans="1:12" ht="15.75" thickBot="1" x14ac:dyDescent="0.3">
      <c r="A27" t="s">
        <v>29</v>
      </c>
      <c r="D27" t="s">
        <v>22</v>
      </c>
      <c r="E27" t="s">
        <v>19</v>
      </c>
      <c r="F27" t="s">
        <v>23</v>
      </c>
      <c r="G27" t="s">
        <v>24</v>
      </c>
      <c r="H27" t="s">
        <v>25</v>
      </c>
      <c r="I27" t="s">
        <v>26</v>
      </c>
      <c r="J27" t="s">
        <v>27</v>
      </c>
      <c r="K27" t="s">
        <v>31</v>
      </c>
      <c r="L27" t="s">
        <v>28</v>
      </c>
    </row>
    <row r="28" spans="1:12" x14ac:dyDescent="0.25">
      <c r="A28" t="s">
        <v>32</v>
      </c>
      <c r="B28" s="3" t="s">
        <v>8</v>
      </c>
      <c r="C28" s="4">
        <v>1.0589999999999999</v>
      </c>
      <c r="D28" s="4">
        <v>352638</v>
      </c>
      <c r="E28" s="4">
        <f t="shared" ref="E28:E36" si="1">(D28-J$6)/J$5</f>
        <v>3.7193396131081878E-2</v>
      </c>
      <c r="F28" s="4">
        <v>50</v>
      </c>
      <c r="G28" s="4">
        <v>100</v>
      </c>
      <c r="H28" s="4">
        <f>E28*F28*G28</f>
        <v>185.9669806554094</v>
      </c>
      <c r="I28" s="17">
        <f>905.4*64%</f>
        <v>579.45600000000002</v>
      </c>
      <c r="J28" s="13">
        <f t="shared" ref="J28:J36" si="2">H28/I28</f>
        <v>0.32093373898175082</v>
      </c>
      <c r="K28" s="4"/>
      <c r="L28" s="5">
        <v>1</v>
      </c>
    </row>
    <row r="29" spans="1:12" x14ac:dyDescent="0.25">
      <c r="B29" s="6" t="s">
        <v>9</v>
      </c>
      <c r="C29" s="7">
        <v>1.0629999999999999</v>
      </c>
      <c r="D29" s="7">
        <v>190974</v>
      </c>
      <c r="E29" s="7">
        <f t="shared" si="1"/>
        <v>2.0019502817891974E-2</v>
      </c>
      <c r="F29" s="7">
        <v>50</v>
      </c>
      <c r="G29" s="7">
        <v>100</v>
      </c>
      <c r="H29" s="7">
        <f t="shared" ref="H29:H36" si="3">E29*F29*G29</f>
        <v>100.09751408945988</v>
      </c>
      <c r="I29" s="7">
        <f t="shared" ref="I29:I30" si="4">905.4*64%</f>
        <v>579.45600000000002</v>
      </c>
      <c r="J29" s="14">
        <f t="shared" si="2"/>
        <v>0.17274394274881938</v>
      </c>
      <c r="K29" s="7"/>
      <c r="L29" s="8">
        <v>2</v>
      </c>
    </row>
    <row r="30" spans="1:12" ht="15.75" thickBot="1" x14ac:dyDescent="0.3">
      <c r="B30" s="9" t="s">
        <v>10</v>
      </c>
      <c r="C30" s="10">
        <v>1.0629999999999999</v>
      </c>
      <c r="D30" s="10">
        <v>108762</v>
      </c>
      <c r="E30" s="10">
        <f t="shared" si="1"/>
        <v>1.1285955973424636E-2</v>
      </c>
      <c r="F30" s="10">
        <v>50</v>
      </c>
      <c r="G30" s="10">
        <v>100</v>
      </c>
      <c r="H30" s="10">
        <f t="shared" si="3"/>
        <v>56.429779867123187</v>
      </c>
      <c r="I30" s="7">
        <f t="shared" si="4"/>
        <v>579.45600000000002</v>
      </c>
      <c r="J30" s="11">
        <f t="shared" si="2"/>
        <v>9.7384063444201432E-2</v>
      </c>
      <c r="K30" s="11">
        <f>(H28+H29+H30)/I30</f>
        <v>0.59106174517477172</v>
      </c>
      <c r="L30" s="12">
        <v>3</v>
      </c>
    </row>
    <row r="31" spans="1:12" x14ac:dyDescent="0.25">
      <c r="A31" t="s">
        <v>33</v>
      </c>
      <c r="B31" s="6" t="s">
        <v>11</v>
      </c>
      <c r="C31" s="7">
        <v>1.0640000000000001</v>
      </c>
      <c r="D31" s="7">
        <v>403143</v>
      </c>
      <c r="E31" s="7">
        <f t="shared" si="1"/>
        <v>4.2558644311150758E-2</v>
      </c>
      <c r="F31" s="7">
        <v>50</v>
      </c>
      <c r="G31" s="7">
        <v>100</v>
      </c>
      <c r="H31" s="7">
        <f t="shared" si="3"/>
        <v>212.7932215557538</v>
      </c>
      <c r="I31" s="7">
        <f>1012.4*64%</f>
        <v>647.93600000000004</v>
      </c>
      <c r="J31" s="2">
        <f t="shared" si="2"/>
        <v>0.32841703741689582</v>
      </c>
      <c r="K31" s="7"/>
      <c r="L31" s="5">
        <v>1</v>
      </c>
    </row>
    <row r="32" spans="1:12" x14ac:dyDescent="0.25">
      <c r="B32" s="6" t="s">
        <v>12</v>
      </c>
      <c r="C32" s="7">
        <v>1.0669999999999999</v>
      </c>
      <c r="D32" s="7">
        <v>170218</v>
      </c>
      <c r="E32" s="7">
        <f t="shared" si="1"/>
        <v>1.7814551006675072E-2</v>
      </c>
      <c r="F32" s="7">
        <v>50</v>
      </c>
      <c r="G32" s="7">
        <v>100</v>
      </c>
      <c r="H32" s="7">
        <f t="shared" si="3"/>
        <v>89.072755033375358</v>
      </c>
      <c r="I32" s="7">
        <f t="shared" ref="I32:I33" si="5">1012.4*64%</f>
        <v>647.93600000000004</v>
      </c>
      <c r="J32" s="2">
        <f t="shared" si="2"/>
        <v>0.13747153273375048</v>
      </c>
      <c r="K32" s="7"/>
      <c r="L32" s="8">
        <v>2</v>
      </c>
    </row>
    <row r="33" spans="1:12" ht="15.75" thickBot="1" x14ac:dyDescent="0.3">
      <c r="B33" s="6" t="s">
        <v>13</v>
      </c>
      <c r="C33" s="7">
        <v>1.0629999999999999</v>
      </c>
      <c r="D33" s="7">
        <v>114837</v>
      </c>
      <c r="E33" s="7">
        <f t="shared" si="1"/>
        <v>1.1931315496123746E-2</v>
      </c>
      <c r="F33" s="7">
        <v>50</v>
      </c>
      <c r="G33" s="7">
        <v>100</v>
      </c>
      <c r="H33" s="7">
        <f t="shared" si="3"/>
        <v>59.656577480618736</v>
      </c>
      <c r="I33" s="7">
        <f t="shared" si="5"/>
        <v>647.93600000000004</v>
      </c>
      <c r="J33" s="2">
        <f t="shared" si="2"/>
        <v>9.2071713071381636E-2</v>
      </c>
      <c r="K33" s="14">
        <f>(H31+H32+H33)/I33</f>
        <v>0.55796028322202795</v>
      </c>
      <c r="L33" s="12">
        <v>3</v>
      </c>
    </row>
    <row r="34" spans="1:12" x14ac:dyDescent="0.25">
      <c r="A34" t="s">
        <v>34</v>
      </c>
      <c r="B34" s="3" t="s">
        <v>14</v>
      </c>
      <c r="C34" s="4">
        <v>1.0629999999999999</v>
      </c>
      <c r="D34" s="4">
        <v>371608</v>
      </c>
      <c r="E34" s="4">
        <f t="shared" si="1"/>
        <v>3.9208617554226249E-2</v>
      </c>
      <c r="F34" s="4">
        <v>100</v>
      </c>
      <c r="G34" s="4">
        <v>50</v>
      </c>
      <c r="H34" s="4">
        <f t="shared" si="3"/>
        <v>196.04308777113124</v>
      </c>
      <c r="I34" s="7">
        <f>895.6*64%</f>
        <v>573.18400000000008</v>
      </c>
      <c r="J34" s="13">
        <f t="shared" si="2"/>
        <v>0.34202470370968346</v>
      </c>
      <c r="K34" s="4"/>
      <c r="L34" s="5">
        <v>1</v>
      </c>
    </row>
    <row r="35" spans="1:12" x14ac:dyDescent="0.25">
      <c r="B35" s="6" t="s">
        <v>15</v>
      </c>
      <c r="C35" s="7">
        <v>1.0640000000000001</v>
      </c>
      <c r="D35" s="7">
        <v>166021</v>
      </c>
      <c r="E35" s="7">
        <f t="shared" si="1"/>
        <v>1.7368695217906651E-2</v>
      </c>
      <c r="F35" s="7">
        <v>50</v>
      </c>
      <c r="G35" s="7">
        <v>100</v>
      </c>
      <c r="H35" s="7">
        <f t="shared" si="3"/>
        <v>86.843476089533254</v>
      </c>
      <c r="I35" s="7">
        <f t="shared" ref="I35:I36" si="6">895.6*64%</f>
        <v>573.18400000000008</v>
      </c>
      <c r="J35" s="14">
        <f t="shared" si="2"/>
        <v>0.15151064246303672</v>
      </c>
      <c r="K35" s="7"/>
      <c r="L35" s="8">
        <v>2</v>
      </c>
    </row>
    <row r="36" spans="1:12" ht="15.75" thickBot="1" x14ac:dyDescent="0.3">
      <c r="B36" s="9" t="s">
        <v>16</v>
      </c>
      <c r="C36" s="10">
        <v>1.06</v>
      </c>
      <c r="D36" s="10">
        <v>109382</v>
      </c>
      <c r="E36" s="10">
        <f t="shared" si="1"/>
        <v>1.1351819825947015E-2</v>
      </c>
      <c r="F36" s="10">
        <v>50</v>
      </c>
      <c r="G36" s="10">
        <v>100</v>
      </c>
      <c r="H36" s="10">
        <f t="shared" si="3"/>
        <v>56.75909912973507</v>
      </c>
      <c r="I36" s="7">
        <f t="shared" si="6"/>
        <v>573.18400000000008</v>
      </c>
      <c r="J36" s="11">
        <f t="shared" si="2"/>
        <v>9.9024221069909601E-2</v>
      </c>
      <c r="K36" s="11">
        <f>(H34+H35+H36)/I36</f>
        <v>0.59255956724262993</v>
      </c>
      <c r="L36" s="12">
        <v>3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/>
  </sheetViews>
  <sheetFormatPr defaultRowHeight="15" x14ac:dyDescent="0.25"/>
  <cols>
    <col min="1" max="1" width="11.5703125" bestFit="1" customWidth="1"/>
    <col min="2" max="2" width="14.42578125" customWidth="1"/>
    <col min="5" max="5" width="12" bestFit="1" customWidth="1"/>
    <col min="6" max="6" width="11.42578125" customWidth="1"/>
    <col min="8" max="8" width="12" bestFit="1" customWidth="1"/>
    <col min="9" max="9" width="15.140625" bestFit="1" customWidth="1"/>
    <col min="10" max="10" width="16.140625" bestFit="1" customWidth="1"/>
  </cols>
  <sheetData>
    <row r="1" spans="1:10" x14ac:dyDescent="0.25">
      <c r="A1" s="15" t="s">
        <v>99</v>
      </c>
    </row>
    <row r="2" spans="1:10" x14ac:dyDescent="0.25">
      <c r="A2" t="s">
        <v>17</v>
      </c>
      <c r="E2" s="23" t="s">
        <v>98</v>
      </c>
    </row>
    <row r="4" spans="1:10" x14ac:dyDescent="0.25">
      <c r="A4" t="s">
        <v>0</v>
      </c>
      <c r="B4" t="s">
        <v>1</v>
      </c>
      <c r="C4" t="s">
        <v>2</v>
      </c>
      <c r="E4" t="s">
        <v>18</v>
      </c>
      <c r="F4" t="s">
        <v>19</v>
      </c>
      <c r="G4" t="s">
        <v>2</v>
      </c>
    </row>
    <row r="5" spans="1:10" x14ac:dyDescent="0.25">
      <c r="A5" t="s">
        <v>93</v>
      </c>
      <c r="B5">
        <v>1.014</v>
      </c>
      <c r="C5">
        <v>77269</v>
      </c>
      <c r="E5" s="23">
        <v>8.77</v>
      </c>
      <c r="F5">
        <f>E5/1000</f>
        <v>8.77E-3</v>
      </c>
      <c r="G5">
        <v>77269</v>
      </c>
      <c r="I5" t="s">
        <v>20</v>
      </c>
      <c r="J5" s="1">
        <f>SLOPE(G5:G9,F5:F9)</f>
        <v>4870125.6137372311</v>
      </c>
    </row>
    <row r="6" spans="1:10" x14ac:dyDescent="0.25">
      <c r="A6" t="s">
        <v>97</v>
      </c>
      <c r="B6">
        <v>1.014</v>
      </c>
      <c r="C6">
        <v>158151</v>
      </c>
      <c r="E6" s="23">
        <v>13.15</v>
      </c>
      <c r="F6">
        <f t="shared" ref="F6:F9" si="0">E6/1000</f>
        <v>1.315E-2</v>
      </c>
      <c r="G6">
        <v>158151</v>
      </c>
      <c r="I6" t="s">
        <v>21</v>
      </c>
      <c r="J6" s="1">
        <f>INTERCEPT(G5:G9,F5:F9)</f>
        <v>68826.696032215725</v>
      </c>
    </row>
    <row r="7" spans="1:10" x14ac:dyDescent="0.25">
      <c r="A7" t="s">
        <v>96</v>
      </c>
      <c r="B7">
        <v>1.0109999999999999</v>
      </c>
      <c r="C7">
        <v>217035</v>
      </c>
      <c r="E7" s="23">
        <v>26.3</v>
      </c>
      <c r="F7">
        <f t="shared" si="0"/>
        <v>2.63E-2</v>
      </c>
      <c r="G7">
        <v>217035</v>
      </c>
    </row>
    <row r="8" spans="1:10" x14ac:dyDescent="0.25">
      <c r="A8" t="s">
        <v>95</v>
      </c>
      <c r="B8">
        <v>1.0169999999999999</v>
      </c>
      <c r="C8">
        <v>259079</v>
      </c>
      <c r="E8" s="23">
        <v>39.450000000000003</v>
      </c>
      <c r="F8">
        <f t="shared" si="0"/>
        <v>3.9450000000000006E-2</v>
      </c>
      <c r="G8">
        <v>259079</v>
      </c>
    </row>
    <row r="9" spans="1:10" x14ac:dyDescent="0.25">
      <c r="A9" t="s">
        <v>94</v>
      </c>
      <c r="B9">
        <v>1.014</v>
      </c>
      <c r="C9">
        <v>315732</v>
      </c>
      <c r="E9" s="23">
        <v>52.6</v>
      </c>
      <c r="F9">
        <f t="shared" si="0"/>
        <v>5.2600000000000001E-2</v>
      </c>
      <c r="G9">
        <v>315732</v>
      </c>
    </row>
    <row r="27" spans="2:12" x14ac:dyDescent="0.25">
      <c r="B27" s="15" t="s">
        <v>71</v>
      </c>
      <c r="D27" t="s">
        <v>22</v>
      </c>
      <c r="E27" t="s">
        <v>19</v>
      </c>
      <c r="F27" t="s">
        <v>23</v>
      </c>
      <c r="G27" t="s">
        <v>24</v>
      </c>
      <c r="H27" t="s">
        <v>25</v>
      </c>
      <c r="I27" t="s">
        <v>26</v>
      </c>
      <c r="J27" t="s">
        <v>27</v>
      </c>
      <c r="K27" t="s">
        <v>31</v>
      </c>
    </row>
    <row r="28" spans="2:12" x14ac:dyDescent="0.25">
      <c r="B28" s="7" t="s">
        <v>91</v>
      </c>
      <c r="C28">
        <v>1.0569999999999999</v>
      </c>
      <c r="D28">
        <v>197796</v>
      </c>
      <c r="E28" s="7">
        <f t="shared" ref="E28:E33" si="1">(D28-J$6)/J$5</f>
        <v>2.6481720225860039E-2</v>
      </c>
      <c r="F28" s="7">
        <v>100</v>
      </c>
      <c r="G28" s="7">
        <v>200</v>
      </c>
      <c r="H28" s="7">
        <f>E28*F28*G28</f>
        <v>529.63440451720078</v>
      </c>
      <c r="I28" s="7">
        <f>990.6*20%</f>
        <v>198.12</v>
      </c>
      <c r="J28" s="14">
        <f>H28/I28</f>
        <v>2.6733010524793093</v>
      </c>
      <c r="K28" s="7"/>
      <c r="L28" s="7"/>
    </row>
    <row r="29" spans="2:12" x14ac:dyDescent="0.25">
      <c r="B29" s="7" t="s">
        <v>92</v>
      </c>
      <c r="C29">
        <v>1.0580000000000001</v>
      </c>
      <c r="D29">
        <v>230272</v>
      </c>
      <c r="E29" s="7">
        <f t="shared" si="1"/>
        <v>3.3150131387246616E-2</v>
      </c>
      <c r="F29" s="7">
        <v>100</v>
      </c>
      <c r="G29" s="7">
        <v>200</v>
      </c>
      <c r="H29" s="7">
        <f t="shared" ref="H29:H33" si="2">E29*F29*G29</f>
        <v>663.00262774493228</v>
      </c>
      <c r="I29" s="7">
        <f>990.6*20%</f>
        <v>198.12</v>
      </c>
      <c r="J29" s="14">
        <f t="shared" ref="J29:J33" si="3">H29/I29</f>
        <v>3.3464699563140132</v>
      </c>
      <c r="K29" s="18"/>
      <c r="L29" s="7"/>
    </row>
    <row r="30" spans="2:12" x14ac:dyDescent="0.25">
      <c r="B30" s="7"/>
      <c r="E30" s="7">
        <f t="shared" si="1"/>
        <v>-1.4132427270063693E-2</v>
      </c>
      <c r="F30" s="7">
        <v>100</v>
      </c>
      <c r="G30" s="19">
        <v>200</v>
      </c>
      <c r="H30" s="7">
        <f t="shared" si="2"/>
        <v>-282.64854540127385</v>
      </c>
      <c r="I30" s="7">
        <f>902.9*20%</f>
        <v>180.58</v>
      </c>
      <c r="J30" s="14">
        <f t="shared" si="3"/>
        <v>-1.5652261900613236</v>
      </c>
      <c r="L30" s="7"/>
    </row>
    <row r="31" spans="2:12" x14ac:dyDescent="0.25">
      <c r="B31" s="7"/>
      <c r="E31" s="7">
        <f t="shared" si="1"/>
        <v>-1.4132427270063693E-2</v>
      </c>
      <c r="F31" s="7">
        <v>100</v>
      </c>
      <c r="G31" s="7">
        <v>200</v>
      </c>
      <c r="H31" s="7">
        <f t="shared" si="2"/>
        <v>-282.64854540127385</v>
      </c>
      <c r="I31" s="7">
        <f>902.9*20%</f>
        <v>180.58</v>
      </c>
      <c r="J31" s="14">
        <f t="shared" si="3"/>
        <v>-1.5652261900613236</v>
      </c>
      <c r="K31" s="14"/>
      <c r="L31" s="7"/>
    </row>
    <row r="32" spans="2:12" x14ac:dyDescent="0.25">
      <c r="B32" s="7"/>
      <c r="E32" s="7">
        <f t="shared" si="1"/>
        <v>-1.4132427270063693E-2</v>
      </c>
      <c r="F32" s="7">
        <v>100</v>
      </c>
      <c r="G32" s="19">
        <v>200</v>
      </c>
      <c r="H32" s="7">
        <f t="shared" si="2"/>
        <v>-282.64854540127385</v>
      </c>
      <c r="I32" s="7">
        <f>1042.4*20%</f>
        <v>208.48000000000002</v>
      </c>
      <c r="J32" s="14">
        <f t="shared" si="3"/>
        <v>-1.3557585638971308</v>
      </c>
      <c r="L32" s="7"/>
    </row>
    <row r="33" spans="2:12" x14ac:dyDescent="0.25">
      <c r="B33" s="7"/>
      <c r="E33" s="7">
        <f t="shared" si="1"/>
        <v>-1.4132427270063693E-2</v>
      </c>
      <c r="F33" s="7">
        <v>100</v>
      </c>
      <c r="G33" s="7">
        <v>200</v>
      </c>
      <c r="H33" s="7">
        <f t="shared" si="2"/>
        <v>-282.64854540127385</v>
      </c>
      <c r="I33" s="7">
        <f>1042.4*20%</f>
        <v>208.48000000000002</v>
      </c>
      <c r="J33" s="14">
        <f t="shared" si="3"/>
        <v>-1.3557585638971308</v>
      </c>
      <c r="K33" s="14"/>
      <c r="L33" s="7"/>
    </row>
    <row r="34" spans="2:12" x14ac:dyDescent="0.25">
      <c r="B34" s="7"/>
      <c r="C34" s="7"/>
      <c r="D34" s="7"/>
      <c r="E34" s="7"/>
      <c r="F34" s="7"/>
      <c r="G34" s="7"/>
      <c r="H34" s="7"/>
      <c r="I34" s="7"/>
      <c r="J34" s="14"/>
      <c r="K34" s="7"/>
      <c r="L34" s="7"/>
    </row>
    <row r="35" spans="2:12" x14ac:dyDescent="0.25">
      <c r="C35" s="7"/>
      <c r="D35" s="7"/>
      <c r="E35" s="7"/>
      <c r="F35" s="7"/>
      <c r="G35" s="7"/>
      <c r="H35" s="7"/>
      <c r="I35" s="7"/>
      <c r="J35" s="14"/>
      <c r="K35" s="7"/>
      <c r="L35" s="7"/>
    </row>
    <row r="36" spans="2:12" x14ac:dyDescent="0.25">
      <c r="L36" s="7"/>
    </row>
    <row r="37" spans="2:12" x14ac:dyDescent="0.25">
      <c r="L37" s="7"/>
    </row>
  </sheetData>
  <pageMargins left="0.7" right="0.7" top="0.75" bottom="0.75" header="0.3" footer="0.3"/>
  <pageSetup paperSize="9" orientation="landscape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workbookViewId="0">
      <selection activeCell="I33" sqref="I33"/>
    </sheetView>
  </sheetViews>
  <sheetFormatPr defaultRowHeight="15" x14ac:dyDescent="0.25"/>
  <cols>
    <col min="1" max="1" width="11.5703125" bestFit="1" customWidth="1"/>
    <col min="2" max="2" width="14.42578125" customWidth="1"/>
    <col min="6" max="6" width="11.42578125" customWidth="1"/>
    <col min="10" max="10" width="11.7109375" bestFit="1" customWidth="1"/>
  </cols>
  <sheetData>
    <row r="1" spans="1:10" x14ac:dyDescent="0.25">
      <c r="A1" s="15" t="s">
        <v>49</v>
      </c>
    </row>
    <row r="2" spans="1:10" x14ac:dyDescent="0.25">
      <c r="A2" t="s">
        <v>17</v>
      </c>
    </row>
    <row r="4" spans="1:10" x14ac:dyDescent="0.25">
      <c r="A4" t="s">
        <v>0</v>
      </c>
      <c r="B4" t="s">
        <v>1</v>
      </c>
      <c r="C4" t="s">
        <v>2</v>
      </c>
      <c r="E4" t="s">
        <v>18</v>
      </c>
      <c r="F4" t="s">
        <v>19</v>
      </c>
      <c r="G4" t="s">
        <v>2</v>
      </c>
    </row>
    <row r="5" spans="1:10" x14ac:dyDescent="0.25">
      <c r="A5" t="s">
        <v>3</v>
      </c>
      <c r="B5">
        <v>1.333</v>
      </c>
      <c r="C5">
        <v>90706</v>
      </c>
      <c r="E5">
        <v>8.77</v>
      </c>
      <c r="F5">
        <f>E5/1000</f>
        <v>8.77E-3</v>
      </c>
      <c r="G5">
        <v>90706</v>
      </c>
      <c r="I5" t="s">
        <v>20</v>
      </c>
      <c r="J5" s="1">
        <v>9501314.6600000001</v>
      </c>
    </row>
    <row r="6" spans="1:10" x14ac:dyDescent="0.25">
      <c r="A6" t="s">
        <v>4</v>
      </c>
      <c r="B6">
        <v>1.329</v>
      </c>
      <c r="C6">
        <v>129221</v>
      </c>
      <c r="E6">
        <v>13.15</v>
      </c>
      <c r="F6">
        <f t="shared" ref="F6:F9" si="0">E6/1000</f>
        <v>1.315E-2</v>
      </c>
      <c r="G6">
        <v>129221</v>
      </c>
      <c r="I6" t="s">
        <v>21</v>
      </c>
      <c r="J6" s="1">
        <v>5337.52</v>
      </c>
    </row>
    <row r="7" spans="1:10" x14ac:dyDescent="0.25">
      <c r="A7" t="s">
        <v>5</v>
      </c>
      <c r="B7">
        <v>1.33</v>
      </c>
      <c r="C7">
        <v>252750</v>
      </c>
      <c r="E7">
        <v>26.3</v>
      </c>
      <c r="F7">
        <f t="shared" si="0"/>
        <v>2.63E-2</v>
      </c>
      <c r="G7">
        <v>252750</v>
      </c>
    </row>
    <row r="8" spans="1:10" x14ac:dyDescent="0.25">
      <c r="A8" t="s">
        <v>6</v>
      </c>
      <c r="B8">
        <v>1.331</v>
      </c>
      <c r="C8">
        <v>381479</v>
      </c>
      <c r="E8">
        <v>39.450000000000003</v>
      </c>
      <c r="F8">
        <f t="shared" si="0"/>
        <v>3.9450000000000006E-2</v>
      </c>
      <c r="G8">
        <v>381479</v>
      </c>
    </row>
    <row r="9" spans="1:10" x14ac:dyDescent="0.25">
      <c r="A9" t="s">
        <v>7</v>
      </c>
      <c r="B9">
        <v>1.331</v>
      </c>
      <c r="C9">
        <v>505281</v>
      </c>
      <c r="E9">
        <v>52.6</v>
      </c>
      <c r="F9">
        <f t="shared" si="0"/>
        <v>5.2600000000000001E-2</v>
      </c>
      <c r="G9">
        <v>505281</v>
      </c>
    </row>
    <row r="25" spans="1:14" x14ac:dyDescent="0.25">
      <c r="A25" t="s">
        <v>40</v>
      </c>
    </row>
    <row r="26" spans="1:14" x14ac:dyDescent="0.25">
      <c r="A26" t="s">
        <v>30</v>
      </c>
    </row>
    <row r="27" spans="1:14" x14ac:dyDescent="0.25">
      <c r="A27" t="s">
        <v>29</v>
      </c>
      <c r="D27" t="s">
        <v>22</v>
      </c>
      <c r="E27" t="s">
        <v>19</v>
      </c>
      <c r="F27" t="s">
        <v>23</v>
      </c>
      <c r="G27" t="s">
        <v>24</v>
      </c>
      <c r="H27" t="s">
        <v>25</v>
      </c>
      <c r="I27" t="s">
        <v>26</v>
      </c>
      <c r="J27" t="s">
        <v>27</v>
      </c>
      <c r="K27" t="s">
        <v>31</v>
      </c>
      <c r="L27" t="s">
        <v>28</v>
      </c>
    </row>
    <row r="28" spans="1:14" x14ac:dyDescent="0.25">
      <c r="A28" t="s">
        <v>32</v>
      </c>
      <c r="B28" s="7" t="s">
        <v>36</v>
      </c>
      <c r="C28" s="7">
        <v>1.0589999999999999</v>
      </c>
      <c r="D28" s="7">
        <v>625542</v>
      </c>
      <c r="E28" s="7">
        <f>(D28-J$6)/J$5</f>
        <v>6.5275648917409917E-2</v>
      </c>
      <c r="F28" s="7">
        <v>50</v>
      </c>
      <c r="G28" s="7">
        <v>100</v>
      </c>
      <c r="H28" s="7">
        <f>E28*F28*G28</f>
        <v>326.37824458704961</v>
      </c>
      <c r="I28" s="7">
        <f>1053.5*64%</f>
        <v>674.24</v>
      </c>
      <c r="J28" s="14">
        <f>H28/I28</f>
        <v>0.48406835041980539</v>
      </c>
      <c r="K28" s="7"/>
      <c r="L28" s="7">
        <v>1</v>
      </c>
      <c r="M28" s="7"/>
      <c r="N28" t="s">
        <v>51</v>
      </c>
    </row>
    <row r="29" spans="1:14" x14ac:dyDescent="0.25">
      <c r="B29" s="7" t="s">
        <v>37</v>
      </c>
      <c r="C29" s="7">
        <v>1.0629999999999999</v>
      </c>
      <c r="D29" s="7">
        <v>180153</v>
      </c>
      <c r="E29" s="7">
        <f t="shared" ref="E29:E31" si="1">(D29-J$6)/J$5</f>
        <v>1.8399083311698258E-2</v>
      </c>
      <c r="F29" s="7">
        <v>50</v>
      </c>
      <c r="G29" s="7">
        <v>100</v>
      </c>
      <c r="H29" s="7">
        <f t="shared" ref="H29:H31" si="2">E29*F29*G29</f>
        <v>91.995416558491286</v>
      </c>
      <c r="I29" s="7">
        <f t="shared" ref="I29:I31" si="3">1053.5*64%</f>
        <v>674.24</v>
      </c>
      <c r="J29" s="14">
        <f>H29/I29</f>
        <v>0.1364431308710419</v>
      </c>
      <c r="K29" s="7"/>
      <c r="L29" s="7">
        <v>2</v>
      </c>
      <c r="M29" s="7"/>
    </row>
    <row r="30" spans="1:14" x14ac:dyDescent="0.25">
      <c r="B30" s="7" t="s">
        <v>38</v>
      </c>
      <c r="C30" s="7">
        <v>1.0629999999999999</v>
      </c>
      <c r="D30" s="7">
        <v>120781</v>
      </c>
      <c r="E30" s="7">
        <f t="shared" si="1"/>
        <v>1.2150263845698169E-2</v>
      </c>
      <c r="F30" s="7">
        <v>50</v>
      </c>
      <c r="G30" s="7">
        <v>100</v>
      </c>
      <c r="H30" s="7">
        <f t="shared" si="2"/>
        <v>60.751319228490843</v>
      </c>
      <c r="I30" s="7">
        <f t="shared" si="3"/>
        <v>674.24</v>
      </c>
      <c r="J30" s="14">
        <f>H30/I30</f>
        <v>9.0103404171349724E-2</v>
      </c>
      <c r="L30" s="7">
        <v>3</v>
      </c>
      <c r="M30" s="7"/>
    </row>
    <row r="31" spans="1:14" x14ac:dyDescent="0.25">
      <c r="B31" s="7" t="s">
        <v>39</v>
      </c>
      <c r="C31" s="7">
        <v>1.0640000000000001</v>
      </c>
      <c r="D31" s="7">
        <v>70238</v>
      </c>
      <c r="E31" s="7">
        <f t="shared" si="1"/>
        <v>6.8306842076525853E-3</v>
      </c>
      <c r="F31" s="7">
        <v>50</v>
      </c>
      <c r="G31" s="7">
        <v>100</v>
      </c>
      <c r="H31" s="7">
        <f t="shared" si="2"/>
        <v>34.153421038262927</v>
      </c>
      <c r="I31" s="7">
        <f t="shared" si="3"/>
        <v>674.24</v>
      </c>
      <c r="J31" s="14">
        <f>H31/I31</f>
        <v>5.0654694230931011E-2</v>
      </c>
      <c r="K31" s="14">
        <f>(H28+H29+H30+H31)/I31</f>
        <v>0.76126957969312803</v>
      </c>
      <c r="L31" s="7">
        <v>1</v>
      </c>
      <c r="M31" s="7"/>
    </row>
    <row r="32" spans="1:14" x14ac:dyDescent="0.25">
      <c r="B32" s="7"/>
      <c r="C32" s="7"/>
      <c r="D32" s="7"/>
      <c r="E32" s="7"/>
      <c r="F32" s="7"/>
      <c r="G32" s="7"/>
      <c r="H32" s="7"/>
      <c r="I32" s="7"/>
      <c r="J32" s="14"/>
      <c r="K32" s="7"/>
      <c r="L32" s="7"/>
      <c r="M32" s="7"/>
    </row>
    <row r="33" spans="2:13" x14ac:dyDescent="0.25">
      <c r="B33" s="7" t="s">
        <v>46</v>
      </c>
      <c r="C33" s="7">
        <v>1.327</v>
      </c>
      <c r="D33" s="7">
        <v>307281</v>
      </c>
      <c r="E33" s="7">
        <v>3.1779126447749911E-2</v>
      </c>
      <c r="F33" s="7">
        <v>50</v>
      </c>
      <c r="G33" s="7">
        <v>200</v>
      </c>
      <c r="H33" s="7">
        <v>317.79126447749911</v>
      </c>
      <c r="I33" s="7">
        <v>673.92</v>
      </c>
      <c r="J33" s="14">
        <v>0.47155636348156921</v>
      </c>
      <c r="K33" s="14"/>
      <c r="L33" s="7" t="s">
        <v>47</v>
      </c>
      <c r="M33" s="7"/>
    </row>
    <row r="34" spans="2:13" x14ac:dyDescent="0.25">
      <c r="B34" s="7"/>
      <c r="C34" s="7"/>
      <c r="D34" s="7"/>
      <c r="E34" s="7"/>
      <c r="F34" s="7"/>
      <c r="G34" s="7"/>
      <c r="H34" s="7"/>
      <c r="I34" s="7"/>
      <c r="J34" s="14" t="s">
        <v>52</v>
      </c>
      <c r="K34" s="18">
        <f>(J29+J30+J31+J33)/I31</f>
        <v>1.1105208720261211E-3</v>
      </c>
      <c r="L34" s="7"/>
      <c r="M34" s="7"/>
    </row>
    <row r="35" spans="2:13" x14ac:dyDescent="0.25">
      <c r="B35" s="7"/>
      <c r="C35" s="7"/>
      <c r="D35" s="7"/>
      <c r="E35" s="7"/>
      <c r="F35" s="7"/>
      <c r="G35" s="7"/>
      <c r="H35" s="7"/>
      <c r="I35" s="7"/>
      <c r="J35" s="14"/>
      <c r="K35" s="7"/>
      <c r="L35" s="7"/>
      <c r="M35" s="7"/>
    </row>
    <row r="36" spans="2:13" x14ac:dyDescent="0.25">
      <c r="B36" s="7"/>
      <c r="C36" s="7"/>
      <c r="D36" s="7"/>
      <c r="E36" s="7"/>
      <c r="F36" s="7"/>
      <c r="G36" s="7"/>
      <c r="H36" s="7"/>
      <c r="I36" s="7"/>
      <c r="J36" s="14"/>
      <c r="K36" s="7"/>
      <c r="L36" s="7"/>
      <c r="M36" s="7"/>
    </row>
    <row r="37" spans="2:13" x14ac:dyDescent="0.25">
      <c r="B37" s="7"/>
      <c r="C37" s="7"/>
      <c r="D37" s="7"/>
      <c r="E37" s="7"/>
      <c r="F37" s="7"/>
      <c r="G37" s="7"/>
      <c r="H37" s="7"/>
      <c r="I37" s="7"/>
      <c r="J37" s="14"/>
      <c r="K37" s="7"/>
      <c r="L37" s="7"/>
      <c r="M37" s="7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topLeftCell="A19" workbookViewId="0">
      <selection activeCell="F30" sqref="F30:F32"/>
    </sheetView>
  </sheetViews>
  <sheetFormatPr defaultRowHeight="15" x14ac:dyDescent="0.25"/>
  <cols>
    <col min="1" max="1" width="11.5703125" bestFit="1" customWidth="1"/>
    <col min="2" max="2" width="14.42578125" customWidth="1"/>
    <col min="6" max="6" width="11.42578125" customWidth="1"/>
    <col min="10" max="10" width="11.7109375" bestFit="1" customWidth="1"/>
  </cols>
  <sheetData>
    <row r="1" spans="1:10" x14ac:dyDescent="0.25">
      <c r="A1" s="15" t="s">
        <v>50</v>
      </c>
    </row>
    <row r="2" spans="1:10" x14ac:dyDescent="0.25">
      <c r="A2" t="s">
        <v>17</v>
      </c>
    </row>
    <row r="4" spans="1:10" x14ac:dyDescent="0.25">
      <c r="A4" t="s">
        <v>0</v>
      </c>
      <c r="B4" t="s">
        <v>1</v>
      </c>
      <c r="C4" t="s">
        <v>2</v>
      </c>
      <c r="E4" t="s">
        <v>18</v>
      </c>
      <c r="F4" t="s">
        <v>19</v>
      </c>
      <c r="G4" t="s">
        <v>2</v>
      </c>
    </row>
    <row r="5" spans="1:10" x14ac:dyDescent="0.25">
      <c r="A5" t="s">
        <v>3</v>
      </c>
      <c r="B5" s="16">
        <v>1.329</v>
      </c>
      <c r="C5">
        <v>86553</v>
      </c>
      <c r="E5">
        <v>8.77</v>
      </c>
      <c r="F5">
        <f>E5/1000</f>
        <v>8.77E-3</v>
      </c>
      <c r="G5">
        <v>86553</v>
      </c>
      <c r="I5" t="s">
        <v>20</v>
      </c>
      <c r="J5" s="1">
        <v>9576519.0600000005</v>
      </c>
    </row>
    <row r="6" spans="1:10" x14ac:dyDescent="0.25">
      <c r="A6" t="s">
        <v>4</v>
      </c>
      <c r="B6">
        <v>1.329</v>
      </c>
      <c r="C6">
        <v>129221</v>
      </c>
      <c r="E6">
        <v>13.15</v>
      </c>
      <c r="F6">
        <f t="shared" ref="F6:F9" si="0">E6/1000</f>
        <v>1.315E-2</v>
      </c>
      <c r="G6">
        <v>129221</v>
      </c>
      <c r="I6" t="s">
        <v>21</v>
      </c>
      <c r="J6" s="1">
        <v>3685.33</v>
      </c>
    </row>
    <row r="7" spans="1:10" x14ac:dyDescent="0.25">
      <c r="A7" t="s">
        <v>5</v>
      </c>
      <c r="B7">
        <v>1.329</v>
      </c>
      <c r="C7">
        <v>256863</v>
      </c>
      <c r="E7">
        <v>26.3</v>
      </c>
      <c r="F7">
        <f t="shared" si="0"/>
        <v>2.63E-2</v>
      </c>
      <c r="G7">
        <v>256863</v>
      </c>
    </row>
    <row r="8" spans="1:10" x14ac:dyDescent="0.25">
      <c r="A8" t="s">
        <v>6</v>
      </c>
      <c r="B8">
        <v>1.329</v>
      </c>
      <c r="C8">
        <v>383763</v>
      </c>
      <c r="E8">
        <v>39.450000000000003</v>
      </c>
      <c r="F8">
        <f t="shared" si="0"/>
        <v>3.9450000000000006E-2</v>
      </c>
      <c r="G8">
        <v>383763</v>
      </c>
    </row>
    <row r="9" spans="1:10" x14ac:dyDescent="0.25">
      <c r="A9" t="s">
        <v>7</v>
      </c>
      <c r="B9">
        <v>1.329</v>
      </c>
      <c r="C9">
        <v>505325</v>
      </c>
      <c r="E9">
        <v>52.6</v>
      </c>
      <c r="F9">
        <f t="shared" si="0"/>
        <v>5.2600000000000001E-2</v>
      </c>
      <c r="G9">
        <v>505325</v>
      </c>
    </row>
    <row r="25" spans="1:12" x14ac:dyDescent="0.25">
      <c r="A25" t="s">
        <v>40</v>
      </c>
    </row>
    <row r="26" spans="1:12" x14ac:dyDescent="0.25">
      <c r="A26" t="s">
        <v>30</v>
      </c>
    </row>
    <row r="27" spans="1:12" x14ac:dyDescent="0.25">
      <c r="A27" t="s">
        <v>29</v>
      </c>
      <c r="B27" s="15" t="s">
        <v>54</v>
      </c>
      <c r="D27" t="s">
        <v>22</v>
      </c>
      <c r="E27" t="s">
        <v>19</v>
      </c>
      <c r="F27" t="s">
        <v>23</v>
      </c>
      <c r="G27" t="s">
        <v>24</v>
      </c>
      <c r="H27" t="s">
        <v>25</v>
      </c>
      <c r="I27" t="s">
        <v>26</v>
      </c>
      <c r="J27" t="s">
        <v>27</v>
      </c>
      <c r="K27" t="s">
        <v>31</v>
      </c>
      <c r="L27" t="s">
        <v>28</v>
      </c>
    </row>
    <row r="28" spans="1:12" x14ac:dyDescent="0.25">
      <c r="A28" t="s">
        <v>32</v>
      </c>
      <c r="B28" s="7" t="s">
        <v>41</v>
      </c>
      <c r="C28">
        <v>1.3260000000000001</v>
      </c>
      <c r="D28">
        <v>151880</v>
      </c>
      <c r="E28" s="7">
        <f>(D28-J$6)/J$5</f>
        <v>1.5474795076531702E-2</v>
      </c>
      <c r="F28" s="7">
        <v>50</v>
      </c>
      <c r="G28" s="7">
        <v>400</v>
      </c>
      <c r="H28" s="7">
        <f>E28*F28*G28</f>
        <v>309.49590153063406</v>
      </c>
      <c r="I28" s="7">
        <f>975.8*64%</f>
        <v>624.51199999999994</v>
      </c>
      <c r="J28" s="14">
        <f>H28/I28</f>
        <v>0.49558039161879047</v>
      </c>
      <c r="K28" s="7"/>
      <c r="L28" s="7">
        <v>1</v>
      </c>
    </row>
    <row r="29" spans="1:12" x14ac:dyDescent="0.25">
      <c r="B29" s="7" t="s">
        <v>42</v>
      </c>
      <c r="C29">
        <v>1.3260000000000001</v>
      </c>
      <c r="D29">
        <v>211662</v>
      </c>
      <c r="E29" s="7">
        <f t="shared" ref="E29:E31" si="1">(D29-J$6)/J$5</f>
        <v>2.1717355617104573E-2</v>
      </c>
      <c r="F29" s="7">
        <v>50</v>
      </c>
      <c r="G29" s="7">
        <v>100</v>
      </c>
      <c r="H29" s="7">
        <f t="shared" ref="H29:H31" si="2">E29*F29*G29</f>
        <v>108.58677808552287</v>
      </c>
      <c r="I29" s="7">
        <f>975.8*64%</f>
        <v>624.51199999999994</v>
      </c>
      <c r="J29" s="14">
        <f>H29/I29</f>
        <v>0.1738746062293805</v>
      </c>
      <c r="K29" s="7"/>
      <c r="L29" s="7">
        <v>2</v>
      </c>
    </row>
    <row r="30" spans="1:12" x14ac:dyDescent="0.25">
      <c r="A30" t="s">
        <v>55</v>
      </c>
      <c r="B30" s="7" t="s">
        <v>43</v>
      </c>
      <c r="C30">
        <v>1.3280000000000001</v>
      </c>
      <c r="D30">
        <v>127958</v>
      </c>
      <c r="E30" s="7">
        <f t="shared" si="1"/>
        <v>1.2976810177204407E-2</v>
      </c>
      <c r="F30" s="7">
        <v>50</v>
      </c>
      <c r="G30" s="7">
        <v>100</v>
      </c>
      <c r="H30" s="7">
        <f t="shared" si="2"/>
        <v>64.884050886022038</v>
      </c>
      <c r="I30" s="7">
        <f>975.8*64%</f>
        <v>624.51199999999994</v>
      </c>
      <c r="J30" s="14">
        <f>H30/I30</f>
        <v>0.1038956031045393</v>
      </c>
      <c r="L30" s="7">
        <v>3</v>
      </c>
    </row>
    <row r="31" spans="1:12" x14ac:dyDescent="0.25">
      <c r="A31" t="s">
        <v>69</v>
      </c>
      <c r="B31" s="7" t="s">
        <v>44</v>
      </c>
      <c r="C31">
        <v>1.327</v>
      </c>
      <c r="D31">
        <v>65016</v>
      </c>
      <c r="E31" s="7">
        <f t="shared" si="1"/>
        <v>6.4042758768341028E-3</v>
      </c>
      <c r="F31" s="7">
        <v>50</v>
      </c>
      <c r="G31" s="7">
        <v>100</v>
      </c>
      <c r="H31" s="7">
        <f t="shared" si="2"/>
        <v>32.021379384170515</v>
      </c>
      <c r="I31" s="7">
        <f>975.8*64%</f>
        <v>624.51199999999994</v>
      </c>
      <c r="J31" s="14">
        <f>H31/I31</f>
        <v>5.1274241942781754E-2</v>
      </c>
      <c r="K31" s="14">
        <f>(H28+H29+H30+H31)/I31</f>
        <v>0.82462484289549198</v>
      </c>
      <c r="L31" s="7">
        <v>4</v>
      </c>
    </row>
    <row r="32" spans="1:12" x14ac:dyDescent="0.25">
      <c r="B32" s="7"/>
      <c r="C32" s="7"/>
      <c r="D32" s="7"/>
      <c r="E32" s="7"/>
      <c r="F32" s="7"/>
      <c r="G32" s="7"/>
      <c r="H32" s="7"/>
      <c r="I32" s="7"/>
      <c r="J32" s="14"/>
      <c r="K32" s="7"/>
      <c r="L32" s="7"/>
    </row>
    <row r="33" spans="2:12" x14ac:dyDescent="0.25">
      <c r="B33" s="7"/>
      <c r="C33" s="7"/>
      <c r="D33" s="7"/>
      <c r="E33" s="7"/>
      <c r="F33" s="7"/>
      <c r="G33" s="7"/>
      <c r="H33" s="7"/>
      <c r="I33" s="7"/>
      <c r="J33" s="14"/>
      <c r="K33" s="14"/>
      <c r="L33" s="7"/>
    </row>
    <row r="34" spans="2:12" x14ac:dyDescent="0.25">
      <c r="B34" s="7"/>
      <c r="C34" s="7"/>
      <c r="D34" s="7"/>
      <c r="E34" s="7"/>
      <c r="F34" s="7"/>
      <c r="G34" s="7"/>
      <c r="H34" s="7"/>
      <c r="I34" s="7"/>
      <c r="J34" s="14"/>
      <c r="K34" s="7"/>
      <c r="L34" s="7"/>
    </row>
    <row r="35" spans="2:12" x14ac:dyDescent="0.25">
      <c r="B35" s="15" t="s">
        <v>53</v>
      </c>
      <c r="C35" s="7"/>
      <c r="D35" s="7"/>
      <c r="E35" s="7"/>
      <c r="F35" s="7"/>
      <c r="G35" s="7"/>
      <c r="H35" s="7"/>
      <c r="I35" s="7"/>
      <c r="J35" s="14"/>
      <c r="K35" s="7"/>
      <c r="L35" s="7"/>
    </row>
    <row r="36" spans="2:12" x14ac:dyDescent="0.25">
      <c r="B36" s="7" t="s">
        <v>45</v>
      </c>
      <c r="C36" s="7">
        <v>1.0589999999999999</v>
      </c>
      <c r="D36" s="7">
        <v>265497</v>
      </c>
      <c r="E36" s="7">
        <f>(D36-J$6)/J$5</f>
        <v>2.7338918072387777E-2</v>
      </c>
      <c r="F36" s="7">
        <v>50</v>
      </c>
      <c r="G36" s="7">
        <v>400</v>
      </c>
      <c r="H36" s="7">
        <f>E36*F36*G36</f>
        <v>546.77836144775551</v>
      </c>
      <c r="I36" s="7">
        <f>947.4*64%</f>
        <v>606.33600000000001</v>
      </c>
      <c r="J36" s="20">
        <f>H36/I36</f>
        <v>0.90177453004234531</v>
      </c>
      <c r="K36" s="7"/>
      <c r="L36" s="7">
        <v>1</v>
      </c>
    </row>
    <row r="37" spans="2:12" x14ac:dyDescent="0.25">
      <c r="B37" s="7" t="s">
        <v>60</v>
      </c>
      <c r="C37">
        <v>1.33</v>
      </c>
      <c r="D37">
        <v>6745</v>
      </c>
      <c r="E37" s="7">
        <f t="shared" ref="E37" si="3">(D37-J$6)/J$5</f>
        <v>3.1949709292386665E-4</v>
      </c>
      <c r="F37" s="7">
        <v>50</v>
      </c>
      <c r="G37" s="19">
        <v>100</v>
      </c>
      <c r="H37" s="7">
        <f t="shared" ref="H37:H39" si="4">E37*F37*G37</f>
        <v>1.5974854646193331</v>
      </c>
      <c r="I37" s="7">
        <f t="shared" ref="I37:I39" si="5">947.4*64%</f>
        <v>606.33600000000001</v>
      </c>
      <c r="J37" s="20">
        <f>H37/I37</f>
        <v>2.6346538299215831E-3</v>
      </c>
      <c r="K37" s="7"/>
      <c r="L37" s="7"/>
    </row>
    <row r="38" spans="2:12" x14ac:dyDescent="0.25">
      <c r="B38" s="7" t="s">
        <v>61</v>
      </c>
      <c r="D38">
        <v>0</v>
      </c>
      <c r="E38" s="7">
        <v>0</v>
      </c>
      <c r="F38" s="7">
        <v>50</v>
      </c>
      <c r="G38" s="19">
        <v>100</v>
      </c>
      <c r="H38" s="7">
        <f t="shared" si="4"/>
        <v>0</v>
      </c>
      <c r="I38" s="7">
        <f t="shared" si="5"/>
        <v>606.33600000000001</v>
      </c>
      <c r="J38" s="14">
        <f t="shared" ref="J38:J39" si="6">H38/I38</f>
        <v>0</v>
      </c>
    </row>
    <row r="39" spans="2:12" x14ac:dyDescent="0.25">
      <c r="B39" s="7" t="s">
        <v>62</v>
      </c>
      <c r="D39">
        <v>0</v>
      </c>
      <c r="E39" s="7">
        <v>0</v>
      </c>
      <c r="F39" s="7">
        <v>50</v>
      </c>
      <c r="G39" s="19">
        <v>100</v>
      </c>
      <c r="H39" s="7">
        <f t="shared" si="4"/>
        <v>0</v>
      </c>
      <c r="I39" s="7">
        <f t="shared" si="5"/>
        <v>606.33600000000001</v>
      </c>
      <c r="J39" s="14">
        <f t="shared" si="6"/>
        <v>0</v>
      </c>
      <c r="K39" s="20">
        <f>(H36+H37+H38+H39)/I39</f>
        <v>0.90440918387226699</v>
      </c>
    </row>
    <row r="40" spans="2:12" x14ac:dyDescent="0.25">
      <c r="E40" s="7"/>
      <c r="F40" s="7"/>
      <c r="G40" s="19"/>
      <c r="H40" s="7"/>
    </row>
    <row r="41" spans="2:12" x14ac:dyDescent="0.25">
      <c r="F41" s="7"/>
      <c r="G41" s="19"/>
      <c r="H41" s="7"/>
    </row>
  </sheetData>
  <pageMargins left="0.7" right="0.7" top="0.75" bottom="0.75" header="0.3" footer="0.3"/>
  <pageSetup paperSize="9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topLeftCell="A22" workbookViewId="0">
      <selection activeCell="J28" sqref="J28"/>
    </sheetView>
  </sheetViews>
  <sheetFormatPr defaultRowHeight="15" x14ac:dyDescent="0.25"/>
  <cols>
    <col min="1" max="1" width="11.5703125" bestFit="1" customWidth="1"/>
    <col min="2" max="2" width="14.42578125" customWidth="1"/>
    <col min="6" max="6" width="11.42578125" customWidth="1"/>
    <col min="10" max="10" width="11.7109375" bestFit="1" customWidth="1"/>
  </cols>
  <sheetData>
    <row r="1" spans="1:10" x14ac:dyDescent="0.25">
      <c r="A1" s="15" t="s">
        <v>68</v>
      </c>
    </row>
    <row r="2" spans="1:10" x14ac:dyDescent="0.25">
      <c r="A2" t="s">
        <v>17</v>
      </c>
    </row>
    <row r="4" spans="1:10" x14ac:dyDescent="0.25">
      <c r="A4" t="s">
        <v>0</v>
      </c>
      <c r="B4" t="s">
        <v>1</v>
      </c>
      <c r="C4" t="s">
        <v>2</v>
      </c>
      <c r="E4" t="s">
        <v>18</v>
      </c>
      <c r="F4" t="s">
        <v>19</v>
      </c>
      <c r="G4" t="s">
        <v>2</v>
      </c>
    </row>
    <row r="5" spans="1:10" x14ac:dyDescent="0.25">
      <c r="A5" t="s">
        <v>3</v>
      </c>
      <c r="B5" s="16">
        <v>1.329</v>
      </c>
      <c r="E5">
        <v>8.77</v>
      </c>
      <c r="F5">
        <f>E5/1000</f>
        <v>8.77E-3</v>
      </c>
      <c r="G5">
        <v>87755</v>
      </c>
      <c r="I5" t="s">
        <v>20</v>
      </c>
      <c r="J5" s="1">
        <v>9611388.6899999995</v>
      </c>
    </row>
    <row r="6" spans="1:10" x14ac:dyDescent="0.25">
      <c r="A6" t="s">
        <v>4</v>
      </c>
      <c r="B6">
        <v>1.329</v>
      </c>
      <c r="E6">
        <v>13.15</v>
      </c>
      <c r="F6">
        <f t="shared" ref="F6:F9" si="0">E6/1000</f>
        <v>1.315E-2</v>
      </c>
      <c r="G6">
        <v>129375</v>
      </c>
      <c r="I6" t="s">
        <v>21</v>
      </c>
      <c r="J6" s="1">
        <v>1981.9</v>
      </c>
    </row>
    <row r="7" spans="1:10" x14ac:dyDescent="0.25">
      <c r="A7" t="s">
        <v>5</v>
      </c>
      <c r="B7">
        <v>1.329</v>
      </c>
      <c r="E7">
        <v>26.3</v>
      </c>
      <c r="F7">
        <f t="shared" si="0"/>
        <v>2.63E-2</v>
      </c>
      <c r="G7">
        <v>251161</v>
      </c>
    </row>
    <row r="8" spans="1:10" x14ac:dyDescent="0.25">
      <c r="A8" t="s">
        <v>6</v>
      </c>
      <c r="B8">
        <v>1.329</v>
      </c>
      <c r="E8">
        <v>39.450000000000003</v>
      </c>
      <c r="F8">
        <f t="shared" si="0"/>
        <v>3.9450000000000006E-2</v>
      </c>
      <c r="G8">
        <v>380405</v>
      </c>
    </row>
    <row r="9" spans="1:10" x14ac:dyDescent="0.25">
      <c r="A9" t="s">
        <v>7</v>
      </c>
      <c r="B9">
        <v>1.329</v>
      </c>
      <c r="E9">
        <v>52.6</v>
      </c>
      <c r="F9">
        <f t="shared" si="0"/>
        <v>5.2600000000000001E-2</v>
      </c>
      <c r="G9">
        <v>509403</v>
      </c>
    </row>
    <row r="25" spans="1:12" x14ac:dyDescent="0.25">
      <c r="A25" t="s">
        <v>40</v>
      </c>
    </row>
    <row r="26" spans="1:12" x14ac:dyDescent="0.25">
      <c r="A26" t="s">
        <v>30</v>
      </c>
    </row>
    <row r="27" spans="1:12" x14ac:dyDescent="0.25">
      <c r="A27" t="s">
        <v>29</v>
      </c>
      <c r="B27" s="15" t="s">
        <v>54</v>
      </c>
      <c r="D27" t="s">
        <v>22</v>
      </c>
      <c r="E27" t="s">
        <v>19</v>
      </c>
      <c r="F27" t="s">
        <v>23</v>
      </c>
      <c r="G27" t="s">
        <v>24</v>
      </c>
      <c r="H27" t="s">
        <v>25</v>
      </c>
      <c r="I27" t="s">
        <v>26</v>
      </c>
      <c r="J27" t="s">
        <v>27</v>
      </c>
      <c r="K27" t="s">
        <v>31</v>
      </c>
    </row>
    <row r="28" spans="1:12" x14ac:dyDescent="0.25">
      <c r="A28" t="s">
        <v>32</v>
      </c>
      <c r="B28" s="7" t="s">
        <v>56</v>
      </c>
      <c r="C28">
        <v>1.33</v>
      </c>
      <c r="D28">
        <v>170059</v>
      </c>
      <c r="E28" s="7">
        <f>(D28-J$6)/J$5</f>
        <v>1.7487285700439194E-2</v>
      </c>
      <c r="F28" s="21">
        <v>100</v>
      </c>
      <c r="G28" s="21">
        <v>200</v>
      </c>
      <c r="H28" s="21">
        <f>E28*F28*G28</f>
        <v>349.74571400878392</v>
      </c>
      <c r="I28" s="21">
        <f>942.8*64%</f>
        <v>603.39199999999994</v>
      </c>
      <c r="J28" s="22">
        <f>H28/I28</f>
        <v>0.57963266667238533</v>
      </c>
      <c r="K28" s="7"/>
      <c r="L28" s="7"/>
    </row>
    <row r="29" spans="1:12" x14ac:dyDescent="0.25">
      <c r="B29" s="7" t="s">
        <v>57</v>
      </c>
      <c r="C29">
        <v>1.331</v>
      </c>
      <c r="D29">
        <v>250159</v>
      </c>
      <c r="E29" s="7">
        <f t="shared" ref="E29:E31" si="1">(D29-J$6)/J$5</f>
        <v>2.582114905603719E-2</v>
      </c>
      <c r="F29" s="7">
        <v>100</v>
      </c>
      <c r="G29" s="7">
        <v>50</v>
      </c>
      <c r="H29" s="7">
        <f t="shared" ref="H29:H31" si="2">E29*F29*G29</f>
        <v>129.10574528018594</v>
      </c>
      <c r="I29" s="7">
        <f t="shared" ref="I29:I31" si="3">942.8*64%</f>
        <v>603.39199999999994</v>
      </c>
      <c r="J29" s="14">
        <f>H29/I29</f>
        <v>0.21396661752258225</v>
      </c>
      <c r="K29" s="7"/>
      <c r="L29" s="7"/>
    </row>
    <row r="30" spans="1:12" x14ac:dyDescent="0.25">
      <c r="A30" t="s">
        <v>55</v>
      </c>
      <c r="B30" s="7" t="s">
        <v>58</v>
      </c>
      <c r="C30">
        <v>1.331</v>
      </c>
      <c r="D30">
        <v>102600</v>
      </c>
      <c r="E30" s="7">
        <f t="shared" si="1"/>
        <v>1.0468632915104801E-2</v>
      </c>
      <c r="F30" s="7">
        <v>100</v>
      </c>
      <c r="G30" s="7">
        <v>50</v>
      </c>
      <c r="H30" s="7">
        <f t="shared" si="2"/>
        <v>52.343164575524007</v>
      </c>
      <c r="I30" s="7">
        <f t="shared" si="3"/>
        <v>603.39199999999994</v>
      </c>
      <c r="J30" s="14">
        <f>H30/I30</f>
        <v>8.6748191185040596E-2</v>
      </c>
      <c r="L30" s="7"/>
    </row>
    <row r="31" spans="1:12" x14ac:dyDescent="0.25">
      <c r="A31" t="s">
        <v>67</v>
      </c>
      <c r="B31" s="7" t="s">
        <v>59</v>
      </c>
      <c r="C31">
        <v>1.329</v>
      </c>
      <c r="D31">
        <v>37031</v>
      </c>
      <c r="E31" s="7">
        <f t="shared" si="1"/>
        <v>3.6466218493968741E-3</v>
      </c>
      <c r="F31" s="7">
        <v>100</v>
      </c>
      <c r="G31" s="7">
        <v>50</v>
      </c>
      <c r="H31" s="7">
        <f t="shared" si="2"/>
        <v>18.23310924698437</v>
      </c>
      <c r="I31" s="7">
        <f t="shared" si="3"/>
        <v>603.39199999999994</v>
      </c>
      <c r="J31" s="14">
        <f>H31/I31</f>
        <v>3.0217684767090667E-2</v>
      </c>
      <c r="K31" s="14">
        <f>(H28+H29+H30+H31)/I31</f>
        <v>0.91056516014709887</v>
      </c>
      <c r="L31" s="7"/>
    </row>
    <row r="32" spans="1:12" x14ac:dyDescent="0.25">
      <c r="B32" s="7"/>
      <c r="C32" s="7"/>
      <c r="D32" s="7"/>
      <c r="E32" s="7"/>
      <c r="F32" s="7"/>
      <c r="G32" s="7"/>
      <c r="H32" s="7"/>
      <c r="I32" s="7"/>
      <c r="J32" s="14"/>
      <c r="K32" s="7"/>
      <c r="L32" s="7"/>
    </row>
    <row r="33" spans="2:12" x14ac:dyDescent="0.25">
      <c r="B33" s="7"/>
      <c r="C33" s="7"/>
      <c r="D33" s="7"/>
      <c r="E33" s="7"/>
      <c r="F33" s="7"/>
      <c r="G33" s="7"/>
      <c r="H33" s="7"/>
      <c r="I33" s="7"/>
      <c r="J33" s="14"/>
      <c r="K33" s="14"/>
      <c r="L33" s="7"/>
    </row>
    <row r="34" spans="2:12" x14ac:dyDescent="0.25">
      <c r="B34" s="7"/>
      <c r="C34" s="7"/>
      <c r="D34" s="7"/>
      <c r="E34" s="7"/>
      <c r="F34" s="7"/>
      <c r="G34" s="7"/>
      <c r="H34" s="7"/>
      <c r="I34" s="7"/>
      <c r="J34" s="14"/>
      <c r="K34" s="7"/>
      <c r="L34" s="7"/>
    </row>
    <row r="35" spans="2:12" x14ac:dyDescent="0.25">
      <c r="B35" s="15" t="s">
        <v>53</v>
      </c>
      <c r="C35" s="7"/>
      <c r="D35" s="7"/>
      <c r="E35" s="7"/>
      <c r="F35" s="7"/>
      <c r="G35" s="7"/>
      <c r="H35" s="7"/>
      <c r="I35" s="7"/>
      <c r="J35" s="14"/>
      <c r="K35" s="7"/>
      <c r="L35" s="7"/>
    </row>
    <row r="36" spans="2:12" x14ac:dyDescent="0.25">
      <c r="B36" s="7" t="s">
        <v>63</v>
      </c>
      <c r="C36">
        <v>1.33</v>
      </c>
      <c r="D36">
        <v>279667</v>
      </c>
      <c r="E36" s="7">
        <f>(D36-J$6)/J$5</f>
        <v>2.8891256919919655E-2</v>
      </c>
      <c r="F36" s="7">
        <v>100</v>
      </c>
      <c r="G36" s="7">
        <v>200</v>
      </c>
      <c r="H36" s="7">
        <f>E36*F36*G36</f>
        <v>577.82513839839305</v>
      </c>
      <c r="I36" s="7">
        <f>901.9*64%</f>
        <v>577.21600000000001</v>
      </c>
      <c r="J36" s="14">
        <f>H36/I36</f>
        <v>1.001055304077491</v>
      </c>
      <c r="K36" s="7"/>
      <c r="L36" s="7"/>
    </row>
    <row r="37" spans="2:12" x14ac:dyDescent="0.25">
      <c r="B37" s="7" t="s">
        <v>64</v>
      </c>
      <c r="C37">
        <v>1.33</v>
      </c>
      <c r="D37">
        <v>11624</v>
      </c>
      <c r="E37" s="7">
        <f t="shared" ref="E37:E38" si="4">(D37-J$6)/J$5</f>
        <v>1.0031953041324771E-3</v>
      </c>
      <c r="F37" s="7">
        <v>100</v>
      </c>
      <c r="G37" s="19">
        <v>50</v>
      </c>
      <c r="H37" s="7">
        <f t="shared" ref="H37:H39" si="5">E37*F37*G37</f>
        <v>5.0159765206623863</v>
      </c>
      <c r="I37" s="7">
        <f t="shared" ref="I37:I39" si="6">901.9*64%</f>
        <v>577.21600000000001</v>
      </c>
      <c r="J37" s="14">
        <f t="shared" ref="J37:J39" si="7">H37/I37</f>
        <v>8.6899471266603592E-3</v>
      </c>
      <c r="K37" s="7"/>
      <c r="L37" s="7"/>
    </row>
    <row r="38" spans="2:12" x14ac:dyDescent="0.25">
      <c r="B38" s="7" t="s">
        <v>65</v>
      </c>
      <c r="D38">
        <v>0</v>
      </c>
      <c r="E38" s="7">
        <f t="shared" si="4"/>
        <v>-2.0620329318925924E-4</v>
      </c>
      <c r="F38" s="7">
        <v>100</v>
      </c>
      <c r="G38" s="19">
        <v>50</v>
      </c>
      <c r="H38" s="7">
        <f t="shared" si="5"/>
        <v>-1.0310164659462961</v>
      </c>
      <c r="I38" s="7">
        <f t="shared" si="6"/>
        <v>577.21600000000001</v>
      </c>
      <c r="J38" s="14">
        <f t="shared" si="7"/>
        <v>-1.7861883003005741E-3</v>
      </c>
    </row>
    <row r="39" spans="2:12" x14ac:dyDescent="0.25">
      <c r="B39" s="7" t="s">
        <v>66</v>
      </c>
      <c r="D39">
        <v>0</v>
      </c>
      <c r="E39" s="7">
        <f>(D39-J$6)/J$5</f>
        <v>-2.0620329318925924E-4</v>
      </c>
      <c r="F39" s="7">
        <v>100</v>
      </c>
      <c r="G39" s="19">
        <v>50</v>
      </c>
      <c r="H39" s="7">
        <f t="shared" si="5"/>
        <v>-1.0310164659462961</v>
      </c>
      <c r="I39" s="7">
        <f t="shared" si="6"/>
        <v>577.21600000000001</v>
      </c>
      <c r="J39" s="14">
        <f t="shared" si="7"/>
        <v>-1.7861883003005741E-3</v>
      </c>
      <c r="K39" s="14">
        <f>(H36+H37+H38+H39)/I39</f>
        <v>1.0061728746035501</v>
      </c>
    </row>
  </sheetData>
  <pageMargins left="0.7" right="0.7" top="0.75" bottom="0.75" header="0.3" footer="0.3"/>
  <pageSetup paperSize="9" orientation="landscape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opLeftCell="A19" workbookViewId="0">
      <selection activeCell="J32" sqref="J32"/>
    </sheetView>
  </sheetViews>
  <sheetFormatPr defaultRowHeight="15" x14ac:dyDescent="0.25"/>
  <cols>
    <col min="1" max="1" width="11.5703125" bestFit="1" customWidth="1"/>
    <col min="2" max="2" width="14.42578125" customWidth="1"/>
    <col min="5" max="5" width="12" bestFit="1" customWidth="1"/>
    <col min="6" max="6" width="11.42578125" customWidth="1"/>
    <col min="8" max="8" width="12" bestFit="1" customWidth="1"/>
    <col min="9" max="9" width="15.140625" bestFit="1" customWidth="1"/>
    <col min="10" max="10" width="16.140625" bestFit="1" customWidth="1"/>
  </cols>
  <sheetData>
    <row r="1" spans="1:10" x14ac:dyDescent="0.25">
      <c r="A1" s="15" t="s">
        <v>70</v>
      </c>
    </row>
    <row r="2" spans="1:10" x14ac:dyDescent="0.25">
      <c r="A2" t="s">
        <v>17</v>
      </c>
    </row>
    <row r="4" spans="1:10" x14ac:dyDescent="0.25">
      <c r="A4" t="s">
        <v>0</v>
      </c>
      <c r="B4" t="s">
        <v>1</v>
      </c>
      <c r="C4" t="s">
        <v>2</v>
      </c>
      <c r="E4" t="s">
        <v>18</v>
      </c>
      <c r="F4" t="s">
        <v>19</v>
      </c>
      <c r="G4" t="s">
        <v>2</v>
      </c>
    </row>
    <row r="5" spans="1:10" x14ac:dyDescent="0.25">
      <c r="A5" t="s">
        <v>3</v>
      </c>
      <c r="B5" s="16">
        <v>1.329</v>
      </c>
      <c r="C5">
        <v>74709</v>
      </c>
      <c r="E5">
        <v>8.77</v>
      </c>
      <c r="F5">
        <f>E5/1000</f>
        <v>8.77E-3</v>
      </c>
      <c r="G5">
        <v>74709</v>
      </c>
      <c r="I5" t="s">
        <v>20</v>
      </c>
      <c r="J5" s="1">
        <v>9611388.6899999995</v>
      </c>
    </row>
    <row r="6" spans="1:10" x14ac:dyDescent="0.25">
      <c r="A6" t="s">
        <v>4</v>
      </c>
      <c r="B6">
        <v>1.329</v>
      </c>
      <c r="C6">
        <v>112128</v>
      </c>
      <c r="E6">
        <v>13.15</v>
      </c>
      <c r="F6">
        <f t="shared" ref="F6:F9" si="0">E6/1000</f>
        <v>1.315E-2</v>
      </c>
      <c r="G6">
        <v>112128</v>
      </c>
      <c r="I6" t="s">
        <v>21</v>
      </c>
      <c r="J6" s="1">
        <v>1981.9</v>
      </c>
    </row>
    <row r="7" spans="1:10" x14ac:dyDescent="0.25">
      <c r="A7" t="s">
        <v>5</v>
      </c>
      <c r="B7">
        <v>1.329</v>
      </c>
      <c r="C7">
        <v>221516</v>
      </c>
      <c r="E7">
        <v>26.3</v>
      </c>
      <c r="F7">
        <f t="shared" si="0"/>
        <v>2.63E-2</v>
      </c>
      <c r="G7">
        <v>221516</v>
      </c>
    </row>
    <row r="8" spans="1:10" x14ac:dyDescent="0.25">
      <c r="A8" t="s">
        <v>6</v>
      </c>
      <c r="B8">
        <v>1.329</v>
      </c>
      <c r="C8">
        <v>338014</v>
      </c>
      <c r="E8">
        <v>39.450000000000003</v>
      </c>
      <c r="F8">
        <f t="shared" si="0"/>
        <v>3.9450000000000006E-2</v>
      </c>
      <c r="G8">
        <v>338014</v>
      </c>
    </row>
    <row r="9" spans="1:10" x14ac:dyDescent="0.25">
      <c r="A9" t="s">
        <v>7</v>
      </c>
      <c r="B9">
        <v>1.329</v>
      </c>
      <c r="C9">
        <v>445473</v>
      </c>
      <c r="E9">
        <v>52.6</v>
      </c>
      <c r="F9">
        <f t="shared" si="0"/>
        <v>5.2600000000000001E-2</v>
      </c>
      <c r="G9">
        <v>445473</v>
      </c>
    </row>
    <row r="25" spans="1:12" x14ac:dyDescent="0.25">
      <c r="A25" t="s">
        <v>40</v>
      </c>
    </row>
    <row r="26" spans="1:12" x14ac:dyDescent="0.25">
      <c r="A26" t="s">
        <v>30</v>
      </c>
    </row>
    <row r="27" spans="1:12" x14ac:dyDescent="0.25">
      <c r="A27" t="s">
        <v>29</v>
      </c>
      <c r="B27" s="15" t="s">
        <v>71</v>
      </c>
      <c r="D27" t="s">
        <v>22</v>
      </c>
      <c r="E27" t="s">
        <v>19</v>
      </c>
      <c r="F27" t="s">
        <v>23</v>
      </c>
      <c r="G27" t="s">
        <v>24</v>
      </c>
      <c r="H27" t="s">
        <v>25</v>
      </c>
      <c r="I27" t="s">
        <v>26</v>
      </c>
      <c r="J27" t="s">
        <v>27</v>
      </c>
      <c r="K27" t="s">
        <v>31</v>
      </c>
    </row>
    <row r="28" spans="1:12" x14ac:dyDescent="0.25">
      <c r="A28" t="s">
        <v>32</v>
      </c>
      <c r="B28" s="7" t="s">
        <v>73</v>
      </c>
      <c r="C28">
        <v>1.33</v>
      </c>
      <c r="D28">
        <v>214015</v>
      </c>
      <c r="E28" s="7">
        <f t="shared" ref="E28:E33" si="1">(D28-J$6)/J$5</f>
        <v>2.206061026546623E-2</v>
      </c>
      <c r="F28" s="7">
        <v>100</v>
      </c>
      <c r="G28" s="7">
        <v>200</v>
      </c>
      <c r="H28" s="7">
        <f>E28*F28*G28</f>
        <v>441.21220530932464</v>
      </c>
      <c r="I28" s="7">
        <f>781.7*64%</f>
        <v>500.28800000000007</v>
      </c>
      <c r="J28" s="14">
        <f>H28/I28</f>
        <v>0.88191642675683724</v>
      </c>
      <c r="K28" s="7"/>
      <c r="L28" s="7"/>
    </row>
    <row r="29" spans="1:12" x14ac:dyDescent="0.25">
      <c r="B29" s="7" t="s">
        <v>72</v>
      </c>
      <c r="C29">
        <v>1.33</v>
      </c>
      <c r="D29">
        <v>180478</v>
      </c>
      <c r="E29" s="7">
        <f t="shared" si="1"/>
        <v>1.8571312196094321E-2</v>
      </c>
      <c r="F29" s="7">
        <v>100</v>
      </c>
      <c r="G29" s="19">
        <v>50</v>
      </c>
      <c r="H29" s="7">
        <f t="shared" ref="H29:H31" si="2">E29*F29*G29</f>
        <v>92.856560980471599</v>
      </c>
      <c r="I29" s="7">
        <f>781.7*64%</f>
        <v>500.28800000000007</v>
      </c>
      <c r="J29" s="14">
        <f t="shared" ref="J29:J31" si="3">H29/I29</f>
        <v>0.18560621278238051</v>
      </c>
      <c r="K29" s="18">
        <f>SUM(J28:J29)</f>
        <v>1.0675226395392177</v>
      </c>
      <c r="L29" s="7"/>
    </row>
    <row r="30" spans="1:12" x14ac:dyDescent="0.25">
      <c r="A30" t="s">
        <v>55</v>
      </c>
      <c r="B30" s="7" t="s">
        <v>74</v>
      </c>
      <c r="C30">
        <v>1.33</v>
      </c>
      <c r="D30">
        <v>208138</v>
      </c>
      <c r="E30" s="7">
        <f t="shared" si="1"/>
        <v>2.1449148156342017E-2</v>
      </c>
      <c r="F30" s="7">
        <v>100</v>
      </c>
      <c r="G30" s="19">
        <v>200</v>
      </c>
      <c r="H30" s="7">
        <f t="shared" si="2"/>
        <v>428.98296312684027</v>
      </c>
      <c r="I30" s="7">
        <f>886.6*64%</f>
        <v>567.42399999999998</v>
      </c>
      <c r="J30" s="14">
        <f t="shared" si="3"/>
        <v>0.75601836215394536</v>
      </c>
      <c r="L30" s="7"/>
    </row>
    <row r="31" spans="1:12" x14ac:dyDescent="0.25">
      <c r="A31" t="s">
        <v>67</v>
      </c>
      <c r="B31" s="7" t="s">
        <v>75</v>
      </c>
      <c r="C31">
        <v>1.33</v>
      </c>
      <c r="D31">
        <v>142735</v>
      </c>
      <c r="E31" s="7">
        <f t="shared" si="1"/>
        <v>1.4644408268125094E-2</v>
      </c>
      <c r="F31" s="7">
        <v>100</v>
      </c>
      <c r="G31" s="19">
        <v>50</v>
      </c>
      <c r="H31" s="7">
        <f t="shared" si="2"/>
        <v>73.222041340625481</v>
      </c>
      <c r="I31" s="7">
        <f>886.6*64%</f>
        <v>567.42399999999998</v>
      </c>
      <c r="J31" s="14">
        <f t="shared" si="3"/>
        <v>0.12904290502450633</v>
      </c>
      <c r="K31" s="14">
        <f>SUM(J30:J31)</f>
        <v>0.88506126717845168</v>
      </c>
      <c r="L31" s="7"/>
    </row>
    <row r="32" spans="1:12" x14ac:dyDescent="0.25">
      <c r="B32" s="7" t="s">
        <v>76</v>
      </c>
      <c r="C32">
        <v>1.33</v>
      </c>
      <c r="D32">
        <v>226918</v>
      </c>
      <c r="E32" s="7">
        <f t="shared" si="1"/>
        <v>2.3403080164058999E-2</v>
      </c>
      <c r="F32" s="7">
        <v>100</v>
      </c>
      <c r="G32" s="19">
        <v>200</v>
      </c>
      <c r="H32" s="7">
        <f t="shared" ref="H32:H33" si="4">E32*F32*G32</f>
        <v>468.06160328118</v>
      </c>
      <c r="I32" s="7">
        <f>806.2*64%</f>
        <v>515.96800000000007</v>
      </c>
      <c r="J32" s="14">
        <f t="shared" ref="J32:J33" si="5">H32/I32</f>
        <v>0.90715238790231167</v>
      </c>
      <c r="L32" s="7"/>
    </row>
    <row r="33" spans="2:12" x14ac:dyDescent="0.25">
      <c r="B33" s="7" t="s">
        <v>77</v>
      </c>
      <c r="C33">
        <v>1.33</v>
      </c>
      <c r="D33">
        <v>31315</v>
      </c>
      <c r="E33" s="7">
        <f t="shared" si="1"/>
        <v>3.0519107015741761E-3</v>
      </c>
      <c r="F33" s="7">
        <v>100</v>
      </c>
      <c r="G33" s="19">
        <v>50</v>
      </c>
      <c r="H33" s="7">
        <f t="shared" si="4"/>
        <v>15.25955350787088</v>
      </c>
      <c r="I33" s="7">
        <f>806.2*64%</f>
        <v>515.96800000000007</v>
      </c>
      <c r="J33" s="14">
        <f t="shared" si="5"/>
        <v>2.9574612200506382E-2</v>
      </c>
      <c r="K33" s="14">
        <f>SUM(J32:J33)</f>
        <v>0.93672700010281806</v>
      </c>
      <c r="L33" s="7"/>
    </row>
    <row r="34" spans="2:12" x14ac:dyDescent="0.25">
      <c r="B34" s="7"/>
      <c r="C34" s="7"/>
      <c r="D34" s="7"/>
      <c r="E34" s="7"/>
      <c r="F34" s="7"/>
      <c r="G34" s="7"/>
      <c r="H34" s="7"/>
      <c r="I34" s="7"/>
      <c r="J34" s="14"/>
      <c r="K34" s="7"/>
      <c r="L34" s="7"/>
    </row>
    <row r="35" spans="2:12" x14ac:dyDescent="0.25">
      <c r="C35" s="7"/>
      <c r="D35" s="7"/>
      <c r="E35" s="7"/>
      <c r="F35" s="7"/>
      <c r="G35" s="7"/>
      <c r="H35" s="7"/>
      <c r="I35" s="7"/>
      <c r="J35" s="14"/>
      <c r="K35" s="7"/>
      <c r="L35" s="7"/>
    </row>
    <row r="36" spans="2:12" x14ac:dyDescent="0.25">
      <c r="L36" s="7"/>
    </row>
    <row r="37" spans="2:12" x14ac:dyDescent="0.25">
      <c r="L37" s="7"/>
    </row>
  </sheetData>
  <pageMargins left="0.7" right="0.7" top="0.75" bottom="0.75" header="0.3" footer="0.3"/>
  <pageSetup paperSize="9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opLeftCell="A15" workbookViewId="0">
      <selection activeCell="K36" sqref="K36"/>
    </sheetView>
  </sheetViews>
  <sheetFormatPr defaultRowHeight="15" x14ac:dyDescent="0.25"/>
  <cols>
    <col min="1" max="1" width="11.5703125" bestFit="1" customWidth="1"/>
    <col min="2" max="2" width="14.42578125" customWidth="1"/>
    <col min="5" max="5" width="12" bestFit="1" customWidth="1"/>
    <col min="6" max="6" width="11.42578125" customWidth="1"/>
    <col min="8" max="8" width="12" bestFit="1" customWidth="1"/>
    <col min="9" max="9" width="15.140625" bestFit="1" customWidth="1"/>
    <col min="10" max="10" width="16.140625" bestFit="1" customWidth="1"/>
  </cols>
  <sheetData>
    <row r="1" spans="1:10" x14ac:dyDescent="0.25">
      <c r="A1" s="15" t="s">
        <v>78</v>
      </c>
    </row>
    <row r="2" spans="1:10" x14ac:dyDescent="0.25">
      <c r="A2" t="s">
        <v>17</v>
      </c>
    </row>
    <row r="4" spans="1:10" x14ac:dyDescent="0.25">
      <c r="A4" t="s">
        <v>0</v>
      </c>
      <c r="B4" t="s">
        <v>1</v>
      </c>
      <c r="C4" t="s">
        <v>2</v>
      </c>
      <c r="E4" t="s">
        <v>18</v>
      </c>
      <c r="F4" t="s">
        <v>19</v>
      </c>
      <c r="G4" t="s">
        <v>2</v>
      </c>
    </row>
    <row r="5" spans="1:10" x14ac:dyDescent="0.25">
      <c r="A5" t="s">
        <v>3</v>
      </c>
      <c r="B5">
        <v>1.337</v>
      </c>
      <c r="C5">
        <v>77895</v>
      </c>
      <c r="E5">
        <v>8.77</v>
      </c>
      <c r="F5">
        <f>E5/1000</f>
        <v>8.77E-3</v>
      </c>
      <c r="G5">
        <v>77895</v>
      </c>
      <c r="I5" t="s">
        <v>20</v>
      </c>
      <c r="J5" s="1">
        <v>8546679.5</v>
      </c>
    </row>
    <row r="6" spans="1:10" x14ac:dyDescent="0.25">
      <c r="A6" t="s">
        <v>4</v>
      </c>
      <c r="B6">
        <v>1.3360000000000001</v>
      </c>
      <c r="C6">
        <v>115347</v>
      </c>
      <c r="E6">
        <v>13.15</v>
      </c>
      <c r="F6">
        <f t="shared" ref="F6:F9" si="0">E6/1000</f>
        <v>1.315E-2</v>
      </c>
      <c r="G6">
        <v>115347</v>
      </c>
      <c r="I6" t="s">
        <v>21</v>
      </c>
      <c r="J6" s="1">
        <v>2606.85</v>
      </c>
    </row>
    <row r="7" spans="1:10" x14ac:dyDescent="0.25">
      <c r="A7" t="s">
        <v>5</v>
      </c>
      <c r="B7">
        <v>1.329</v>
      </c>
      <c r="C7">
        <v>226231</v>
      </c>
      <c r="E7">
        <v>26.3</v>
      </c>
      <c r="F7">
        <f t="shared" si="0"/>
        <v>2.63E-2</v>
      </c>
      <c r="G7">
        <v>226231</v>
      </c>
    </row>
    <row r="8" spans="1:10" x14ac:dyDescent="0.25">
      <c r="A8" t="s">
        <v>6</v>
      </c>
      <c r="B8">
        <v>1.327</v>
      </c>
      <c r="C8">
        <v>339914</v>
      </c>
      <c r="E8">
        <v>39.450000000000003</v>
      </c>
      <c r="F8">
        <f t="shared" si="0"/>
        <v>3.9450000000000006E-2</v>
      </c>
      <c r="G8">
        <v>339914</v>
      </c>
    </row>
    <row r="9" spans="1:10" x14ac:dyDescent="0.25">
      <c r="A9" t="s">
        <v>7</v>
      </c>
      <c r="B9">
        <v>1.323</v>
      </c>
      <c r="C9">
        <v>452490</v>
      </c>
      <c r="E9">
        <v>52.6</v>
      </c>
      <c r="F9">
        <f t="shared" si="0"/>
        <v>5.2600000000000001E-2</v>
      </c>
      <c r="G9">
        <v>452490</v>
      </c>
    </row>
    <row r="25" spans="1:12" x14ac:dyDescent="0.25">
      <c r="A25" t="s">
        <v>40</v>
      </c>
    </row>
    <row r="26" spans="1:12" x14ac:dyDescent="0.25">
      <c r="A26" t="s">
        <v>30</v>
      </c>
    </row>
    <row r="27" spans="1:12" x14ac:dyDescent="0.25">
      <c r="A27" t="s">
        <v>29</v>
      </c>
      <c r="B27" s="15" t="s">
        <v>71</v>
      </c>
      <c r="D27" t="s">
        <v>22</v>
      </c>
      <c r="E27" t="s">
        <v>19</v>
      </c>
      <c r="F27" t="s">
        <v>23</v>
      </c>
      <c r="G27" t="s">
        <v>24</v>
      </c>
      <c r="H27" t="s">
        <v>25</v>
      </c>
      <c r="I27" t="s">
        <v>26</v>
      </c>
      <c r="J27" t="s">
        <v>27</v>
      </c>
      <c r="K27" t="s">
        <v>31</v>
      </c>
    </row>
    <row r="28" spans="1:12" x14ac:dyDescent="0.25">
      <c r="A28" t="s">
        <v>32</v>
      </c>
      <c r="B28" s="7" t="s">
        <v>73</v>
      </c>
      <c r="C28">
        <v>1.337</v>
      </c>
      <c r="D28">
        <v>155376</v>
      </c>
      <c r="E28" s="7">
        <f t="shared" ref="E28:E33" si="1">(D28-J$6)/J$5</f>
        <v>1.7874678698317867E-2</v>
      </c>
      <c r="F28" s="7">
        <v>100</v>
      </c>
      <c r="G28" s="7">
        <v>200</v>
      </c>
      <c r="H28" s="7">
        <f>E28*F28*G28</f>
        <v>357.49357396635736</v>
      </c>
      <c r="I28" s="7">
        <f>781.7*64%</f>
        <v>500.28800000000007</v>
      </c>
      <c r="J28" s="14">
        <f>H28/I28</f>
        <v>0.71457555241452386</v>
      </c>
      <c r="K28" s="7"/>
      <c r="L28" s="7"/>
    </row>
    <row r="29" spans="1:12" x14ac:dyDescent="0.25">
      <c r="B29" s="7" t="s">
        <v>79</v>
      </c>
      <c r="C29">
        <v>1.337</v>
      </c>
      <c r="D29">
        <v>270288</v>
      </c>
      <c r="E29" s="7">
        <f t="shared" si="1"/>
        <v>3.1319900319182442E-2</v>
      </c>
      <c r="F29" s="7">
        <v>100</v>
      </c>
      <c r="G29" s="7">
        <v>200</v>
      </c>
      <c r="H29" s="7">
        <f t="shared" ref="H29:H33" si="2">E29*F29*G29</f>
        <v>626.39800638364886</v>
      </c>
      <c r="I29" s="7">
        <f>1042.9*64%</f>
        <v>667.45600000000002</v>
      </c>
      <c r="J29" s="14">
        <f t="shared" ref="J29:J33" si="3">H29/I29</f>
        <v>0.93848584233814492</v>
      </c>
      <c r="K29" s="18"/>
      <c r="L29" s="7"/>
    </row>
    <row r="30" spans="1:12" x14ac:dyDescent="0.25">
      <c r="A30" t="s">
        <v>55</v>
      </c>
      <c r="B30" s="7" t="s">
        <v>80</v>
      </c>
      <c r="C30">
        <v>1.343</v>
      </c>
      <c r="D30">
        <v>263410</v>
      </c>
      <c r="E30" s="7">
        <f t="shared" si="1"/>
        <v>3.0515143337245768E-2</v>
      </c>
      <c r="F30" s="7">
        <v>100</v>
      </c>
      <c r="G30" s="19">
        <v>200</v>
      </c>
      <c r="H30" s="7">
        <f t="shared" si="2"/>
        <v>610.30286674491538</v>
      </c>
      <c r="I30" s="7">
        <f>918*64%</f>
        <v>587.52</v>
      </c>
      <c r="J30" s="14">
        <f t="shared" si="3"/>
        <v>1.0387780275478544</v>
      </c>
      <c r="L30" s="7"/>
    </row>
    <row r="31" spans="1:12" x14ac:dyDescent="0.25">
      <c r="A31" t="s">
        <v>67</v>
      </c>
      <c r="B31" s="7" t="s">
        <v>81</v>
      </c>
      <c r="C31">
        <v>1.343</v>
      </c>
      <c r="D31">
        <v>283499</v>
      </c>
      <c r="E31" s="7">
        <f t="shared" si="1"/>
        <v>3.2865646828104417E-2</v>
      </c>
      <c r="F31" s="7">
        <v>100</v>
      </c>
      <c r="G31" s="7">
        <v>200</v>
      </c>
      <c r="H31" s="7">
        <f t="shared" si="2"/>
        <v>657.31293656208834</v>
      </c>
      <c r="I31" s="7">
        <f>1039*64%</f>
        <v>664.96</v>
      </c>
      <c r="J31" s="14">
        <f t="shared" si="3"/>
        <v>0.98849996475289992</v>
      </c>
      <c r="K31" s="14"/>
      <c r="L31" s="7"/>
    </row>
    <row r="32" spans="1:12" x14ac:dyDescent="0.25">
      <c r="B32" s="7" t="s">
        <v>82</v>
      </c>
      <c r="C32">
        <v>1.341</v>
      </c>
      <c r="D32">
        <v>328090</v>
      </c>
      <c r="E32" s="7">
        <f t="shared" si="1"/>
        <v>3.8082994688171008E-2</v>
      </c>
      <c r="F32" s="7">
        <v>100</v>
      </c>
      <c r="G32" s="19">
        <v>200</v>
      </c>
      <c r="H32" s="7">
        <f t="shared" si="2"/>
        <v>761.6598937634202</v>
      </c>
      <c r="I32" s="7">
        <f>1072*64%</f>
        <v>686.08</v>
      </c>
      <c r="J32" s="14">
        <f t="shared" si="3"/>
        <v>1.1101619253781194</v>
      </c>
      <c r="L32" s="7"/>
    </row>
    <row r="33" spans="2:12" x14ac:dyDescent="0.25">
      <c r="B33" s="7" t="s">
        <v>83</v>
      </c>
      <c r="C33">
        <v>1.3420000000000001</v>
      </c>
      <c r="D33">
        <v>300570</v>
      </c>
      <c r="E33" s="7">
        <f t="shared" si="1"/>
        <v>3.4863030724388344E-2</v>
      </c>
      <c r="F33" s="7">
        <v>100</v>
      </c>
      <c r="G33" s="7">
        <v>200</v>
      </c>
      <c r="H33" s="7">
        <f t="shared" si="2"/>
        <v>697.26061448776693</v>
      </c>
      <c r="I33" s="7">
        <f>1077.6*64%</f>
        <v>689.66399999999999</v>
      </c>
      <c r="J33" s="14">
        <f t="shared" si="3"/>
        <v>1.0110149500159018</v>
      </c>
      <c r="K33" s="14"/>
      <c r="L33" s="7"/>
    </row>
    <row r="34" spans="2:12" x14ac:dyDescent="0.25">
      <c r="B34" s="7"/>
      <c r="C34" s="7"/>
      <c r="D34" s="7"/>
      <c r="E34" s="7"/>
      <c r="F34" s="7"/>
      <c r="G34" s="7"/>
      <c r="H34" s="7"/>
      <c r="I34" s="7"/>
      <c r="J34" s="14">
        <f>AVERAGE(J28:J33)</f>
        <v>0.96691937707457409</v>
      </c>
      <c r="K34" s="24">
        <f>STDEV(J28:J33)</f>
        <v>0.13607211790191981</v>
      </c>
      <c r="L34" s="7"/>
    </row>
    <row r="35" spans="2:12" x14ac:dyDescent="0.25">
      <c r="C35" s="7"/>
      <c r="D35" s="7"/>
      <c r="E35" s="7"/>
      <c r="F35" s="7"/>
      <c r="G35" s="7"/>
      <c r="H35" s="7"/>
      <c r="I35" s="7"/>
      <c r="J35" s="14"/>
      <c r="K35" s="7">
        <f>(K34/J34)*100</f>
        <v>14.072747028155295</v>
      </c>
      <c r="L35" s="7"/>
    </row>
    <row r="36" spans="2:12" x14ac:dyDescent="0.25">
      <c r="L36" s="7"/>
    </row>
    <row r="37" spans="2:12" x14ac:dyDescent="0.25">
      <c r="L37" s="7"/>
    </row>
  </sheetData>
  <pageMargins left="0.7" right="0.7" top="0.75" bottom="0.75" header="0.3" footer="0.3"/>
  <pageSetup paperSize="9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abSelected="1" workbookViewId="0">
      <selection activeCell="A8" sqref="A8"/>
    </sheetView>
  </sheetViews>
  <sheetFormatPr defaultRowHeight="15" x14ac:dyDescent="0.25"/>
  <cols>
    <col min="1" max="1" width="15.140625" customWidth="1"/>
  </cols>
  <sheetData>
    <row r="1" spans="1:7" x14ac:dyDescent="0.25">
      <c r="A1" t="s">
        <v>100</v>
      </c>
      <c r="B1" t="s">
        <v>101</v>
      </c>
      <c r="C1" t="s">
        <v>102</v>
      </c>
      <c r="D1" t="s">
        <v>103</v>
      </c>
      <c r="E1" t="s">
        <v>104</v>
      </c>
      <c r="F1" t="s">
        <v>105</v>
      </c>
    </row>
    <row r="2" spans="1:7" x14ac:dyDescent="0.25">
      <c r="A2">
        <v>1</v>
      </c>
      <c r="B2">
        <v>10</v>
      </c>
      <c r="C2">
        <v>10</v>
      </c>
      <c r="D2">
        <v>10</v>
      </c>
      <c r="E2">
        <f>2*(D2*B2)+2*(C2*D2)+2*(B2*C2)</f>
        <v>600</v>
      </c>
      <c r="F2">
        <v>1</v>
      </c>
      <c r="G2">
        <f>F2*E2</f>
        <v>600</v>
      </c>
    </row>
    <row r="3" spans="1:7" x14ac:dyDescent="0.25">
      <c r="A3">
        <v>2</v>
      </c>
      <c r="B3">
        <v>5</v>
      </c>
      <c r="C3">
        <v>10</v>
      </c>
      <c r="D3">
        <v>10</v>
      </c>
      <c r="E3">
        <f t="shared" ref="E3:E6" si="0">2*(D3*B3)+2*(C3*D3)+2*(B3*C3)</f>
        <v>400</v>
      </c>
      <c r="F3">
        <v>2</v>
      </c>
      <c r="G3">
        <f t="shared" ref="G3:G6" si="1">F3*E3</f>
        <v>800</v>
      </c>
    </row>
    <row r="4" spans="1:7" x14ac:dyDescent="0.25">
      <c r="A4">
        <v>3</v>
      </c>
      <c r="B4">
        <v>5</v>
      </c>
      <c r="C4">
        <v>5</v>
      </c>
      <c r="D4">
        <v>5</v>
      </c>
      <c r="E4">
        <f t="shared" si="0"/>
        <v>150</v>
      </c>
      <c r="F4">
        <v>4</v>
      </c>
      <c r="G4">
        <f t="shared" si="1"/>
        <v>600</v>
      </c>
    </row>
    <row r="5" spans="1:7" x14ac:dyDescent="0.25">
      <c r="A5">
        <v>4</v>
      </c>
      <c r="B5">
        <v>4</v>
      </c>
      <c r="C5">
        <v>4</v>
      </c>
      <c r="D5">
        <v>4</v>
      </c>
      <c r="E5">
        <f t="shared" si="0"/>
        <v>96</v>
      </c>
      <c r="F5">
        <v>8</v>
      </c>
      <c r="G5">
        <f t="shared" si="1"/>
        <v>768</v>
      </c>
    </row>
    <row r="6" spans="1:7" x14ac:dyDescent="0.25">
      <c r="A6">
        <v>5</v>
      </c>
      <c r="B6">
        <v>2</v>
      </c>
      <c r="C6">
        <v>2</v>
      </c>
      <c r="D6">
        <v>2</v>
      </c>
      <c r="E6">
        <f t="shared" si="0"/>
        <v>24</v>
      </c>
      <c r="F6">
        <v>23</v>
      </c>
      <c r="G6">
        <f t="shared" si="1"/>
        <v>552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opLeftCell="A15" workbookViewId="0">
      <selection activeCell="L29" sqref="L29"/>
    </sheetView>
  </sheetViews>
  <sheetFormatPr defaultRowHeight="15" x14ac:dyDescent="0.25"/>
  <cols>
    <col min="1" max="1" width="11.5703125" bestFit="1" customWidth="1"/>
    <col min="2" max="2" width="14.42578125" customWidth="1"/>
    <col min="5" max="5" width="12" bestFit="1" customWidth="1"/>
    <col min="6" max="6" width="11.42578125" customWidth="1"/>
    <col min="8" max="8" width="12" bestFit="1" customWidth="1"/>
    <col min="9" max="9" width="15.140625" bestFit="1" customWidth="1"/>
    <col min="10" max="10" width="16.140625" bestFit="1" customWidth="1"/>
  </cols>
  <sheetData>
    <row r="1" spans="1:10" x14ac:dyDescent="0.25">
      <c r="A1" s="15" t="s">
        <v>84</v>
      </c>
    </row>
    <row r="2" spans="1:10" x14ac:dyDescent="0.25">
      <c r="A2" t="s">
        <v>17</v>
      </c>
    </row>
    <row r="4" spans="1:10" x14ac:dyDescent="0.25">
      <c r="A4" t="s">
        <v>0</v>
      </c>
      <c r="B4" t="s">
        <v>1</v>
      </c>
      <c r="C4" t="s">
        <v>2</v>
      </c>
      <c r="E4" t="s">
        <v>18</v>
      </c>
      <c r="F4" t="s">
        <v>19</v>
      </c>
      <c r="G4" t="s">
        <v>2</v>
      </c>
    </row>
    <row r="5" spans="1:10" x14ac:dyDescent="0.25">
      <c r="A5" t="s">
        <v>3</v>
      </c>
      <c r="B5">
        <v>1.0629999999999999</v>
      </c>
      <c r="C5">
        <v>77197</v>
      </c>
      <c r="E5">
        <v>8.77</v>
      </c>
      <c r="F5">
        <f>E5/1000</f>
        <v>8.77E-3</v>
      </c>
      <c r="G5">
        <v>77197</v>
      </c>
      <c r="I5" t="s">
        <v>20</v>
      </c>
      <c r="J5" s="1">
        <v>8397831.5600000005</v>
      </c>
    </row>
    <row r="6" spans="1:10" x14ac:dyDescent="0.25">
      <c r="A6" t="s">
        <v>4</v>
      </c>
      <c r="B6">
        <v>1.0629999999999999</v>
      </c>
      <c r="C6">
        <v>111808</v>
      </c>
      <c r="E6">
        <v>13.15</v>
      </c>
      <c r="F6">
        <f t="shared" ref="F6:F9" si="0">E6/1000</f>
        <v>1.315E-2</v>
      </c>
      <c r="G6">
        <v>111808</v>
      </c>
      <c r="I6" t="s">
        <v>21</v>
      </c>
      <c r="J6" s="1">
        <v>2384.63</v>
      </c>
    </row>
    <row r="7" spans="1:10" x14ac:dyDescent="0.25">
      <c r="A7" t="s">
        <v>5</v>
      </c>
      <c r="B7">
        <v>1.0589999999999999</v>
      </c>
      <c r="C7">
        <v>222619</v>
      </c>
      <c r="E7">
        <v>26.3</v>
      </c>
      <c r="F7">
        <f t="shared" si="0"/>
        <v>2.63E-2</v>
      </c>
      <c r="G7">
        <v>222619</v>
      </c>
    </row>
    <row r="8" spans="1:10" x14ac:dyDescent="0.25">
      <c r="A8" t="s">
        <v>6</v>
      </c>
      <c r="B8">
        <v>1.06</v>
      </c>
      <c r="C8">
        <v>334083</v>
      </c>
      <c r="E8">
        <v>39.450000000000003</v>
      </c>
      <c r="F8">
        <f t="shared" si="0"/>
        <v>3.9450000000000006E-2</v>
      </c>
      <c r="G8">
        <v>334083</v>
      </c>
    </row>
    <row r="9" spans="1:10" x14ac:dyDescent="0.25">
      <c r="A9" t="s">
        <v>7</v>
      </c>
      <c r="B9">
        <v>1.06</v>
      </c>
      <c r="C9">
        <v>444180</v>
      </c>
      <c r="E9">
        <v>52.6</v>
      </c>
      <c r="F9">
        <f t="shared" si="0"/>
        <v>5.2600000000000001E-2</v>
      </c>
      <c r="G9">
        <v>444180</v>
      </c>
    </row>
    <row r="25" spans="1:12" x14ac:dyDescent="0.25">
      <c r="A25" t="s">
        <v>40</v>
      </c>
    </row>
    <row r="26" spans="1:12" x14ac:dyDescent="0.25">
      <c r="A26" t="s">
        <v>30</v>
      </c>
    </row>
    <row r="27" spans="1:12" x14ac:dyDescent="0.25">
      <c r="A27" t="s">
        <v>29</v>
      </c>
      <c r="B27" s="15" t="s">
        <v>71</v>
      </c>
      <c r="D27" t="s">
        <v>22</v>
      </c>
      <c r="E27" t="s">
        <v>19</v>
      </c>
      <c r="F27" t="s">
        <v>23</v>
      </c>
      <c r="G27" t="s">
        <v>24</v>
      </c>
      <c r="H27" t="s">
        <v>25</v>
      </c>
      <c r="I27" t="s">
        <v>26</v>
      </c>
      <c r="J27" t="s">
        <v>27</v>
      </c>
      <c r="K27" t="s">
        <v>31</v>
      </c>
    </row>
    <row r="28" spans="1:12" x14ac:dyDescent="0.25">
      <c r="A28" t="s">
        <v>32</v>
      </c>
      <c r="B28" s="7" t="s">
        <v>85</v>
      </c>
      <c r="C28">
        <v>1.0669999999999999</v>
      </c>
      <c r="D28">
        <v>87221</v>
      </c>
      <c r="E28" s="7">
        <f t="shared" ref="E28:E33" si="1">(D28-J$6)/J$5</f>
        <v>1.0102175709749528E-2</v>
      </c>
      <c r="F28" s="7">
        <v>100</v>
      </c>
      <c r="G28" s="7">
        <v>200</v>
      </c>
      <c r="H28" s="7">
        <f>E28*F28*G28</f>
        <v>202.04351419499056</v>
      </c>
      <c r="I28" s="7">
        <f>990.6*20%</f>
        <v>198.12</v>
      </c>
      <c r="J28" s="14">
        <f>H28/I28</f>
        <v>1.0198037259993467</v>
      </c>
      <c r="K28" s="7"/>
      <c r="L28" s="7"/>
    </row>
    <row r="29" spans="1:12" x14ac:dyDescent="0.25">
      <c r="B29" s="7" t="s">
        <v>86</v>
      </c>
      <c r="C29">
        <v>1.093</v>
      </c>
      <c r="D29">
        <v>728</v>
      </c>
      <c r="E29" s="7">
        <f t="shared" si="1"/>
        <v>-1.9726878160914197E-4</v>
      </c>
      <c r="F29" s="7">
        <v>100</v>
      </c>
      <c r="G29" s="7">
        <v>200</v>
      </c>
      <c r="H29" s="7">
        <f t="shared" ref="H29:H33" si="2">E29*F29*G29</f>
        <v>-3.9453756321828397</v>
      </c>
      <c r="I29" s="7">
        <f>990.6*20%</f>
        <v>198.12</v>
      </c>
      <c r="J29" s="14">
        <f t="shared" ref="J29:J33" si="3">H29/I29</f>
        <v>-1.9914070422889358E-2</v>
      </c>
      <c r="K29" s="18"/>
      <c r="L29" s="7"/>
    </row>
    <row r="30" spans="1:12" x14ac:dyDescent="0.25">
      <c r="A30" t="s">
        <v>55</v>
      </c>
      <c r="B30" s="7" t="s">
        <v>87</v>
      </c>
      <c r="C30">
        <v>1.0660000000000001</v>
      </c>
      <c r="D30">
        <v>84964</v>
      </c>
      <c r="E30" s="7">
        <f t="shared" si="1"/>
        <v>9.8334158538421548E-3</v>
      </c>
      <c r="F30" s="7">
        <v>100</v>
      </c>
      <c r="G30" s="19">
        <v>200</v>
      </c>
      <c r="H30" s="7">
        <f t="shared" si="2"/>
        <v>196.6683170768431</v>
      </c>
      <c r="I30" s="7">
        <f>902.9*20%</f>
        <v>180.58</v>
      </c>
      <c r="J30" s="14">
        <f t="shared" si="3"/>
        <v>1.0890924635997512</v>
      </c>
      <c r="L30" s="7"/>
    </row>
    <row r="31" spans="1:12" x14ac:dyDescent="0.25">
      <c r="A31" t="s">
        <v>67</v>
      </c>
      <c r="B31" s="7" t="s">
        <v>88</v>
      </c>
      <c r="E31" s="7">
        <f t="shared" si="1"/>
        <v>-2.8395782684643414E-4</v>
      </c>
      <c r="F31" s="7">
        <v>100</v>
      </c>
      <c r="G31" s="7">
        <v>200</v>
      </c>
      <c r="H31" s="7">
        <f t="shared" si="2"/>
        <v>-5.6791565369286827</v>
      </c>
      <c r="I31" s="7">
        <f>902.9*20%</f>
        <v>180.58</v>
      </c>
      <c r="J31" s="14">
        <f t="shared" si="3"/>
        <v>-3.1449532267851826E-2</v>
      </c>
      <c r="K31" s="14"/>
      <c r="L31" s="7"/>
    </row>
    <row r="32" spans="1:12" x14ac:dyDescent="0.25">
      <c r="B32" s="7" t="s">
        <v>89</v>
      </c>
      <c r="C32">
        <v>1.0649999999999999</v>
      </c>
      <c r="D32">
        <v>76967</v>
      </c>
      <c r="E32" s="7">
        <f t="shared" si="1"/>
        <v>8.8811462181792068E-3</v>
      </c>
      <c r="F32" s="7">
        <v>100</v>
      </c>
      <c r="G32" s="19">
        <v>200</v>
      </c>
      <c r="H32" s="7">
        <f t="shared" si="2"/>
        <v>177.62292436358413</v>
      </c>
      <c r="I32" s="7">
        <f>1042.4*20%</f>
        <v>208.48000000000002</v>
      </c>
      <c r="J32" s="14">
        <f t="shared" si="3"/>
        <v>0.85199023581918709</v>
      </c>
      <c r="L32" s="7"/>
    </row>
    <row r="33" spans="2:12" x14ac:dyDescent="0.25">
      <c r="B33" s="7" t="s">
        <v>90</v>
      </c>
      <c r="C33">
        <v>1.071</v>
      </c>
      <c r="D33">
        <v>2984</v>
      </c>
      <c r="E33" s="7">
        <f t="shared" si="1"/>
        <v>7.1371995939389842E-5</v>
      </c>
      <c r="F33" s="7">
        <v>100</v>
      </c>
      <c r="G33" s="7">
        <v>200</v>
      </c>
      <c r="H33" s="7">
        <f t="shared" si="2"/>
        <v>1.4274399187877969</v>
      </c>
      <c r="I33" s="7">
        <f>1042.4*20%</f>
        <v>208.48000000000002</v>
      </c>
      <c r="J33" s="14">
        <f t="shared" si="3"/>
        <v>6.8468913986367841E-3</v>
      </c>
      <c r="K33" s="14"/>
      <c r="L33" s="7"/>
    </row>
    <row r="34" spans="2:12" x14ac:dyDescent="0.25">
      <c r="B34" s="7"/>
      <c r="C34" s="7"/>
      <c r="D34" s="7"/>
      <c r="E34" s="7"/>
      <c r="F34" s="7"/>
      <c r="G34" s="7"/>
      <c r="H34" s="7"/>
      <c r="I34" s="7"/>
      <c r="J34" s="14"/>
      <c r="K34" s="7"/>
      <c r="L34" s="7"/>
    </row>
    <row r="35" spans="2:12" x14ac:dyDescent="0.25">
      <c r="C35" s="7"/>
      <c r="D35" s="7"/>
      <c r="E35" s="7"/>
      <c r="F35" s="7"/>
      <c r="G35" s="7"/>
      <c r="H35" s="7"/>
      <c r="I35" s="7"/>
      <c r="J35" s="14"/>
      <c r="K35" s="7"/>
      <c r="L35" s="7"/>
    </row>
    <row r="36" spans="2:12" x14ac:dyDescent="0.25">
      <c r="L36" s="7"/>
    </row>
    <row r="37" spans="2:12" x14ac:dyDescent="0.25">
      <c r="L37" s="7"/>
    </row>
  </sheetData>
  <pageMargins left="0.7" right="0.7" top="0.75" bottom="0.75" header="0.3" footer="0.3"/>
  <pageSetup paperSize="9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/>
  </sheetViews>
  <sheetFormatPr defaultRowHeight="15" x14ac:dyDescent="0.25"/>
  <cols>
    <col min="1" max="1" width="11.5703125" bestFit="1" customWidth="1"/>
    <col min="2" max="2" width="14.42578125" customWidth="1"/>
    <col min="5" max="5" width="12" bestFit="1" customWidth="1"/>
    <col min="6" max="6" width="11.42578125" customWidth="1"/>
    <col min="8" max="8" width="12" bestFit="1" customWidth="1"/>
    <col min="9" max="9" width="15.140625" bestFit="1" customWidth="1"/>
    <col min="10" max="10" width="16.140625" bestFit="1" customWidth="1"/>
  </cols>
  <sheetData>
    <row r="1" spans="1:10" x14ac:dyDescent="0.25">
      <c r="A1" s="15" t="s">
        <v>99</v>
      </c>
    </row>
    <row r="2" spans="1:10" x14ac:dyDescent="0.25">
      <c r="A2" t="s">
        <v>17</v>
      </c>
    </row>
    <row r="4" spans="1:10" x14ac:dyDescent="0.25">
      <c r="A4" t="s">
        <v>0</v>
      </c>
      <c r="B4" t="s">
        <v>1</v>
      </c>
      <c r="C4" t="s">
        <v>2</v>
      </c>
      <c r="E4" t="s">
        <v>18</v>
      </c>
      <c r="F4" t="s">
        <v>19</v>
      </c>
      <c r="G4" t="s">
        <v>2</v>
      </c>
    </row>
    <row r="5" spans="1:10" x14ac:dyDescent="0.25">
      <c r="A5" t="s">
        <v>3</v>
      </c>
      <c r="B5">
        <v>1.0529999999999999</v>
      </c>
      <c r="C5">
        <v>76517</v>
      </c>
      <c r="E5">
        <v>8.77</v>
      </c>
      <c r="F5">
        <f>E5/1000</f>
        <v>8.77E-3</v>
      </c>
      <c r="G5">
        <v>76517</v>
      </c>
      <c r="I5" t="s">
        <v>20</v>
      </c>
      <c r="J5" s="1">
        <f>SLOPE(G5:G9,F5:F9)</f>
        <v>8555900.9894382749</v>
      </c>
    </row>
    <row r="6" spans="1:10" x14ac:dyDescent="0.25">
      <c r="A6" t="s">
        <v>4</v>
      </c>
      <c r="B6">
        <v>1.0580000000000001</v>
      </c>
      <c r="C6">
        <v>114536</v>
      </c>
      <c r="E6">
        <v>13.15</v>
      </c>
      <c r="F6">
        <f t="shared" ref="F6:F9" si="0">E6/1000</f>
        <v>1.315E-2</v>
      </c>
      <c r="G6">
        <v>114536</v>
      </c>
      <c r="I6" t="s">
        <v>21</v>
      </c>
      <c r="J6" s="1">
        <f>INTERCEPT(G5:G9,F5:F9)</f>
        <v>375.95364229861298</v>
      </c>
    </row>
    <row r="7" spans="1:10" x14ac:dyDescent="0.25">
      <c r="A7" t="s">
        <v>5</v>
      </c>
      <c r="B7">
        <v>1.056</v>
      </c>
      <c r="C7">
        <v>223909</v>
      </c>
      <c r="E7">
        <v>26.3</v>
      </c>
      <c r="F7">
        <f t="shared" si="0"/>
        <v>2.63E-2</v>
      </c>
      <c r="G7">
        <v>223909</v>
      </c>
    </row>
    <row r="8" spans="1:10" x14ac:dyDescent="0.25">
      <c r="A8" t="s">
        <v>6</v>
      </c>
      <c r="B8">
        <v>1.054</v>
      </c>
      <c r="C8">
        <v>332245</v>
      </c>
      <c r="E8">
        <v>39.450000000000003</v>
      </c>
      <c r="F8">
        <f t="shared" si="0"/>
        <v>3.9450000000000006E-2</v>
      </c>
      <c r="G8">
        <v>332245</v>
      </c>
    </row>
    <row r="9" spans="1:10" x14ac:dyDescent="0.25">
      <c r="A9" t="s">
        <v>7</v>
      </c>
      <c r="B9">
        <v>1.048</v>
      </c>
      <c r="C9">
        <v>454809</v>
      </c>
      <c r="E9">
        <v>52.6</v>
      </c>
      <c r="F9">
        <f t="shared" si="0"/>
        <v>5.2600000000000001E-2</v>
      </c>
      <c r="G9">
        <v>454809</v>
      </c>
    </row>
    <row r="27" spans="2:12" x14ac:dyDescent="0.25">
      <c r="B27" s="15" t="s">
        <v>71</v>
      </c>
      <c r="D27" t="s">
        <v>22</v>
      </c>
      <c r="E27" t="s">
        <v>19</v>
      </c>
      <c r="F27" t="s">
        <v>23</v>
      </c>
      <c r="G27" t="s">
        <v>24</v>
      </c>
      <c r="H27" t="s">
        <v>25</v>
      </c>
      <c r="I27" t="s">
        <v>26</v>
      </c>
      <c r="J27" t="s">
        <v>27</v>
      </c>
      <c r="K27" t="s">
        <v>31</v>
      </c>
    </row>
    <row r="28" spans="2:12" x14ac:dyDescent="0.25">
      <c r="B28" s="7" t="s">
        <v>91</v>
      </c>
      <c r="C28">
        <v>1.0569999999999999</v>
      </c>
      <c r="D28">
        <v>197796</v>
      </c>
      <c r="E28" s="7">
        <f t="shared" ref="E28:E33" si="1">(D28-J$6)/J$5</f>
        <v>2.3074138726173209E-2</v>
      </c>
      <c r="F28" s="7">
        <v>100</v>
      </c>
      <c r="G28" s="7">
        <v>200</v>
      </c>
      <c r="H28" s="7">
        <f>E28*F28*G28</f>
        <v>461.48277452346417</v>
      </c>
      <c r="I28" s="7">
        <f>990.6*20%</f>
        <v>198.12</v>
      </c>
      <c r="J28" s="14">
        <f>H28/I28</f>
        <v>2.3293093807968108</v>
      </c>
      <c r="K28" s="7"/>
      <c r="L28" s="7"/>
    </row>
    <row r="29" spans="2:12" x14ac:dyDescent="0.25">
      <c r="B29" s="7" t="s">
        <v>92</v>
      </c>
      <c r="C29">
        <v>1.0580000000000001</v>
      </c>
      <c r="D29">
        <v>230272</v>
      </c>
      <c r="E29" s="7">
        <f t="shared" si="1"/>
        <v>2.6869881575475651E-2</v>
      </c>
      <c r="F29" s="7">
        <v>100</v>
      </c>
      <c r="G29" s="7">
        <v>200</v>
      </c>
      <c r="H29" s="7">
        <f t="shared" ref="H29:H33" si="2">E29*F29*G29</f>
        <v>537.39763150951308</v>
      </c>
      <c r="I29" s="7">
        <f>990.6*20%</f>
        <v>198.12</v>
      </c>
      <c r="J29" s="14">
        <f t="shared" ref="J29:J33" si="3">H29/I29</f>
        <v>2.7124855214491879</v>
      </c>
      <c r="K29" s="18"/>
      <c r="L29" s="7"/>
    </row>
    <row r="30" spans="2:12" x14ac:dyDescent="0.25">
      <c r="B30" s="7"/>
      <c r="E30" s="7">
        <f t="shared" si="1"/>
        <v>-4.3940859386136455E-5</v>
      </c>
      <c r="F30" s="7">
        <v>100</v>
      </c>
      <c r="G30" s="19">
        <v>200</v>
      </c>
      <c r="H30" s="7">
        <f t="shared" si="2"/>
        <v>-0.87881718772272921</v>
      </c>
      <c r="I30" s="7">
        <f>902.9*20%</f>
        <v>180.58</v>
      </c>
      <c r="J30" s="14">
        <f t="shared" si="3"/>
        <v>-4.8666363258540769E-3</v>
      </c>
      <c r="L30" s="7"/>
    </row>
    <row r="31" spans="2:12" x14ac:dyDescent="0.25">
      <c r="B31" s="7"/>
      <c r="E31" s="7">
        <f t="shared" si="1"/>
        <v>-4.3940859386136455E-5</v>
      </c>
      <c r="F31" s="7">
        <v>100</v>
      </c>
      <c r="G31" s="7">
        <v>200</v>
      </c>
      <c r="H31" s="7">
        <f t="shared" si="2"/>
        <v>-0.87881718772272921</v>
      </c>
      <c r="I31" s="7">
        <f>902.9*20%</f>
        <v>180.58</v>
      </c>
      <c r="J31" s="14">
        <f t="shared" si="3"/>
        <v>-4.8666363258540769E-3</v>
      </c>
      <c r="K31" s="14"/>
      <c r="L31" s="7"/>
    </row>
    <row r="32" spans="2:12" x14ac:dyDescent="0.25">
      <c r="B32" s="7"/>
      <c r="E32" s="7">
        <f t="shared" si="1"/>
        <v>-4.3940859386136455E-5</v>
      </c>
      <c r="F32" s="7">
        <v>100</v>
      </c>
      <c r="G32" s="19">
        <v>200</v>
      </c>
      <c r="H32" s="7">
        <f t="shared" si="2"/>
        <v>-0.87881718772272921</v>
      </c>
      <c r="I32" s="7">
        <f>1042.4*20%</f>
        <v>208.48000000000002</v>
      </c>
      <c r="J32" s="14">
        <f t="shared" si="3"/>
        <v>-4.2153548912256767E-3</v>
      </c>
      <c r="L32" s="7"/>
    </row>
    <row r="33" spans="2:12" x14ac:dyDescent="0.25">
      <c r="B33" s="7"/>
      <c r="E33" s="7">
        <f t="shared" si="1"/>
        <v>-4.3940859386136455E-5</v>
      </c>
      <c r="F33" s="7">
        <v>100</v>
      </c>
      <c r="G33" s="7">
        <v>200</v>
      </c>
      <c r="H33" s="7">
        <f t="shared" si="2"/>
        <v>-0.87881718772272921</v>
      </c>
      <c r="I33" s="7">
        <f>1042.4*20%</f>
        <v>208.48000000000002</v>
      </c>
      <c r="J33" s="14">
        <f t="shared" si="3"/>
        <v>-4.2153548912256767E-3</v>
      </c>
      <c r="K33" s="14"/>
      <c r="L33" s="7"/>
    </row>
    <row r="34" spans="2:12" x14ac:dyDescent="0.25">
      <c r="B34" s="7"/>
      <c r="C34" s="7"/>
      <c r="D34" s="7"/>
      <c r="E34" s="7"/>
      <c r="F34" s="7"/>
      <c r="G34" s="7"/>
      <c r="H34" s="7"/>
      <c r="I34" s="7"/>
      <c r="J34" s="14"/>
      <c r="K34" s="7"/>
      <c r="L34" s="7"/>
    </row>
    <row r="35" spans="2:12" x14ac:dyDescent="0.25">
      <c r="C35" s="7"/>
      <c r="D35" s="7"/>
      <c r="E35" s="7"/>
      <c r="F35" s="7"/>
      <c r="G35" s="7"/>
      <c r="H35" s="7"/>
      <c r="I35" s="7"/>
      <c r="J35" s="14"/>
      <c r="K35" s="7"/>
      <c r="L35" s="7"/>
    </row>
    <row r="36" spans="2:12" x14ac:dyDescent="0.25">
      <c r="L36" s="7"/>
    </row>
    <row r="37" spans="2:12" x14ac:dyDescent="0.25">
      <c r="L37" s="7"/>
    </row>
  </sheetData>
  <pageMargins left="0.7" right="0.7" top="0.75" bottom="0.75" header="0.3" footer="0.3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hplc 1</vt:lpstr>
      <vt:lpstr>hplc 2</vt:lpstr>
      <vt:lpstr>HPLC 3</vt:lpstr>
      <vt:lpstr>HPLC 4</vt:lpstr>
      <vt:lpstr>HPLC 5</vt:lpstr>
      <vt:lpstr>HPLC 6</vt:lpstr>
      <vt:lpstr>Sheet2</vt:lpstr>
      <vt:lpstr>HPLC 7</vt:lpstr>
      <vt:lpstr>HPLC 8</vt:lpstr>
      <vt:lpstr>HPLC 9</vt:lpstr>
      <vt:lpstr>Sheet1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CAG</dc:creator>
  <cp:lastModifiedBy>Melissa</cp:lastModifiedBy>
  <dcterms:created xsi:type="dcterms:W3CDTF">2017-06-06T08:05:22Z</dcterms:created>
  <dcterms:modified xsi:type="dcterms:W3CDTF">2018-04-09T15:22:33Z</dcterms:modified>
</cp:coreProperties>
</file>