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filterPrivacy="1"/>
  <xr:revisionPtr revIDLastSave="0" documentId="13_ncr:1_{E3ACE9EC-0CEB-47D2-85E6-B5E2DB47735F}" xr6:coauthVersionLast="46" xr6:coauthVersionMax="46" xr10:uidLastSave="{00000000-0000-0000-0000-000000000000}"/>
  <bookViews>
    <workbookView xWindow="-108" yWindow="-108" windowWidth="23256" windowHeight="12576" activeTab="5" xr2:uid="{00000000-000D-0000-FFFF-FFFF00000000}"/>
  </bookViews>
  <sheets>
    <sheet name="Sand columns" sheetId="1" r:id="rId1"/>
    <sheet name="Standards" sheetId="5" r:id="rId2"/>
    <sheet name="Column A" sheetId="2" r:id="rId3"/>
    <sheet name="Column B" sheetId="3" r:id="rId4"/>
    <sheet name="Column C" sheetId="4" r:id="rId5"/>
    <sheet name="Average" sheetId="6" r:id="rId6"/>
    <sheet name="SAND Mass balance" sheetId="7" r:id="rId7"/>
  </sheets>
  <externalReferences>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1" i="7" l="1"/>
  <c r="H11" i="7"/>
  <c r="G11" i="7"/>
  <c r="E11" i="7"/>
  <c r="Q11" i="7" s="1"/>
  <c r="D11" i="7"/>
  <c r="C11" i="7"/>
  <c r="M10" i="7"/>
  <c r="M11" i="7" s="1"/>
  <c r="I10" i="7"/>
  <c r="I11" i="7" s="1"/>
  <c r="E10" i="7"/>
  <c r="M9" i="7"/>
  <c r="I9" i="7"/>
  <c r="E9" i="7"/>
  <c r="Q9" i="7" s="1"/>
  <c r="F8" i="7"/>
  <c r="F9" i="7" s="1"/>
  <c r="D8" i="7"/>
  <c r="D9" i="7" s="1"/>
  <c r="L7" i="7"/>
  <c r="I7" i="7"/>
  <c r="I12" i="7" s="1"/>
  <c r="H7" i="7"/>
  <c r="H8" i="7" s="1"/>
  <c r="H9" i="7" s="1"/>
  <c r="D7" i="7"/>
  <c r="P7" i="7" s="1"/>
  <c r="M6" i="7"/>
  <c r="M7" i="7" s="1"/>
  <c r="M12" i="7" s="1"/>
  <c r="I6" i="7"/>
  <c r="E6" i="7"/>
  <c r="E7" i="7" s="1"/>
  <c r="L5" i="7"/>
  <c r="L11" i="7" s="1"/>
  <c r="P11" i="7" s="1"/>
  <c r="K5" i="7"/>
  <c r="K7" i="7" s="1"/>
  <c r="J5" i="7"/>
  <c r="J7" i="7" s="1"/>
  <c r="H5" i="7"/>
  <c r="G5" i="7"/>
  <c r="G7" i="7" s="1"/>
  <c r="G8" i="7" s="1"/>
  <c r="G9" i="7" s="1"/>
  <c r="F5" i="7"/>
  <c r="F7" i="7" s="1"/>
  <c r="D5" i="7"/>
  <c r="C5" i="7"/>
  <c r="C8" i="7" s="1"/>
  <c r="C9" i="7" s="1"/>
  <c r="B5" i="7"/>
  <c r="B8" i="7" s="1"/>
  <c r="B9" i="7" s="1"/>
  <c r="M4" i="7"/>
  <c r="I4" i="7"/>
  <c r="E4" i="7"/>
  <c r="O9" i="7" l="1"/>
  <c r="P9" i="7"/>
  <c r="P12" i="7" s="1"/>
  <c r="E12" i="7"/>
  <c r="Q12" i="7" s="1"/>
  <c r="Q7" i="7"/>
  <c r="N9" i="7"/>
  <c r="J8" i="7"/>
  <c r="J9" i="7" s="1"/>
  <c r="B7" i="7"/>
  <c r="N7" i="7" s="1"/>
  <c r="K11" i="7"/>
  <c r="O11" i="7" s="1"/>
  <c r="K8" i="7"/>
  <c r="K9" i="7" s="1"/>
  <c r="L8" i="7"/>
  <c r="L9" i="7" s="1"/>
  <c r="C7" i="7"/>
  <c r="O7" i="7" s="1"/>
  <c r="O12" i="7" s="1"/>
  <c r="N12" i="7" l="1"/>
  <c r="H7" i="6" l="1"/>
  <c r="H10" i="6"/>
  <c r="H13" i="6"/>
  <c r="H4" i="6"/>
  <c r="F4" i="6"/>
  <c r="G14" i="6" l="1"/>
  <c r="G13" i="6"/>
  <c r="F14" i="6"/>
  <c r="F11" i="6"/>
  <c r="F5" i="6"/>
  <c r="F8" i="6"/>
  <c r="F10" i="6"/>
  <c r="F13" i="6"/>
  <c r="F7" i="6"/>
  <c r="K15" i="4"/>
  <c r="N15" i="4" s="1"/>
  <c r="J15" i="4"/>
  <c r="M15" i="4" s="1"/>
  <c r="P15" i="4" s="1"/>
  <c r="I15" i="4"/>
  <c r="L15" i="4" s="1"/>
  <c r="O15" i="4" s="1"/>
  <c r="K14" i="4"/>
  <c r="N14" i="4" s="1"/>
  <c r="J14" i="4"/>
  <c r="M14" i="4" s="1"/>
  <c r="P14" i="4" s="1"/>
  <c r="I14" i="4"/>
  <c r="L14" i="4" s="1"/>
  <c r="O14" i="4" s="1"/>
  <c r="Q13" i="4"/>
  <c r="K13" i="4"/>
  <c r="T13" i="4" s="1"/>
  <c r="W13" i="4" s="1"/>
  <c r="Z13" i="4" s="1"/>
  <c r="J13" i="4"/>
  <c r="I13" i="4"/>
  <c r="L13" i="4" s="1"/>
  <c r="M12" i="4"/>
  <c r="K12" i="4"/>
  <c r="N12" i="4" s="1"/>
  <c r="I12" i="4"/>
  <c r="L12" i="4" s="1"/>
  <c r="O12" i="4" s="1"/>
  <c r="P11" i="4"/>
  <c r="M11" i="4"/>
  <c r="K11" i="4"/>
  <c r="N11" i="4" s="1"/>
  <c r="I11" i="4"/>
  <c r="L11" i="4" s="1"/>
  <c r="O11" i="4" s="1"/>
  <c r="S10" i="4"/>
  <c r="Q10" i="4"/>
  <c r="M10" i="4"/>
  <c r="P10" i="4" s="1"/>
  <c r="K10" i="4"/>
  <c r="I10" i="4"/>
  <c r="M9" i="4"/>
  <c r="P9" i="4" s="1"/>
  <c r="K9" i="4"/>
  <c r="N9" i="4" s="1"/>
  <c r="I9" i="4"/>
  <c r="L9" i="4" s="1"/>
  <c r="O9" i="4" s="1"/>
  <c r="M8" i="4"/>
  <c r="P8" i="4" s="1"/>
  <c r="K8" i="4"/>
  <c r="N8" i="4" s="1"/>
  <c r="I8" i="4"/>
  <c r="L8" i="4" s="1"/>
  <c r="O8" i="4" s="1"/>
  <c r="S7" i="4"/>
  <c r="Q7" i="4"/>
  <c r="N7" i="4"/>
  <c r="M7" i="4"/>
  <c r="I7" i="4"/>
  <c r="L7" i="4" s="1"/>
  <c r="M6" i="4"/>
  <c r="P6" i="4" s="1"/>
  <c r="K6" i="4"/>
  <c r="N6" i="4" s="1"/>
  <c r="I6" i="4"/>
  <c r="L6" i="4" s="1"/>
  <c r="O6" i="4" s="1"/>
  <c r="P5" i="4"/>
  <c r="M5" i="4"/>
  <c r="K5" i="4"/>
  <c r="N5" i="4" s="1"/>
  <c r="I5" i="4"/>
  <c r="L5" i="4" s="1"/>
  <c r="O5" i="4" s="1"/>
  <c r="W4" i="4"/>
  <c r="Z4" i="4" s="1"/>
  <c r="S4" i="4"/>
  <c r="Q4" i="4"/>
  <c r="M4" i="4"/>
  <c r="P4" i="4" s="1"/>
  <c r="K4" i="4"/>
  <c r="N4" i="4" s="1"/>
  <c r="I4" i="4"/>
  <c r="L4" i="4" s="1"/>
  <c r="J13" i="3"/>
  <c r="I4" i="3"/>
  <c r="L4" i="3" s="1"/>
  <c r="N15" i="3"/>
  <c r="M15" i="3"/>
  <c r="P15" i="3" s="1"/>
  <c r="K15" i="3"/>
  <c r="J15" i="3"/>
  <c r="I15" i="3"/>
  <c r="L15" i="3" s="1"/>
  <c r="O15" i="3" s="1"/>
  <c r="K14" i="3"/>
  <c r="T13" i="3" s="1"/>
  <c r="W13" i="3" s="1"/>
  <c r="Z13" i="3" s="1"/>
  <c r="J14" i="3"/>
  <c r="M14" i="3" s="1"/>
  <c r="P14" i="3" s="1"/>
  <c r="I14" i="3"/>
  <c r="L14" i="3" s="1"/>
  <c r="O14" i="3" s="1"/>
  <c r="Q13" i="3"/>
  <c r="K13" i="3"/>
  <c r="N13" i="3" s="1"/>
  <c r="I13" i="3"/>
  <c r="L13" i="3" s="1"/>
  <c r="P12" i="3"/>
  <c r="M12" i="3"/>
  <c r="K12" i="3"/>
  <c r="N12" i="3" s="1"/>
  <c r="I12" i="3"/>
  <c r="L12" i="3" s="1"/>
  <c r="O12" i="3" s="1"/>
  <c r="M11" i="3"/>
  <c r="P11" i="3" s="1"/>
  <c r="K11" i="3"/>
  <c r="N11" i="3" s="1"/>
  <c r="I11" i="3"/>
  <c r="L11" i="3" s="1"/>
  <c r="O11" i="3" s="1"/>
  <c r="S10" i="3"/>
  <c r="Q10" i="3"/>
  <c r="M10" i="3"/>
  <c r="V10" i="3" s="1"/>
  <c r="Y10" i="3" s="1"/>
  <c r="AB10" i="3" s="1"/>
  <c r="K10" i="3"/>
  <c r="N10" i="3" s="1"/>
  <c r="I10" i="3"/>
  <c r="L10" i="3" s="1"/>
  <c r="M9" i="3"/>
  <c r="P9" i="3" s="1"/>
  <c r="K9" i="3"/>
  <c r="N9" i="3" s="1"/>
  <c r="I9" i="3"/>
  <c r="L9" i="3" s="1"/>
  <c r="O9" i="3" s="1"/>
  <c r="M8" i="3"/>
  <c r="K8" i="3"/>
  <c r="N8" i="3" s="1"/>
  <c r="I8" i="3"/>
  <c r="L8" i="3" s="1"/>
  <c r="O8" i="3" s="1"/>
  <c r="S7" i="3"/>
  <c r="Q7" i="3"/>
  <c r="N7" i="3"/>
  <c r="M7" i="3"/>
  <c r="P7" i="3" s="1"/>
  <c r="I7" i="3"/>
  <c r="L7" i="3" s="1"/>
  <c r="M6" i="3"/>
  <c r="P6" i="3" s="1"/>
  <c r="K6" i="3"/>
  <c r="N6" i="3" s="1"/>
  <c r="I6" i="3"/>
  <c r="L6" i="3" s="1"/>
  <c r="O6" i="3" s="1"/>
  <c r="M5" i="3"/>
  <c r="P5" i="3" s="1"/>
  <c r="K5" i="3"/>
  <c r="N5" i="3" s="1"/>
  <c r="I5" i="3"/>
  <c r="L5" i="3" s="1"/>
  <c r="O5" i="3" s="1"/>
  <c r="W4" i="3"/>
  <c r="Z4" i="3" s="1"/>
  <c r="S4" i="3"/>
  <c r="Q4" i="3"/>
  <c r="M4" i="3"/>
  <c r="P4" i="3" s="1"/>
  <c r="K4" i="3"/>
  <c r="N4" i="3" s="1"/>
  <c r="J15" i="2"/>
  <c r="P15" i="2"/>
  <c r="O6" i="2"/>
  <c r="N11" i="2"/>
  <c r="N12" i="2"/>
  <c r="N10" i="2"/>
  <c r="N5" i="2"/>
  <c r="N7" i="2"/>
  <c r="N4" i="2"/>
  <c r="W4" i="2"/>
  <c r="Z4" i="2" s="1"/>
  <c r="L6" i="2"/>
  <c r="L7" i="2"/>
  <c r="U7" i="2" s="1"/>
  <c r="X7" i="2" s="1"/>
  <c r="AA7" i="2" s="1"/>
  <c r="L8" i="2"/>
  <c r="O8" i="2" s="1"/>
  <c r="L9" i="2"/>
  <c r="O9" i="2" s="1"/>
  <c r="L13" i="2"/>
  <c r="O13" i="2" s="1"/>
  <c r="L14" i="2"/>
  <c r="O14" i="2" s="1"/>
  <c r="M15" i="2"/>
  <c r="K4" i="2"/>
  <c r="M4" i="2"/>
  <c r="V4" i="2" s="1"/>
  <c r="Y4" i="2" s="1"/>
  <c r="M5" i="2"/>
  <c r="P5" i="2" s="1"/>
  <c r="M6" i="2"/>
  <c r="P6" i="2" s="1"/>
  <c r="M7" i="2"/>
  <c r="M8" i="2"/>
  <c r="P8" i="2" s="1"/>
  <c r="M9" i="2"/>
  <c r="P9" i="2" s="1"/>
  <c r="M10" i="2"/>
  <c r="V10" i="2" s="1"/>
  <c r="Y10" i="2" s="1"/>
  <c r="AB10" i="2" s="1"/>
  <c r="M11" i="2"/>
  <c r="P11" i="2" s="1"/>
  <c r="M12" i="2"/>
  <c r="P12" i="2" s="1"/>
  <c r="K5" i="2"/>
  <c r="K6" i="2"/>
  <c r="N6" i="2" s="1"/>
  <c r="K8" i="2"/>
  <c r="N8" i="2" s="1"/>
  <c r="K9" i="2"/>
  <c r="N9" i="2" s="1"/>
  <c r="K10" i="2"/>
  <c r="K11" i="2"/>
  <c r="K12" i="2"/>
  <c r="K13" i="2"/>
  <c r="N13" i="2" s="1"/>
  <c r="K14" i="2"/>
  <c r="N14" i="2" s="1"/>
  <c r="K15" i="2"/>
  <c r="T13" i="2" s="1"/>
  <c r="W13" i="2" s="1"/>
  <c r="Z13" i="2" s="1"/>
  <c r="S10" i="2"/>
  <c r="S7" i="2"/>
  <c r="S4" i="2"/>
  <c r="Q13" i="2"/>
  <c r="Q7" i="2"/>
  <c r="Q10" i="2"/>
  <c r="Q4" i="2"/>
  <c r="J13" i="2"/>
  <c r="M13" i="2" s="1"/>
  <c r="J14" i="2"/>
  <c r="M14" i="2" s="1"/>
  <c r="P14" i="2" s="1"/>
  <c r="I5" i="2"/>
  <c r="L5" i="2" s="1"/>
  <c r="O5" i="2" s="1"/>
  <c r="I6" i="2"/>
  <c r="I7" i="2"/>
  <c r="I8" i="2"/>
  <c r="I9" i="2"/>
  <c r="I10" i="2"/>
  <c r="I11" i="2"/>
  <c r="L11" i="2" s="1"/>
  <c r="O11" i="2" s="1"/>
  <c r="I12" i="2"/>
  <c r="L12" i="2" s="1"/>
  <c r="O12" i="2" s="1"/>
  <c r="I13" i="2"/>
  <c r="I14" i="2"/>
  <c r="I15" i="2"/>
  <c r="L15" i="2" s="1"/>
  <c r="O15" i="2" s="1"/>
  <c r="I4" i="2"/>
  <c r="L4" i="2" s="1"/>
  <c r="U4" i="2" l="1"/>
  <c r="X4" i="2" s="1"/>
  <c r="O4" i="2"/>
  <c r="V13" i="2"/>
  <c r="Y13" i="2" s="1"/>
  <c r="AB13" i="2" s="1"/>
  <c r="P13" i="2"/>
  <c r="U13" i="2"/>
  <c r="X13" i="2" s="1"/>
  <c r="AA13" i="2" s="1"/>
  <c r="P4" i="2"/>
  <c r="R4" i="2"/>
  <c r="O7" i="2"/>
  <c r="V7" i="4"/>
  <c r="Y7" i="4" s="1"/>
  <c r="AB7" i="4" s="1"/>
  <c r="V10" i="4"/>
  <c r="Y10" i="4" s="1"/>
  <c r="AB10" i="4" s="1"/>
  <c r="S13" i="2"/>
  <c r="V7" i="3"/>
  <c r="Y7" i="3" s="1"/>
  <c r="AB7" i="3" s="1"/>
  <c r="R7" i="2"/>
  <c r="T10" i="4"/>
  <c r="W10" i="4" s="1"/>
  <c r="Z10" i="4" s="1"/>
  <c r="R10" i="2"/>
  <c r="V4" i="4"/>
  <c r="Y4" i="4" s="1"/>
  <c r="P7" i="4"/>
  <c r="AB4" i="2"/>
  <c r="P10" i="2"/>
  <c r="N13" i="4"/>
  <c r="P10" i="3"/>
  <c r="R4" i="3"/>
  <c r="V7" i="2"/>
  <c r="Y7" i="2" s="1"/>
  <c r="AB7" i="2" s="1"/>
  <c r="P7" i="2"/>
  <c r="R13" i="2"/>
  <c r="L10" i="2"/>
  <c r="N15" i="2"/>
  <c r="S13" i="4"/>
  <c r="M13" i="4"/>
  <c r="V13" i="4" s="1"/>
  <c r="Y13" i="4" s="1"/>
  <c r="AB13" i="4" s="1"/>
  <c r="R4" i="4"/>
  <c r="R10" i="4"/>
  <c r="R7" i="4"/>
  <c r="L10" i="4"/>
  <c r="U10" i="4" s="1"/>
  <c r="X10" i="4" s="1"/>
  <c r="AA10" i="4" s="1"/>
  <c r="P13" i="4"/>
  <c r="U4" i="4"/>
  <c r="X4" i="4" s="1"/>
  <c r="O4" i="4"/>
  <c r="O13" i="4"/>
  <c r="U13" i="4"/>
  <c r="X13" i="4" s="1"/>
  <c r="AA13" i="4" s="1"/>
  <c r="O7" i="4"/>
  <c r="U7" i="4"/>
  <c r="X7" i="4" s="1"/>
  <c r="AA7" i="4" s="1"/>
  <c r="R13" i="4"/>
  <c r="T7" i="4"/>
  <c r="W7" i="4" s="1"/>
  <c r="Z7" i="4" s="1"/>
  <c r="N10" i="4"/>
  <c r="P12" i="4"/>
  <c r="S13" i="3"/>
  <c r="V4" i="3"/>
  <c r="Y4" i="3" s="1"/>
  <c r="R7" i="3"/>
  <c r="T10" i="3"/>
  <c r="W10" i="3" s="1"/>
  <c r="Z10" i="3" s="1"/>
  <c r="O4" i="3"/>
  <c r="M13" i="3"/>
  <c r="V13" i="3" s="1"/>
  <c r="Y13" i="3" s="1"/>
  <c r="AB13" i="3" s="1"/>
  <c r="O7" i="3"/>
  <c r="U7" i="3"/>
  <c r="X7" i="3" s="1"/>
  <c r="AA7" i="3" s="1"/>
  <c r="O13" i="3"/>
  <c r="U13" i="3"/>
  <c r="X13" i="3" s="1"/>
  <c r="AA13" i="3" s="1"/>
  <c r="U10" i="3"/>
  <c r="X10" i="3" s="1"/>
  <c r="AA10" i="3" s="1"/>
  <c r="O10" i="3"/>
  <c r="R13" i="3"/>
  <c r="T7" i="3"/>
  <c r="W7" i="3" s="1"/>
  <c r="Z7" i="3" s="1"/>
  <c r="P8" i="3"/>
  <c r="N14" i="3"/>
  <c r="R10" i="3"/>
  <c r="T7" i="2"/>
  <c r="W7" i="2" s="1"/>
  <c r="Z7" i="2" s="1"/>
  <c r="T10" i="2"/>
  <c r="W10" i="2" s="1"/>
  <c r="Z10" i="2" s="1"/>
  <c r="D10" i="5"/>
  <c r="I10" i="5" s="1"/>
  <c r="D11" i="5"/>
  <c r="I11" i="5" s="1"/>
  <c r="D12" i="5"/>
  <c r="I12" i="5" s="1"/>
  <c r="D13" i="5"/>
  <c r="I13" i="5" s="1"/>
  <c r="E13" i="5"/>
  <c r="Q4" i="5"/>
  <c r="Q3" i="5"/>
  <c r="G16" i="5"/>
  <c r="D18" i="5"/>
  <c r="G18" i="5" s="1"/>
  <c r="D19" i="5"/>
  <c r="E19" i="5" s="1"/>
  <c r="D17" i="5"/>
  <c r="G17" i="5" s="1"/>
  <c r="P3" i="5" l="1"/>
  <c r="P4" i="5"/>
  <c r="X16" i="2"/>
  <c r="AA4" i="2"/>
  <c r="E17" i="5"/>
  <c r="W16" i="4"/>
  <c r="Y16" i="3"/>
  <c r="AB4" i="3"/>
  <c r="E18" i="5"/>
  <c r="X16" i="4"/>
  <c r="AA4" i="4"/>
  <c r="G19" i="5"/>
  <c r="W16" i="3"/>
  <c r="Y16" i="4"/>
  <c r="AB4" i="4"/>
  <c r="O10" i="2"/>
  <c r="U10" i="2"/>
  <c r="X10" i="2" s="1"/>
  <c r="AA10" i="2" s="1"/>
  <c r="Y16" i="2"/>
  <c r="O10" i="4"/>
  <c r="U4" i="3"/>
  <c r="X4" i="3" s="1"/>
  <c r="P13" i="3"/>
  <c r="E12" i="5"/>
  <c r="E11" i="5"/>
  <c r="E10" i="5"/>
  <c r="G10" i="5"/>
  <c r="G12" i="5"/>
  <c r="G11" i="5"/>
  <c r="N4" i="5"/>
  <c r="N3" i="5"/>
  <c r="G13" i="5"/>
  <c r="F5" i="1"/>
  <c r="L4" i="5" l="1"/>
  <c r="L3" i="5"/>
  <c r="M3" i="5"/>
  <c r="X16" i="3"/>
  <c r="AA4" i="3"/>
  <c r="O3" i="5"/>
  <c r="O4" i="5"/>
  <c r="M4" i="5"/>
  <c r="F24" i="1"/>
  <c r="F27" i="1" s="1"/>
  <c r="F25" i="1"/>
  <c r="F26" i="1"/>
  <c r="F23" i="1"/>
  <c r="F15" i="1"/>
  <c r="F16" i="1"/>
  <c r="F17" i="1"/>
  <c r="F14" i="1"/>
  <c r="F6" i="1"/>
  <c r="F9" i="1" s="1"/>
  <c r="F7" i="1"/>
  <c r="F8" i="1"/>
  <c r="G26" i="1" l="1"/>
  <c r="G8" i="1"/>
  <c r="F18" i="1"/>
  <c r="D24" i="1"/>
  <c r="G24" i="1" s="1"/>
  <c r="D25" i="1"/>
  <c r="G25" i="1" s="1"/>
  <c r="D26" i="1"/>
  <c r="D23" i="1"/>
  <c r="G23" i="1" s="1"/>
  <c r="D6" i="1"/>
  <c r="G6" i="1" s="1"/>
  <c r="D7" i="1"/>
  <c r="G7" i="1" s="1"/>
  <c r="D8" i="1"/>
  <c r="D5" i="1"/>
  <c r="G5" i="1" s="1"/>
  <c r="D9" i="1" l="1"/>
  <c r="D27" i="1"/>
  <c r="D18" i="1"/>
  <c r="D15" i="1"/>
  <c r="G15" i="1" s="1"/>
  <c r="D16" i="1"/>
  <c r="G16" i="1" s="1"/>
  <c r="D17" i="1"/>
  <c r="G17" i="1" s="1"/>
  <c r="D14" i="1"/>
  <c r="G14" i="1" s="1"/>
</calcChain>
</file>

<file path=xl/sharedStrings.xml><?xml version="1.0" encoding="utf-8"?>
<sst xmlns="http://schemas.openxmlformats.org/spreadsheetml/2006/main" count="265" uniqueCount="79">
  <si>
    <t>Column B</t>
  </si>
  <si>
    <t>Floor 4</t>
  </si>
  <si>
    <t>Floor 3</t>
  </si>
  <si>
    <t>Floor 2</t>
  </si>
  <si>
    <t>Floor 1</t>
  </si>
  <si>
    <t>m full (g)</t>
  </si>
  <si>
    <t>m empty (g)</t>
  </si>
  <si>
    <t>m soil (g)</t>
  </si>
  <si>
    <t>Column A</t>
  </si>
  <si>
    <t>Column C</t>
  </si>
  <si>
    <t>Total</t>
  </si>
  <si>
    <t>Dry (before)</t>
  </si>
  <si>
    <t>Dry before</t>
  </si>
  <si>
    <t>m dry (g)</t>
  </si>
  <si>
    <t>Level</t>
  </si>
  <si>
    <t>Triplicate</t>
  </si>
  <si>
    <t>Mass (g)</t>
  </si>
  <si>
    <t>Vol (mL)</t>
  </si>
  <si>
    <t>Area</t>
  </si>
  <si>
    <t>NTO</t>
  </si>
  <si>
    <t>DNAN</t>
  </si>
  <si>
    <t>RDX</t>
  </si>
  <si>
    <t>% water</t>
  </si>
  <si>
    <t>IMX-104 standards</t>
  </si>
  <si>
    <t>Stock solution</t>
  </si>
  <si>
    <t>m (mg)</t>
  </si>
  <si>
    <t>V (L)</t>
  </si>
  <si>
    <t>Conc (ppm)</t>
  </si>
  <si>
    <t>Sample</t>
  </si>
  <si>
    <t>V stock (ml)</t>
  </si>
  <si>
    <t>V final (ml)</t>
  </si>
  <si>
    <t>Area 3</t>
  </si>
  <si>
    <t>Blank</t>
  </si>
  <si>
    <t>slope</t>
  </si>
  <si>
    <t>inter</t>
  </si>
  <si>
    <t>Columns A and B</t>
  </si>
  <si>
    <t>Conc average (ppm)</t>
  </si>
  <si>
    <t>Soil mass (g)</t>
  </si>
  <si>
    <t>Mass (mg)</t>
  </si>
  <si>
    <t>AVERAGE</t>
  </si>
  <si>
    <t>Total mass (mg)</t>
  </si>
  <si>
    <t>Mass in column</t>
  </si>
  <si>
    <t>Mass in column (mg)</t>
  </si>
  <si>
    <r>
      <rPr>
        <sz val="11"/>
        <color theme="1"/>
        <rFont val="Calibri"/>
        <family val="2"/>
      </rPr>
      <t>µ</t>
    </r>
    <r>
      <rPr>
        <sz val="11"/>
        <color theme="1"/>
        <rFont val="Calibri"/>
        <family val="2"/>
        <scheme val="minor"/>
      </rPr>
      <t>g/g soil</t>
    </r>
  </si>
  <si>
    <t>µg/g soil</t>
  </si>
  <si>
    <t>Average</t>
  </si>
  <si>
    <t>µg compound / g soil</t>
  </si>
  <si>
    <t>Level 1</t>
  </si>
  <si>
    <t>1-A</t>
  </si>
  <si>
    <t>1-B</t>
  </si>
  <si>
    <t>1-C</t>
  </si>
  <si>
    <t>2-A</t>
  </si>
  <si>
    <t>2-B</t>
  </si>
  <si>
    <t>2-C</t>
  </si>
  <si>
    <t>3-A</t>
  </si>
  <si>
    <t>3-B</t>
  </si>
  <si>
    <t>3-C</t>
  </si>
  <si>
    <t>4-A</t>
  </si>
  <si>
    <t>4-B</t>
  </si>
  <si>
    <t>4-C</t>
  </si>
  <si>
    <t>average</t>
  </si>
  <si>
    <t>Priscilla's</t>
  </si>
  <si>
    <t>Level 2</t>
  </si>
  <si>
    <t>Level 3</t>
  </si>
  <si>
    <t>Level 4</t>
  </si>
  <si>
    <t>Me</t>
  </si>
  <si>
    <t>error</t>
  </si>
  <si>
    <t>dnan</t>
  </si>
  <si>
    <t>rdx</t>
  </si>
  <si>
    <t>Mass balance</t>
  </si>
  <si>
    <t>Average (%)</t>
  </si>
  <si>
    <t>Percentage</t>
  </si>
  <si>
    <t>Initial mass (g)</t>
  </si>
  <si>
    <t>Mass leachate (mg)</t>
  </si>
  <si>
    <t>% leachate</t>
  </si>
  <si>
    <t>Mass flake (mg)</t>
  </si>
  <si>
    <t>% flake</t>
  </si>
  <si>
    <t>Mass columns (mg)</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</si>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</sst>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6" x14ac:knownFonts="1">
    <font>
      <sz val="11"/>
      <color theme="1"/>
      <name val="Calibri"/>
      <family val="2"/>
      <scheme val="minor"/>
    </font>
    <font>
      <b/>
      <sz val="11"/>
      <color theme="1"/>
      <name val="Calibri"/>
      <family val="2"/>
      <scheme val="minor"/>
    </font>
    <font>
      <sz val="11"/>
      <color rgb="FFFF0000"/>
      <name val="Calibri"/>
      <family val="2"/>
      <scheme val="minor"/>
    </font>
    <font>
      <sz val="11"/>
      <color theme="8"/>
      <name val="Calibri"/>
      <family val="2"/>
      <scheme val="minor"/>
    </font>
    <font>
      <sz val="11"/>
      <color theme="1"/>
      <name val="Calibri"/>
      <family val="2"/>
    </font>
    <font>
      <sz val="14"/>
      <color theme="1"/>
      <name val="Calibri"/>
      <family val="2"/>
      <scheme val="minor"/>
    </font>
  </fonts>
  <fills count="13">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s>
  <cellStyleXfs count="1">
    <xf numFmtId="0" fontId="0" fillId="0" borderId="0"/>
  </cellStyleXfs>
  <cellXfs count="148">
    <xf numFmtId="0" fontId="0" fillId="0" borderId="0" xfId="0"/>
    <xf numFmtId="0" fontId="0" fillId="2" borderId="1" xfId="0"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0" fillId="5" borderId="1" xfId="0" applyFill="1" applyBorder="1" applyAlignment="1">
      <alignment horizontal="center"/>
    </xf>
    <xf numFmtId="0" fontId="0" fillId="0" borderId="0" xfId="0" applyAlignment="1">
      <alignment horizontal="center"/>
    </xf>
    <xf numFmtId="0" fontId="0" fillId="0" borderId="0" xfId="0" applyAlignment="1">
      <alignment horizontal="center"/>
    </xf>
    <xf numFmtId="0" fontId="0" fillId="0" borderId="0" xfId="0" applyAlignment="1">
      <alignment horizontal="center"/>
    </xf>
    <xf numFmtId="0" fontId="0" fillId="0" borderId="0" xfId="0" applyAlignment="1">
      <alignment horizontal="center"/>
    </xf>
    <xf numFmtId="14" fontId="0" fillId="0" borderId="0" xfId="0" applyNumberFormat="1"/>
    <xf numFmtId="0" fontId="0" fillId="0" borderId="0" xfId="0" applyAlignment="1">
      <alignment horizontal="center" vertical="center"/>
    </xf>
    <xf numFmtId="0" fontId="1" fillId="6" borderId="0" xfId="0" applyFont="1" applyFill="1"/>
    <xf numFmtId="0" fontId="1" fillId="7" borderId="0" xfId="0" applyFont="1" applyFill="1"/>
    <xf numFmtId="0" fontId="1" fillId="8" borderId="0" xfId="0" applyFont="1" applyFill="1"/>
    <xf numFmtId="0" fontId="1" fillId="0" borderId="0" xfId="0" applyFont="1" applyAlignment="1">
      <alignment horizontal="center"/>
    </xf>
    <xf numFmtId="164" fontId="0" fillId="0" borderId="0" xfId="0" applyNumberFormat="1" applyAlignment="1">
      <alignment horizontal="center"/>
    </xf>
    <xf numFmtId="164" fontId="0" fillId="0" borderId="0" xfId="0" applyNumberFormat="1" applyAlignment="1">
      <alignment horizontal="center" vertical="center"/>
    </xf>
    <xf numFmtId="0" fontId="1" fillId="0" borderId="0" xfId="0" applyFont="1" applyAlignment="1">
      <alignment horizontal="center" vertical="center"/>
    </xf>
    <xf numFmtId="0" fontId="1" fillId="0" borderId="0" xfId="0" applyFont="1"/>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center" vertical="center"/>
    </xf>
    <xf numFmtId="1" fontId="0" fillId="0" borderId="0" xfId="0" applyNumberFormat="1" applyAlignment="1">
      <alignment horizontal="center"/>
    </xf>
    <xf numFmtId="0" fontId="2"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1" fontId="0" fillId="0" borderId="7" xfId="0" applyNumberFormat="1" applyBorder="1" applyAlignment="1">
      <alignment horizontal="center"/>
    </xf>
    <xf numFmtId="0" fontId="0" fillId="0" borderId="9" xfId="0" applyBorder="1"/>
    <xf numFmtId="0" fontId="0" fillId="0" borderId="10" xfId="0" applyBorder="1"/>
    <xf numFmtId="0" fontId="3" fillId="0" borderId="0" xfId="0" applyFont="1"/>
    <xf numFmtId="1" fontId="0" fillId="0" borderId="0" xfId="0" applyNumberFormat="1" applyAlignment="1">
      <alignment horizontal="center" vertical="center"/>
    </xf>
    <xf numFmtId="165" fontId="0" fillId="0" borderId="0" xfId="0" applyNumberFormat="1"/>
    <xf numFmtId="165" fontId="0" fillId="0" borderId="0" xfId="0" applyNumberFormat="1" applyAlignment="1">
      <alignment horizontal="center"/>
    </xf>
    <xf numFmtId="2" fontId="0" fillId="0" borderId="0" xfId="0" applyNumberFormat="1" applyAlignment="1">
      <alignment horizontal="center"/>
    </xf>
    <xf numFmtId="2" fontId="0" fillId="0" borderId="0" xfId="0" applyNumberFormat="1" applyAlignment="1">
      <alignment horizontal="center" vertical="center"/>
    </xf>
    <xf numFmtId="164" fontId="0" fillId="0" borderId="0" xfId="0" applyNumberFormat="1"/>
    <xf numFmtId="2" fontId="0" fillId="0" borderId="0" xfId="0" applyNumberFormat="1"/>
    <xf numFmtId="0" fontId="0" fillId="0" borderId="7" xfId="0"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12" xfId="0" applyBorder="1"/>
    <xf numFmtId="2" fontId="0" fillId="0" borderId="0" xfId="0" applyNumberFormat="1" applyBorder="1" applyAlignment="1">
      <alignment horizontal="center" vertical="center"/>
    </xf>
    <xf numFmtId="1" fontId="0" fillId="0" borderId="8" xfId="0" applyNumberFormat="1" applyBorder="1" applyAlignment="1">
      <alignment horizontal="center"/>
    </xf>
    <xf numFmtId="1" fontId="0" fillId="0" borderId="8" xfId="0" applyNumberFormat="1" applyBorder="1" applyAlignment="1">
      <alignment horizontal="center" vertical="center"/>
    </xf>
    <xf numFmtId="2" fontId="0" fillId="0" borderId="8" xfId="0" applyNumberFormat="1" applyBorder="1" applyAlignment="1">
      <alignment horizontal="center"/>
    </xf>
    <xf numFmtId="1" fontId="0" fillId="0" borderId="9" xfId="0" applyNumberFormat="1" applyBorder="1" applyAlignment="1">
      <alignment horizontal="center"/>
    </xf>
    <xf numFmtId="2" fontId="0" fillId="0" borderId="12" xfId="0" applyNumberFormat="1" applyBorder="1" applyAlignment="1">
      <alignment horizontal="center" vertical="center"/>
    </xf>
    <xf numFmtId="2" fontId="0" fillId="0" borderId="10" xfId="0" applyNumberFormat="1" applyBorder="1" applyAlignment="1">
      <alignment horizontal="center"/>
    </xf>
    <xf numFmtId="0" fontId="0" fillId="0" borderId="7" xfId="0" applyBorder="1" applyAlignment="1">
      <alignment horizontal="center"/>
    </xf>
    <xf numFmtId="0" fontId="0" fillId="0" borderId="0"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165" fontId="0" fillId="0" borderId="0" xfId="0" applyNumberFormat="1" applyBorder="1" applyAlignment="1">
      <alignment horizontal="center" vertical="center"/>
    </xf>
    <xf numFmtId="165" fontId="0" fillId="0" borderId="8" xfId="0" applyNumberFormat="1" applyBorder="1" applyAlignment="1">
      <alignment horizontal="center"/>
    </xf>
    <xf numFmtId="165" fontId="0" fillId="0" borderId="12" xfId="0" applyNumberFormat="1" applyBorder="1" applyAlignment="1">
      <alignment horizontal="center" vertical="center"/>
    </xf>
    <xf numFmtId="165" fontId="0" fillId="0" borderId="10" xfId="0" applyNumberFormat="1" applyBorder="1" applyAlignment="1">
      <alignment horizontal="center"/>
    </xf>
    <xf numFmtId="0" fontId="0" fillId="0" borderId="11" xfId="0" applyBorder="1" applyAlignment="1">
      <alignment horizontal="center" vertical="center"/>
    </xf>
    <xf numFmtId="165" fontId="0" fillId="0" borderId="0" xfId="0" applyNumberFormat="1" applyBorder="1" applyAlignment="1">
      <alignment horizontal="center"/>
    </xf>
    <xf numFmtId="2" fontId="0" fillId="0" borderId="0" xfId="0" applyNumberFormat="1" applyBorder="1" applyAlignment="1">
      <alignment horizontal="center"/>
    </xf>
    <xf numFmtId="1" fontId="0" fillId="0" borderId="0" xfId="0" applyNumberForma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2" fontId="0" fillId="0" borderId="12" xfId="0" applyNumberFormat="1" applyBorder="1" applyAlignment="1">
      <alignment horizontal="center"/>
    </xf>
    <xf numFmtId="165" fontId="0" fillId="0" borderId="8" xfId="0" applyNumberFormat="1" applyBorder="1"/>
    <xf numFmtId="0" fontId="0" fillId="0" borderId="9" xfId="0" applyBorder="1" applyAlignment="1">
      <alignment horizontal="center" vertical="center"/>
    </xf>
    <xf numFmtId="165" fontId="0" fillId="0" borderId="12" xfId="0" applyNumberFormat="1" applyBorder="1" applyAlignment="1">
      <alignment horizontal="center"/>
    </xf>
    <xf numFmtId="165" fontId="0" fillId="0" borderId="10" xfId="0" applyNumberFormat="1" applyBorder="1"/>
    <xf numFmtId="2" fontId="0" fillId="0" borderId="8" xfId="0" applyNumberFormat="1" applyBorder="1" applyAlignment="1">
      <alignment horizontal="center" vertical="center"/>
    </xf>
    <xf numFmtId="2" fontId="0" fillId="0" borderId="10" xfId="0" applyNumberFormat="1" applyBorder="1" applyAlignment="1">
      <alignment horizontal="center" vertic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11" borderId="0" xfId="0" applyFill="1" applyAlignment="1">
      <alignment horizontal="center"/>
    </xf>
    <xf numFmtId="0" fontId="0" fillId="0" borderId="0" xfId="0" applyAlignment="1">
      <alignment horizontal="center" vertical="center"/>
    </xf>
    <xf numFmtId="0" fontId="0" fillId="0" borderId="0" xfId="0" applyAlignment="1">
      <alignment horizont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14" fontId="0" fillId="0" borderId="0" xfId="0" applyNumberFormat="1" applyAlignment="1">
      <alignment horizontal="center"/>
    </xf>
    <xf numFmtId="0" fontId="0" fillId="0" borderId="0" xfId="0"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9" borderId="4" xfId="0" applyFill="1" applyBorder="1" applyAlignment="1">
      <alignment horizontal="center"/>
    </xf>
    <xf numFmtId="0" fontId="0" fillId="9" borderId="6" xfId="0" applyFill="1" applyBorder="1" applyAlignment="1">
      <alignment horizontal="center"/>
    </xf>
    <xf numFmtId="0" fontId="0" fillId="0" borderId="11" xfId="0" applyBorder="1" applyAlignment="1">
      <alignment horizontal="center"/>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0" fillId="9" borderId="2" xfId="0" applyFill="1" applyBorder="1" applyAlignment="1">
      <alignment horizontal="center"/>
    </xf>
    <xf numFmtId="0" fontId="0" fillId="9" borderId="11" xfId="0" applyFill="1" applyBorder="1" applyAlignment="1">
      <alignment horizontal="center"/>
    </xf>
    <xf numFmtId="0" fontId="0" fillId="9" borderId="3" xfId="0" applyFill="1" applyBorder="1" applyAlignment="1">
      <alignment horizontal="center"/>
    </xf>
    <xf numFmtId="0" fontId="0" fillId="10" borderId="2" xfId="0" applyFill="1" applyBorder="1" applyAlignment="1">
      <alignment horizontal="center"/>
    </xf>
    <xf numFmtId="0" fontId="0" fillId="10" borderId="11" xfId="0" applyFill="1" applyBorder="1" applyAlignment="1">
      <alignment horizontal="center"/>
    </xf>
    <xf numFmtId="0" fontId="0" fillId="10" borderId="3" xfId="0" applyFill="1" applyBorder="1" applyAlignment="1">
      <alignment horizont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4" fillId="0" borderId="0" xfId="0" applyFont="1" applyAlignment="1">
      <alignment horizontal="center"/>
    </xf>
    <xf numFmtId="0" fontId="5" fillId="0" borderId="0" xfId="0" applyFont="1"/>
    <xf numFmtId="0" fontId="0" fillId="2" borderId="2" xfId="0" applyFill="1" applyBorder="1" applyAlignment="1">
      <alignment horizontal="center"/>
    </xf>
    <xf numFmtId="0" fontId="0" fillId="2" borderId="11" xfId="0" applyFill="1" applyBorder="1" applyAlignment="1">
      <alignment horizontal="center"/>
    </xf>
    <xf numFmtId="0" fontId="0" fillId="2" borderId="3" xfId="0" applyFill="1" applyBorder="1" applyAlignment="1">
      <alignment horizontal="center"/>
    </xf>
    <xf numFmtId="0" fontId="0" fillId="5" borderId="2" xfId="0" applyFill="1" applyBorder="1" applyAlignment="1">
      <alignment horizontal="center" vertical="center"/>
    </xf>
    <xf numFmtId="0" fontId="0" fillId="5" borderId="11" xfId="0" applyFill="1" applyBorder="1" applyAlignment="1">
      <alignment horizontal="center" vertical="center"/>
    </xf>
    <xf numFmtId="0" fontId="0" fillId="5" borderId="3" xfId="0" applyFill="1" applyBorder="1" applyAlignment="1">
      <alignment horizontal="center" vertical="center"/>
    </xf>
    <xf numFmtId="0" fontId="0" fillId="3" borderId="2" xfId="0" applyFill="1" applyBorder="1" applyAlignment="1">
      <alignment horizontal="center" vertical="center"/>
    </xf>
    <xf numFmtId="0" fontId="0" fillId="3" borderId="11" xfId="0" applyFill="1" applyBorder="1" applyAlignment="1">
      <alignment horizontal="center" vertical="center"/>
    </xf>
    <xf numFmtId="0" fontId="0" fillId="3" borderId="3" xfId="0" applyFill="1" applyBorder="1" applyAlignment="1">
      <alignment horizontal="center" vertical="center"/>
    </xf>
    <xf numFmtId="0" fontId="0" fillId="12" borderId="2" xfId="0" applyFill="1" applyBorder="1" applyAlignment="1">
      <alignment horizontal="center" vertical="center"/>
    </xf>
    <xf numFmtId="0" fontId="0" fillId="12" borderId="11" xfId="0" applyFill="1" applyBorder="1" applyAlignment="1">
      <alignment horizontal="center" vertical="center"/>
    </xf>
    <xf numFmtId="0" fontId="0" fillId="12" borderId="3" xfId="0" applyFill="1" applyBorder="1" applyAlignment="1">
      <alignment horizontal="center" vertical="center"/>
    </xf>
    <xf numFmtId="1" fontId="0" fillId="0" borderId="7" xfId="0" applyNumberFormat="1" applyBorder="1" applyAlignment="1">
      <alignment horizontal="center" vertical="center"/>
    </xf>
    <xf numFmtId="1" fontId="0" fillId="0" borderId="9" xfId="0" applyNumberFormat="1" applyBorder="1" applyAlignment="1">
      <alignment horizontal="center" vertical="center"/>
    </xf>
    <xf numFmtId="1" fontId="0" fillId="0" borderId="12" xfId="0" applyNumberFormat="1" applyBorder="1" applyAlignment="1">
      <alignment horizontal="center" vertical="center"/>
    </xf>
    <xf numFmtId="1" fontId="0" fillId="0" borderId="4" xfId="0" applyNumberFormat="1" applyBorder="1" applyAlignment="1">
      <alignment horizontal="center"/>
    </xf>
    <xf numFmtId="1" fontId="0" fillId="0" borderId="5" xfId="0" applyNumberFormat="1" applyBorder="1" applyAlignment="1">
      <alignment horizontal="center"/>
    </xf>
    <xf numFmtId="1" fontId="0" fillId="0" borderId="6" xfId="0" applyNumberFormat="1" applyBorder="1" applyAlignment="1">
      <alignment horizontal="center"/>
    </xf>
    <xf numFmtId="1" fontId="1" fillId="0" borderId="8" xfId="0" applyNumberFormat="1" applyFont="1" applyBorder="1" applyAlignment="1">
      <alignment horizontal="center"/>
    </xf>
    <xf numFmtId="1" fontId="0" fillId="0" borderId="12" xfId="0" applyNumberFormat="1" applyBorder="1" applyAlignment="1">
      <alignment horizontal="center"/>
    </xf>
    <xf numFmtId="1" fontId="1" fillId="0" borderId="10" xfId="0" applyNumberFormat="1" applyFont="1" applyBorder="1" applyAlignment="1">
      <alignment horizontal="center"/>
    </xf>
    <xf numFmtId="1" fontId="3" fillId="0" borderId="4" xfId="0" applyNumberFormat="1" applyFont="1" applyBorder="1" applyAlignment="1">
      <alignment horizontal="center"/>
    </xf>
    <xf numFmtId="1" fontId="3" fillId="0" borderId="5" xfId="0" applyNumberFormat="1" applyFont="1" applyBorder="1" applyAlignment="1">
      <alignment horizontal="center"/>
    </xf>
    <xf numFmtId="1" fontId="3" fillId="0" borderId="9" xfId="0" applyNumberFormat="1" applyFont="1" applyBorder="1" applyAlignment="1">
      <alignment horizontal="center" vertical="center"/>
    </xf>
    <xf numFmtId="1" fontId="3" fillId="0" borderId="12" xfId="0" applyNumberFormat="1" applyFont="1" applyBorder="1" applyAlignment="1">
      <alignment horizontal="center" vertical="center"/>
    </xf>
    <xf numFmtId="1" fontId="3" fillId="0" borderId="12" xfId="0" applyNumberFormat="1" applyFont="1" applyBorder="1" applyAlignment="1">
      <alignment horizontal="center"/>
    </xf>
    <xf numFmtId="1" fontId="1" fillId="0" borderId="0" xfId="0" applyNumberFormat="1" applyFont="1" applyAlignment="1">
      <alignment horizontal="center" vertical="center"/>
    </xf>
    <xf numFmtId="1" fontId="3" fillId="0" borderId="9" xfId="0" applyNumberFormat="1" applyFont="1" applyBorder="1" applyAlignment="1">
      <alignment horizontal="center"/>
    </xf>
    <xf numFmtId="1" fontId="1" fillId="0" borderId="10" xfId="0" applyNumberFormat="1" applyFont="1" applyBorder="1" applyAlignment="1">
      <alignment horizontal="center" vertical="center"/>
    </xf>
    <xf numFmtId="1" fontId="0" fillId="0" borderId="4" xfId="0" applyNumberFormat="1" applyBorder="1" applyAlignment="1">
      <alignment horizontal="center" vertic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8" xfId="0" applyNumberFormat="1" applyBorder="1" applyAlignment="1">
      <alignment horizontal="center"/>
    </xf>
    <xf numFmtId="164" fontId="1" fillId="0" borderId="10" xfId="0" applyNumberFormat="1" applyFont="1" applyBorder="1" applyAlignment="1">
      <alignment horizontal="center"/>
    </xf>
    <xf numFmtId="164" fontId="0" fillId="0" borderId="12" xfId="0" applyNumberFormat="1" applyBorder="1" applyAlignment="1">
      <alignment horizontal="center"/>
    </xf>
    <xf numFmtId="1" fontId="0" fillId="0" borderId="10" xfId="0" applyNumberFormat="1" applyBorder="1" applyAlignment="1">
      <alignment horizontal="center"/>
    </xf>
    <xf numFmtId="1"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image" Target="../media/image2.jpeg"/><Relationship Id="rId2" Type="http://schemas.microsoft.com/office/2011/relationships/chartColorStyle" Target="colors3.xml"/><Relationship Id="rId1" Type="http://schemas.microsoft.com/office/2011/relationships/chartStyle" Target="style3.xml"/><Relationship Id="rId5" Type="http://schemas.openxmlformats.org/officeDocument/2006/relationships/image" Target="../media/image4.jpeg"/><Relationship Id="rId4" Type="http://schemas.openxmlformats.org/officeDocument/2006/relationships/image" Target="../media/image3.jpeg"/></Relationships>
</file>

<file path=xl/charts/_rels/chart4.xml.rels><?xml version="1.0" encoding="UTF-8" standalone="yes"?>
<Relationships xmlns="http://schemas.openxmlformats.org/package/2006/relationships"><Relationship Id="rId3" Type="http://schemas.openxmlformats.org/officeDocument/2006/relationships/image" Target="../media/image5.jpeg"/><Relationship Id="rId2" Type="http://schemas.microsoft.com/office/2011/relationships/chartColorStyle" Target="colors4.xml"/><Relationship Id="rId1" Type="http://schemas.microsoft.com/office/2011/relationships/chartStyle" Target="style4.xml"/><Relationship Id="rId5" Type="http://schemas.openxmlformats.org/officeDocument/2006/relationships/image" Target="../media/image4.jpeg"/><Relationship Id="rId4" Type="http://schemas.openxmlformats.org/officeDocument/2006/relationships/image" Target="../media/image3.jpe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Standards!$E$16:$E$19</c:f>
              <c:numCache>
                <c:formatCode>0</c:formatCode>
                <c:ptCount val="4"/>
                <c:pt idx="0">
                  <c:v>0</c:v>
                </c:pt>
                <c:pt idx="1">
                  <c:v>5.3582999999999998</c:v>
                </c:pt>
                <c:pt idx="2">
                  <c:v>10.7166</c:v>
                </c:pt>
                <c:pt idx="3">
                  <c:v>21.433199999999999</c:v>
                </c:pt>
              </c:numCache>
            </c:numRef>
          </c:xVal>
          <c:yVal>
            <c:numRef>
              <c:f>Standards!$F$16:$F$19</c:f>
              <c:numCache>
                <c:formatCode>General</c:formatCode>
                <c:ptCount val="4"/>
                <c:pt idx="0">
                  <c:v>0</c:v>
                </c:pt>
                <c:pt idx="1">
                  <c:v>61957</c:v>
                </c:pt>
                <c:pt idx="2">
                  <c:v>119052</c:v>
                </c:pt>
                <c:pt idx="3">
                  <c:v>250170</c:v>
                </c:pt>
              </c:numCache>
            </c:numRef>
          </c:yVal>
          <c:smooth val="0"/>
          <c:extLst>
            <c:ext xmlns:c16="http://schemas.microsoft.com/office/drawing/2014/chart" uri="{C3380CC4-5D6E-409C-BE32-E72D297353CC}">
              <c16:uniqueId val="{00000000-3426-4B7B-B8CF-E92BB84C2496}"/>
            </c:ext>
          </c:extLst>
        </c:ser>
        <c:ser>
          <c:idx val="1"/>
          <c:order val="1"/>
          <c:tx>
            <c:v>DNAN</c:v>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trendline>
            <c:spPr>
              <a:ln w="19050" cap="rnd">
                <a:solidFill>
                  <a:schemeClr val="accent2"/>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Standards!$G$16:$G$19</c:f>
              <c:numCache>
                <c:formatCode>0</c:formatCode>
                <c:ptCount val="4"/>
                <c:pt idx="0">
                  <c:v>0</c:v>
                </c:pt>
                <c:pt idx="1">
                  <c:v>3.2351999999999999</c:v>
                </c:pt>
                <c:pt idx="2">
                  <c:v>6.4703999999999997</c:v>
                </c:pt>
                <c:pt idx="3">
                  <c:v>12.940799999999999</c:v>
                </c:pt>
              </c:numCache>
            </c:numRef>
          </c:xVal>
          <c:yVal>
            <c:numRef>
              <c:f>Standards!$H$16:$H$19</c:f>
              <c:numCache>
                <c:formatCode>General</c:formatCode>
                <c:ptCount val="4"/>
                <c:pt idx="0">
                  <c:v>0</c:v>
                </c:pt>
                <c:pt idx="1">
                  <c:v>66294</c:v>
                </c:pt>
                <c:pt idx="2">
                  <c:v>126009</c:v>
                </c:pt>
                <c:pt idx="3">
                  <c:v>269462</c:v>
                </c:pt>
              </c:numCache>
            </c:numRef>
          </c:yVal>
          <c:smooth val="0"/>
          <c:extLst>
            <c:ext xmlns:c16="http://schemas.microsoft.com/office/drawing/2014/chart" uri="{C3380CC4-5D6E-409C-BE32-E72D297353CC}">
              <c16:uniqueId val="{00000001-3426-4B7B-B8CF-E92BB84C2496}"/>
            </c:ext>
          </c:extLst>
        </c:ser>
        <c:ser>
          <c:idx val="2"/>
          <c:order val="2"/>
          <c:tx>
            <c:v>RDX</c:v>
          </c:tx>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5852580927384078"/>
                  <c:y val="0.1537263050452027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Standards!$I$16:$I$19</c:f>
              <c:numCache>
                <c:formatCode>0</c:formatCode>
                <c:ptCount val="4"/>
                <c:pt idx="0">
                  <c:v>0</c:v>
                </c:pt>
                <c:pt idx="1">
                  <c:v>1.5165</c:v>
                </c:pt>
                <c:pt idx="2">
                  <c:v>3.0329999999999999</c:v>
                </c:pt>
                <c:pt idx="3">
                  <c:v>7.5824999999999996</c:v>
                </c:pt>
              </c:numCache>
            </c:numRef>
          </c:xVal>
          <c:yVal>
            <c:numRef>
              <c:f>Standards!$J$16:$J$19</c:f>
              <c:numCache>
                <c:formatCode>General</c:formatCode>
                <c:ptCount val="4"/>
                <c:pt idx="0">
                  <c:v>0</c:v>
                </c:pt>
                <c:pt idx="1">
                  <c:v>26171</c:v>
                </c:pt>
                <c:pt idx="2">
                  <c:v>50901</c:v>
                </c:pt>
                <c:pt idx="3">
                  <c:v>107810</c:v>
                </c:pt>
              </c:numCache>
            </c:numRef>
          </c:yVal>
          <c:smooth val="0"/>
          <c:extLst>
            <c:ext xmlns:c16="http://schemas.microsoft.com/office/drawing/2014/chart" uri="{C3380CC4-5D6E-409C-BE32-E72D297353CC}">
              <c16:uniqueId val="{00000002-3426-4B7B-B8CF-E92BB84C2496}"/>
            </c:ext>
          </c:extLst>
        </c:ser>
        <c:dLbls>
          <c:showLegendKey val="0"/>
          <c:showVal val="0"/>
          <c:showCatName val="0"/>
          <c:showSerName val="0"/>
          <c:showPercent val="0"/>
          <c:showBubbleSize val="0"/>
        </c:dLbls>
        <c:axId val="781985135"/>
        <c:axId val="781995119"/>
      </c:scatterChart>
      <c:valAx>
        <c:axId val="781985135"/>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1995119"/>
        <c:crosses val="autoZero"/>
        <c:crossBetween val="midCat"/>
      </c:valAx>
      <c:valAx>
        <c:axId val="7819951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1985135"/>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Compounds found in sand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0"/>
          <c:tx>
            <c:v>NTO</c:v>
          </c:tx>
          <c:spPr>
            <a:solidFill>
              <a:schemeClr val="accent1"/>
            </a:solidFill>
            <a:ln>
              <a:noFill/>
            </a:ln>
            <a:effectLst/>
          </c:spPr>
          <c:invertIfNegative val="0"/>
          <c:val>
            <c:numRef>
              <c:f>(Average!$E$4,Average!$E$7,Average!$E$10,Average!$E$13)</c:f>
              <c:numCache>
                <c:formatCode>General</c:formatCode>
                <c:ptCount val="4"/>
              </c:numCache>
            </c:numRef>
          </c:val>
          <c:extLst>
            <c:ext xmlns:c16="http://schemas.microsoft.com/office/drawing/2014/chart" uri="{C3380CC4-5D6E-409C-BE32-E72D297353CC}">
              <c16:uniqueId val="{00000002-7A7D-4848-9E8B-151307D57415}"/>
            </c:ext>
          </c:extLst>
        </c:ser>
        <c:ser>
          <c:idx val="0"/>
          <c:order val="1"/>
          <c:tx>
            <c:strRef>
              <c:f>Average!$F$3</c:f>
              <c:strCache>
                <c:ptCount val="1"/>
                <c:pt idx="0">
                  <c:v>DNAN</c:v>
                </c:pt>
              </c:strCache>
            </c:strRef>
          </c:tx>
          <c:spPr>
            <a:solidFill>
              <a:schemeClr val="accent2"/>
            </a:solidFill>
            <a:ln>
              <a:noFill/>
            </a:ln>
            <a:effectLst/>
          </c:spPr>
          <c:invertIfNegative val="0"/>
          <c:errBars>
            <c:errBarType val="both"/>
            <c:errValType val="cust"/>
            <c:noEndCap val="0"/>
            <c:plus>
              <c:numRef>
                <c:f>(Average!$H$4,Average!$H$7,Average!$H$10,Average!$H$13)</c:f>
                <c:numCache>
                  <c:formatCode>General</c:formatCode>
                  <c:ptCount val="4"/>
                  <c:pt idx="0">
                    <c:v>8.9943187417760737E-2</c:v>
                  </c:pt>
                  <c:pt idx="1">
                    <c:v>3.582271256981584E-2</c:v>
                  </c:pt>
                  <c:pt idx="2">
                    <c:v>0.1194199469803463</c:v>
                  </c:pt>
                  <c:pt idx="3">
                    <c:v>0.25725775835336651</c:v>
                  </c:pt>
                </c:numCache>
              </c:numRef>
            </c:plus>
            <c:minus>
              <c:numRef>
                <c:f>(Average!$H$4,Average!$H$7,Average!$H$10,Average!$H$13)</c:f>
                <c:numCache>
                  <c:formatCode>General</c:formatCode>
                  <c:ptCount val="4"/>
                  <c:pt idx="0">
                    <c:v>8.9943187417760737E-2</c:v>
                  </c:pt>
                  <c:pt idx="1">
                    <c:v>3.582271256981584E-2</c:v>
                  </c:pt>
                  <c:pt idx="2">
                    <c:v>0.1194199469803463</c:v>
                  </c:pt>
                  <c:pt idx="3">
                    <c:v>0.25725775835336651</c:v>
                  </c:pt>
                </c:numCache>
              </c:numRef>
            </c:minus>
            <c:spPr>
              <a:noFill/>
              <a:ln w="9525" cap="flat" cmpd="sng" algn="ctr">
                <a:solidFill>
                  <a:schemeClr val="tx1">
                    <a:lumMod val="65000"/>
                    <a:lumOff val="35000"/>
                  </a:schemeClr>
                </a:solidFill>
                <a:round/>
              </a:ln>
              <a:effectLst/>
            </c:spPr>
          </c:errBars>
          <c:val>
            <c:numRef>
              <c:f>(Average!$F$4,Average!$F$7,Average!$F$10,Average!$F$13)</c:f>
              <c:numCache>
                <c:formatCode>0.00</c:formatCode>
                <c:ptCount val="4"/>
                <c:pt idx="0">
                  <c:v>1.2003850536996117</c:v>
                </c:pt>
                <c:pt idx="1">
                  <c:v>1.1826800077410766</c:v>
                </c:pt>
                <c:pt idx="2" formatCode="0.0">
                  <c:v>1.1388048401093569</c:v>
                </c:pt>
                <c:pt idx="3" formatCode="0.0">
                  <c:v>1.4037746825405097</c:v>
                </c:pt>
              </c:numCache>
            </c:numRef>
          </c:val>
          <c:extLst>
            <c:ext xmlns:c16="http://schemas.microsoft.com/office/drawing/2014/chart" uri="{C3380CC4-5D6E-409C-BE32-E72D297353CC}">
              <c16:uniqueId val="{00000000-7A7D-4848-9E8B-151307D57415}"/>
            </c:ext>
          </c:extLst>
        </c:ser>
        <c:ser>
          <c:idx val="1"/>
          <c:order val="2"/>
          <c:tx>
            <c:v>RDX</c:v>
          </c:tx>
          <c:spPr>
            <a:solidFill>
              <a:schemeClr val="bg1">
                <a:lumMod val="65000"/>
              </a:schemeClr>
            </a:solidFill>
            <a:ln>
              <a:noFill/>
            </a:ln>
            <a:effectLst/>
          </c:spPr>
          <c:invertIfNegative val="0"/>
          <c:errBars>
            <c:errBarType val="both"/>
            <c:errValType val="cust"/>
            <c:noEndCap val="0"/>
            <c:plus>
              <c:numRef>
                <c:f>Average!$I$13</c:f>
                <c:numCache>
                  <c:formatCode>General</c:formatCode>
                  <c:ptCount val="1"/>
                  <c:pt idx="0">
                    <c:v>0.3</c:v>
                  </c:pt>
                </c:numCache>
              </c:numRef>
            </c:plus>
            <c:minus>
              <c:numRef>
                <c:f>Average!$I$13</c:f>
                <c:numCache>
                  <c:formatCode>General</c:formatCode>
                  <c:ptCount val="1"/>
                  <c:pt idx="0">
                    <c:v>0.3</c:v>
                  </c:pt>
                </c:numCache>
              </c:numRef>
            </c:minus>
            <c:spPr>
              <a:noFill/>
              <a:ln w="9525" cap="flat" cmpd="sng" algn="ctr">
                <a:solidFill>
                  <a:schemeClr val="tx1">
                    <a:lumMod val="65000"/>
                    <a:lumOff val="35000"/>
                  </a:schemeClr>
                </a:solidFill>
                <a:round/>
              </a:ln>
              <a:effectLst/>
            </c:spPr>
          </c:errBars>
          <c:val>
            <c:numRef>
              <c:f>(Average!$G$4,Average!$G$7,Average!$G$10,Average!$G$13)</c:f>
              <c:numCache>
                <c:formatCode>General</c:formatCode>
                <c:ptCount val="4"/>
                <c:pt idx="3" formatCode="0.0">
                  <c:v>1.0783512938376669</c:v>
                </c:pt>
              </c:numCache>
            </c:numRef>
          </c:val>
          <c:extLst>
            <c:ext xmlns:c16="http://schemas.microsoft.com/office/drawing/2014/chart" uri="{C3380CC4-5D6E-409C-BE32-E72D297353CC}">
              <c16:uniqueId val="{00000001-7A7D-4848-9E8B-151307D57415}"/>
            </c:ext>
          </c:extLst>
        </c:ser>
        <c:dLbls>
          <c:showLegendKey val="0"/>
          <c:showVal val="0"/>
          <c:showCatName val="0"/>
          <c:showSerName val="0"/>
          <c:showPercent val="0"/>
          <c:showBubbleSize val="0"/>
        </c:dLbls>
        <c:gapWidth val="219"/>
        <c:overlap val="-27"/>
        <c:axId val="172427920"/>
        <c:axId val="172429168"/>
      </c:barChart>
      <c:catAx>
        <c:axId val="17242792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Column levels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29168"/>
        <c:crosses val="autoZero"/>
        <c:auto val="1"/>
        <c:lblAlgn val="ctr"/>
        <c:lblOffset val="100"/>
        <c:noMultiLvlLbl val="0"/>
      </c:catAx>
      <c:valAx>
        <c:axId val="172429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Concentration (µg compound / g soil)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27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Mass</a:t>
            </a:r>
            <a:r>
              <a:rPr lang="en-GB" baseline="0"/>
              <a:t> balance IMX-104 flake dissolution in SAND</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2"/>
          <c:order val="0"/>
          <c:tx>
            <c:v>Flake</c:v>
          </c:tx>
          <c:spPr>
            <a:blipFill>
              <a:blip xmlns:r="http://schemas.openxmlformats.org/officeDocument/2006/relationships" r:embed="rId3"/>
              <a:tile tx="0" ty="0" sx="100000" sy="100000" flip="none" algn="tl"/>
            </a:blipFill>
            <a:ln>
              <a:noFill/>
            </a:ln>
            <a:effectLst/>
          </c:spPr>
          <c:invertIfNegative val="0"/>
          <c:cat>
            <c:strLit>
              <c:ptCount val="3"/>
              <c:pt idx="0">
                <c:v>A</c:v>
              </c:pt>
              <c:pt idx="1">
                <c:v>B</c:v>
              </c:pt>
              <c:pt idx="2">
                <c:v>C</c:v>
              </c:pt>
            </c:strLit>
          </c:cat>
          <c:val>
            <c:numRef>
              <c:f>('SAND Mass balance'!$E$9,'SAND Mass balance'!$I$9,'SAND Mass balance'!$M$9)</c:f>
              <c:numCache>
                <c:formatCode>0</c:formatCode>
                <c:ptCount val="3"/>
                <c:pt idx="0">
                  <c:v>70.667989417989418</c:v>
                </c:pt>
                <c:pt idx="1">
                  <c:v>70.214521452145206</c:v>
                </c:pt>
                <c:pt idx="2">
                  <c:v>74.308300395256907</c:v>
                </c:pt>
              </c:numCache>
            </c:numRef>
          </c:val>
          <c:extLst>
            <c:ext xmlns:c16="http://schemas.microsoft.com/office/drawing/2014/chart" uri="{C3380CC4-5D6E-409C-BE32-E72D297353CC}">
              <c16:uniqueId val="{00000000-BB29-45D3-BAD0-812A6D0ADB30}"/>
            </c:ext>
          </c:extLst>
        </c:ser>
        <c:ser>
          <c:idx val="0"/>
          <c:order val="1"/>
          <c:tx>
            <c:v>Leachate</c:v>
          </c:tx>
          <c:spPr>
            <a:blipFill>
              <a:blip xmlns:r="http://schemas.openxmlformats.org/officeDocument/2006/relationships" r:embed="rId4"/>
              <a:tile tx="0" ty="0" sx="100000" sy="100000" flip="none" algn="tl"/>
            </a:blipFill>
            <a:ln>
              <a:noFill/>
            </a:ln>
            <a:effectLst/>
          </c:spPr>
          <c:invertIfNegative val="0"/>
          <c:dPt>
            <c:idx val="0"/>
            <c:invertIfNegative val="0"/>
            <c:bubble3D val="0"/>
            <c:spPr>
              <a:blipFill>
                <a:blip xmlns:r="http://schemas.openxmlformats.org/officeDocument/2006/relationships" r:embed="rId4"/>
                <a:tile tx="0" ty="0" sx="100000" sy="100000" flip="none" algn="tl"/>
              </a:blipFill>
              <a:ln>
                <a:noFill/>
              </a:ln>
              <a:effectLst/>
            </c:spPr>
            <c:extLst>
              <c:ext xmlns:c16="http://schemas.microsoft.com/office/drawing/2014/chart" uri="{C3380CC4-5D6E-409C-BE32-E72D297353CC}">
                <c16:uniqueId val="{00000002-BB29-45D3-BAD0-812A6D0ADB30}"/>
              </c:ext>
            </c:extLst>
          </c:dPt>
          <c:cat>
            <c:strLit>
              <c:ptCount val="3"/>
              <c:pt idx="0">
                <c:v>A</c:v>
              </c:pt>
              <c:pt idx="1">
                <c:v>B</c:v>
              </c:pt>
              <c:pt idx="2">
                <c:v>C</c:v>
              </c:pt>
            </c:strLit>
          </c:cat>
          <c:val>
            <c:numRef>
              <c:f>('SAND Mass balance'!$E$7,'SAND Mass balance'!$I$7,'SAND Mass balance'!$M$7)</c:f>
              <c:numCache>
                <c:formatCode>0</c:formatCode>
                <c:ptCount val="3"/>
                <c:pt idx="0">
                  <c:v>33.861728653470195</c:v>
                </c:pt>
                <c:pt idx="1">
                  <c:v>35.229336060136333</c:v>
                </c:pt>
                <c:pt idx="2">
                  <c:v>28.084344114086743</c:v>
                </c:pt>
              </c:numCache>
            </c:numRef>
          </c:val>
          <c:extLst>
            <c:ext xmlns:c16="http://schemas.microsoft.com/office/drawing/2014/chart" uri="{C3380CC4-5D6E-409C-BE32-E72D297353CC}">
              <c16:uniqueId val="{00000003-BB29-45D3-BAD0-812A6D0ADB30}"/>
            </c:ext>
          </c:extLst>
        </c:ser>
        <c:ser>
          <c:idx val="1"/>
          <c:order val="2"/>
          <c:tx>
            <c:v>Soil</c:v>
          </c:tx>
          <c:spPr>
            <a:blipFill>
              <a:blip xmlns:r="http://schemas.openxmlformats.org/officeDocument/2006/relationships" r:embed="rId5"/>
              <a:tile tx="0" ty="0" sx="100000" sy="100000" flip="none" algn="tl"/>
            </a:blipFill>
            <a:ln>
              <a:noFill/>
            </a:ln>
            <a:effectLst/>
          </c:spPr>
          <c:invertIfNegative val="0"/>
          <c:cat>
            <c:strLit>
              <c:ptCount val="3"/>
              <c:pt idx="0">
                <c:v>A</c:v>
              </c:pt>
              <c:pt idx="1">
                <c:v>B</c:v>
              </c:pt>
              <c:pt idx="2">
                <c:v>C</c:v>
              </c:pt>
            </c:strLit>
          </c:cat>
          <c:val>
            <c:numRef>
              <c:f>('SAND Mass balance'!$E$11,'SAND Mass balance'!$I$11,'SAND Mass balance'!$M$11)</c:f>
              <c:numCache>
                <c:formatCode>0.0</c:formatCode>
                <c:ptCount val="3"/>
                <c:pt idx="0">
                  <c:v>1.3723544973544977</c:v>
                </c:pt>
                <c:pt idx="1">
                  <c:v>1.14623625954861</c:v>
                </c:pt>
                <c:pt idx="2">
                  <c:v>1.2364710006333668</c:v>
                </c:pt>
              </c:numCache>
            </c:numRef>
          </c:val>
          <c:extLst>
            <c:ext xmlns:c16="http://schemas.microsoft.com/office/drawing/2014/chart" uri="{C3380CC4-5D6E-409C-BE32-E72D297353CC}">
              <c16:uniqueId val="{00000004-BB29-45D3-BAD0-812A6D0ADB30}"/>
            </c:ext>
          </c:extLst>
        </c:ser>
        <c:dLbls>
          <c:showLegendKey val="0"/>
          <c:showVal val="0"/>
          <c:showCatName val="0"/>
          <c:showSerName val="0"/>
          <c:showPercent val="0"/>
          <c:showBubbleSize val="0"/>
        </c:dLbls>
        <c:gapWidth val="219"/>
        <c:overlap val="100"/>
        <c:axId val="567754959"/>
        <c:axId val="567765359"/>
      </c:barChart>
      <c:catAx>
        <c:axId val="56775495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Column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765359"/>
        <c:crosses val="autoZero"/>
        <c:auto val="1"/>
        <c:lblAlgn val="ctr"/>
        <c:lblOffset val="100"/>
        <c:noMultiLvlLbl val="0"/>
      </c:catAx>
      <c:valAx>
        <c:axId val="5677653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75495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each IMX compound in SAND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v>Flake</c:v>
          </c:tx>
          <c:spPr>
            <a:blipFill>
              <a:blip xmlns:r="http://schemas.openxmlformats.org/officeDocument/2006/relationships" r:embed="rId3"/>
              <a:tile tx="0" ty="0" sx="100000" sy="100000" flip="none" algn="tl"/>
            </a:blipFill>
            <a:ln>
              <a:noFill/>
            </a:ln>
            <a:effectLst/>
          </c:spPr>
          <c:invertIfNegative val="0"/>
          <c:cat>
            <c:strLit>
              <c:ptCount val="3"/>
              <c:pt idx="0">
                <c:v>NTO</c:v>
              </c:pt>
              <c:pt idx="1">
                <c:v> DNAN</c:v>
              </c:pt>
              <c:pt idx="2">
                <c:v> RDX</c:v>
              </c:pt>
            </c:strLit>
          </c:cat>
          <c:val>
            <c:numRef>
              <c:f>'SAND Mass balance'!$N$9:$P$9</c:f>
              <c:numCache>
                <c:formatCode>0</c:formatCode>
                <c:ptCount val="3"/>
                <c:pt idx="0">
                  <c:v>42.056688983836814</c:v>
                </c:pt>
                <c:pt idx="1">
                  <c:v>88.06675710772636</c:v>
                </c:pt>
                <c:pt idx="2">
                  <c:v>85.953665698171861</c:v>
                </c:pt>
              </c:numCache>
            </c:numRef>
          </c:val>
          <c:extLst>
            <c:ext xmlns:c16="http://schemas.microsoft.com/office/drawing/2014/chart" uri="{C3380CC4-5D6E-409C-BE32-E72D297353CC}">
              <c16:uniqueId val="{00000000-268F-4C85-97B7-E7D5330F827A}"/>
            </c:ext>
          </c:extLst>
        </c:ser>
        <c:ser>
          <c:idx val="0"/>
          <c:order val="1"/>
          <c:tx>
            <c:v>Leachate</c:v>
          </c:tx>
          <c:spPr>
            <a:blipFill>
              <a:blip xmlns:r="http://schemas.openxmlformats.org/officeDocument/2006/relationships" r:embed="rId4"/>
              <a:tile tx="0" ty="0" sx="100000" sy="100000" flip="none" algn="tl"/>
            </a:blipFill>
            <a:ln>
              <a:noFill/>
            </a:ln>
            <a:effectLst/>
          </c:spPr>
          <c:invertIfNegative val="0"/>
          <c:cat>
            <c:strLit>
              <c:ptCount val="3"/>
              <c:pt idx="0">
                <c:v>NTO</c:v>
              </c:pt>
              <c:pt idx="1">
                <c:v> DNAN</c:v>
              </c:pt>
              <c:pt idx="2">
                <c:v> RDX</c:v>
              </c:pt>
            </c:strLit>
          </c:cat>
          <c:val>
            <c:numRef>
              <c:f>('SAND Mass balance'!$N$7,'SAND Mass balance'!$O$7,'SAND Mass balance'!$P$7)</c:f>
              <c:numCache>
                <c:formatCode>0</c:formatCode>
                <c:ptCount val="3"/>
                <c:pt idx="0">
                  <c:v>57.943311016163186</c:v>
                </c:pt>
                <c:pt idx="1">
                  <c:v>8.8630168963944573</c:v>
                </c:pt>
                <c:pt idx="2">
                  <c:v>8.0614440516211037</c:v>
                </c:pt>
              </c:numCache>
            </c:numRef>
          </c:val>
          <c:extLst>
            <c:ext xmlns:c16="http://schemas.microsoft.com/office/drawing/2014/chart" uri="{C3380CC4-5D6E-409C-BE32-E72D297353CC}">
              <c16:uniqueId val="{00000001-268F-4C85-97B7-E7D5330F827A}"/>
            </c:ext>
          </c:extLst>
        </c:ser>
        <c:ser>
          <c:idx val="2"/>
          <c:order val="2"/>
          <c:tx>
            <c:v>Soil</c:v>
          </c:tx>
          <c:spPr>
            <a:blipFill>
              <a:blip xmlns:r="http://schemas.openxmlformats.org/officeDocument/2006/relationships" r:embed="rId5"/>
              <a:tile tx="0" ty="0" sx="100000" sy="100000" flip="none" algn="tl"/>
            </a:blipFill>
            <a:ln>
              <a:noFill/>
            </a:ln>
            <a:effectLst/>
          </c:spPr>
          <c:invertIfNegative val="0"/>
          <c:cat>
            <c:strLit>
              <c:ptCount val="3"/>
              <c:pt idx="0">
                <c:v>NTO</c:v>
              </c:pt>
              <c:pt idx="1">
                <c:v> DNAN</c:v>
              </c:pt>
              <c:pt idx="2">
                <c:v> RDX</c:v>
              </c:pt>
            </c:strLit>
          </c:cat>
          <c:val>
            <c:numRef>
              <c:f>'SAND Mass balance'!$N$11:$P$11</c:f>
              <c:numCache>
                <c:formatCode>0</c:formatCode>
                <c:ptCount val="3"/>
                <c:pt idx="0">
                  <c:v>0</c:v>
                </c:pt>
                <c:pt idx="1">
                  <c:v>3.5296446359352829</c:v>
                </c:pt>
                <c:pt idx="2">
                  <c:v>1.5084027310682007</c:v>
                </c:pt>
              </c:numCache>
            </c:numRef>
          </c:val>
          <c:extLst>
            <c:ext xmlns:c16="http://schemas.microsoft.com/office/drawing/2014/chart" uri="{C3380CC4-5D6E-409C-BE32-E72D297353CC}">
              <c16:uniqueId val="{00000002-268F-4C85-97B7-E7D5330F827A}"/>
            </c:ext>
          </c:extLst>
        </c:ser>
        <c:dLbls>
          <c:showLegendKey val="0"/>
          <c:showVal val="0"/>
          <c:showCatName val="0"/>
          <c:showSerName val="0"/>
          <c:showPercent val="0"/>
          <c:showBubbleSize val="0"/>
        </c:dLbls>
        <c:gapWidth val="150"/>
        <c:overlap val="100"/>
        <c:axId val="677534831"/>
        <c:axId val="677541487"/>
      </c:barChart>
      <c:catAx>
        <c:axId val="677534831"/>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541487"/>
        <c:crosses val="autoZero"/>
        <c:auto val="1"/>
        <c:lblAlgn val="ctr"/>
        <c:lblOffset val="100"/>
        <c:noMultiLvlLbl val="0"/>
      </c:catAx>
      <c:valAx>
        <c:axId val="677541487"/>
        <c:scaling>
          <c:orientation val="minMax"/>
        </c:scaling>
        <c:delete val="0"/>
        <c:axPos val="l"/>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5348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11</xdr:col>
      <xdr:colOff>358140</xdr:colOff>
      <xdr:row>8</xdr:row>
      <xdr:rowOff>87630</xdr:rowOff>
    </xdr:from>
    <xdr:to>
      <xdr:col>19</xdr:col>
      <xdr:colOff>53340</xdr:colOff>
      <xdr:row>23</xdr:row>
      <xdr:rowOff>87630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205740</xdr:colOff>
      <xdr:row>16</xdr:row>
      <xdr:rowOff>0</xdr:rowOff>
    </xdr:from>
    <xdr:to>
      <xdr:col>8</xdr:col>
      <xdr:colOff>502920</xdr:colOff>
      <xdr:row>18</xdr:row>
      <xdr:rowOff>114300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05740" y="2926080"/>
          <a:ext cx="5257800" cy="480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 There is a peak at 1.076 min, ut</a:t>
          </a:r>
          <a:r>
            <a:rPr lang="en-GB" sz="1100" baseline="0"/>
            <a:t> it is very weak and the spectrum does not match the NTO one. --&gt; Will thinks it could be ATO</a:t>
          </a: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144780</xdr:colOff>
      <xdr:row>16</xdr:row>
      <xdr:rowOff>106680</xdr:rowOff>
    </xdr:from>
    <xdr:to>
      <xdr:col>8</xdr:col>
      <xdr:colOff>358140</xdr:colOff>
      <xdr:row>19</xdr:row>
      <xdr:rowOff>7620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44780" y="3032760"/>
          <a:ext cx="5257800" cy="449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 There is a peak at 1.076 min, ut</a:t>
          </a:r>
          <a:r>
            <a:rPr lang="en-GB" sz="1100" baseline="0"/>
            <a:t> it is very weak and the spectrum does not match the NTO one. --&gt; Will thinks it could be ATO</a:t>
          </a:r>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182880</xdr:colOff>
      <xdr:row>15</xdr:row>
      <xdr:rowOff>121920</xdr:rowOff>
    </xdr:from>
    <xdr:to>
      <xdr:col>8</xdr:col>
      <xdr:colOff>441960</xdr:colOff>
      <xdr:row>18</xdr:row>
      <xdr:rowOff>91440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82880" y="2865120"/>
          <a:ext cx="5257800" cy="518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 There is a peak at 1.076 min, ut</a:t>
          </a:r>
          <a:r>
            <a:rPr lang="en-GB" sz="1100" baseline="0"/>
            <a:t> it is very weak and the spectrum does not match the NTO one. --&gt; Will thinks it could be ATO</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365760</xdr:colOff>
      <xdr:row>0</xdr:row>
      <xdr:rowOff>167640</xdr:rowOff>
    </xdr:from>
    <xdr:to>
      <xdr:col>13</xdr:col>
      <xdr:colOff>236220</xdr:colOff>
      <xdr:row>14</xdr:row>
      <xdr:rowOff>129540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457199</xdr:colOff>
      <xdr:row>1</xdr:row>
      <xdr:rowOff>45720</xdr:rowOff>
    </xdr:from>
    <xdr:to>
      <xdr:col>20</xdr:col>
      <xdr:colOff>31397</xdr:colOff>
      <xdr:row>10</xdr:row>
      <xdr:rowOff>137159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2"/>
        <a:srcRect l="36952" t="45393" r="41914" b="41030"/>
        <a:stretch/>
      </xdr:blipFill>
      <xdr:spPr>
        <a:xfrm>
          <a:off x="8381999" y="228600"/>
          <a:ext cx="3841398" cy="1737359"/>
        </a:xfrm>
        <a:prstGeom prst="rect">
          <a:avLst/>
        </a:prstGeom>
      </xdr:spPr>
    </xdr:pic>
    <xdr:clientData/>
  </xdr:twoCellAnchor>
  <xdr:twoCellAnchor>
    <xdr:from>
      <xdr:col>0</xdr:col>
      <xdr:colOff>68580</xdr:colOff>
      <xdr:row>16</xdr:row>
      <xdr:rowOff>38100</xdr:rowOff>
    </xdr:from>
    <xdr:to>
      <xdr:col>13</xdr:col>
      <xdr:colOff>541020</xdr:colOff>
      <xdr:row>23</xdr:row>
      <xdr:rowOff>121920</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68580" y="2964180"/>
          <a:ext cx="8397240" cy="1363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baseline="0"/>
            <a:t>Conclusions:</a:t>
          </a:r>
        </a:p>
        <a:p>
          <a:r>
            <a:rPr lang="en-GB" sz="1100" baseline="0"/>
            <a:t>- DNAN was found in every level of the colum, in similar concentrations. RDX was found only on the top level and NTO is completely gone. Instead, small peaks of ATO were detected, although not possible to quantify them. </a:t>
          </a:r>
        </a:p>
        <a:p>
          <a:r>
            <a:rPr lang="en-GB" sz="1100" baseline="0"/>
            <a:t>- Comparison to Pricilla's results (indoor columns): </a:t>
          </a:r>
        </a:p>
        <a:p>
          <a:r>
            <a:rPr lang="en-GB" sz="1100" baseline="0"/>
            <a:t>* RDX was not found at all, whereas I found it on the bottom --&gt; different mass or added to the column. </a:t>
          </a:r>
        </a:p>
        <a:p>
          <a:r>
            <a:rPr lang="en-GB" sz="1100" baseline="0"/>
            <a:t>* NTO was detected on the top, whereas I couldn't see it. istead, I have detect ATO. Pricilla doesn't mention anything about this compound. </a:t>
          </a:r>
        </a:p>
        <a:p>
          <a:r>
            <a:rPr lang="en-GB" sz="1100" baseline="0"/>
            <a:t>* DNAN was detected in two sections, although it was higher at the top level. In my columns, it was detected in every section and almost evenly.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106680</xdr:colOff>
      <xdr:row>13</xdr:row>
      <xdr:rowOff>87630</xdr:rowOff>
    </xdr:from>
    <xdr:to>
      <xdr:col>6</xdr:col>
      <xdr:colOff>426720</xdr:colOff>
      <xdr:row>28</xdr:row>
      <xdr:rowOff>87630</xdr:rowOff>
    </xdr:to>
    <xdr:graphicFrame macro="">
      <xdr:nvGraphicFramePr>
        <xdr:cNvPr id="2" name="Chart 1">
          <a:extLst>
            <a:ext uri="{FF2B5EF4-FFF2-40B4-BE49-F238E27FC236}">
              <a16:creationId xmlns:a16="http://schemas.microsoft.com/office/drawing/2014/main" id="{23FDD4EA-2A03-4B65-A4E3-F469E7EA3B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457200</xdr:colOff>
      <xdr:row>13</xdr:row>
      <xdr:rowOff>95250</xdr:rowOff>
    </xdr:from>
    <xdr:to>
      <xdr:col>14</xdr:col>
      <xdr:colOff>152400</xdr:colOff>
      <xdr:row>28</xdr:row>
      <xdr:rowOff>95250</xdr:rowOff>
    </xdr:to>
    <xdr:graphicFrame macro="">
      <xdr:nvGraphicFramePr>
        <xdr:cNvPr id="3" name="Chart 2">
          <a:extLst>
            <a:ext uri="{FF2B5EF4-FFF2-40B4-BE49-F238E27FC236}">
              <a16:creationId xmlns:a16="http://schemas.microsoft.com/office/drawing/2014/main" id="{47B245D6-1393-452F-8D6C-FFD604862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182880</xdr:colOff>
      <xdr:row>13</xdr:row>
      <xdr:rowOff>22860</xdr:rowOff>
    </xdr:from>
    <xdr:to>
      <xdr:col>21</xdr:col>
      <xdr:colOff>533400</xdr:colOff>
      <xdr:row>28</xdr:row>
      <xdr:rowOff>114300</xdr:rowOff>
    </xdr:to>
    <xdr:sp macro="" textlink="">
      <xdr:nvSpPr>
        <xdr:cNvPr id="4" name="TextBox 3">
          <a:extLst>
            <a:ext uri="{FF2B5EF4-FFF2-40B4-BE49-F238E27FC236}">
              <a16:creationId xmlns:a16="http://schemas.microsoft.com/office/drawing/2014/main" id="{63FB4DD6-F91B-4F7B-8F09-79671FCA5287}"/>
            </a:ext>
          </a:extLst>
        </xdr:cNvPr>
        <xdr:cNvSpPr txBox="1"/>
      </xdr:nvSpPr>
      <xdr:spPr>
        <a:xfrm>
          <a:off x="9921240" y="2446020"/>
          <a:ext cx="4008120" cy="2834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Conclusions:</a:t>
          </a:r>
        </a:p>
        <a:p>
          <a:r>
            <a:rPr lang="en-GB" sz="1100"/>
            <a:t>- Mass balance --&gt; total</a:t>
          </a:r>
          <a:r>
            <a:rPr lang="en-GB" sz="1100" baseline="0"/>
            <a:t> percentage over 100% --&gt; error in the measure equipment: scale and HPLC. Overall, insignificant variability over the triplicates  </a:t>
          </a:r>
        </a:p>
        <a:p>
          <a:r>
            <a:rPr lang="en-GB" sz="1100" baseline="0"/>
            <a:t>- Most of NTO came out with the leachate, some reamined in the flake and none was found in the soil, suggesting few inmobilization and potential degradation into ATO (detected by HPLC)</a:t>
          </a:r>
        </a:p>
        <a:p>
          <a:r>
            <a:rPr lang="en-GB" sz="1100" baseline="0"/>
            <a:t>- Most of DNAN remained in the flake, only 10% got dissolved and some was found in the soil. No evidence of degradation prodcutos was spotted in the HPLC --&gt; no degradation prodcuts under this conditions (maybe need more than 3 weeks?)</a:t>
          </a:r>
        </a:p>
        <a:p>
          <a:r>
            <a:rPr lang="en-GB" sz="1100" baseline="0"/>
            <a:t>- RDX had similar behaviour to DNAN --&gt; low percentage in the flake and slow dissolution rate might be the reasonf why no degradation prodcuts were observed. </a:t>
          </a: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oil%20column%20mass%20bal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M mass balance"/>
      <sheetName val="SAND Mass balance"/>
    </sheetNames>
    <sheetDataSet>
      <sheetData sheetId="0"/>
      <sheetData sheetId="1">
        <row r="7">
          <cell r="E7">
            <v>33.861728653470195</v>
          </cell>
          <cell r="I7">
            <v>35.229336060136333</v>
          </cell>
          <cell r="M7">
            <v>28.084344114086743</v>
          </cell>
          <cell r="N7">
            <v>57.943311016163186</v>
          </cell>
          <cell r="O7">
            <v>8.8630168963944573</v>
          </cell>
          <cell r="P7">
            <v>8.0614440516211037</v>
          </cell>
        </row>
        <row r="9">
          <cell r="E9">
            <v>70.667989417989418</v>
          </cell>
          <cell r="I9">
            <v>70.214521452145206</v>
          </cell>
          <cell r="M9">
            <v>74.308300395256907</v>
          </cell>
          <cell r="N9">
            <v>42.056688983836814</v>
          </cell>
          <cell r="O9">
            <v>88.06675710772636</v>
          </cell>
          <cell r="P9">
            <v>85.953665698171861</v>
          </cell>
        </row>
        <row r="11">
          <cell r="E11">
            <v>1.3723544973544977</v>
          </cell>
          <cell r="I11">
            <v>1.14623625954861</v>
          </cell>
          <cell r="M11">
            <v>1.2364710006333668</v>
          </cell>
          <cell r="N11">
            <v>0</v>
          </cell>
          <cell r="O11">
            <v>3.5296446359352829</v>
          </cell>
          <cell r="P11">
            <v>1.5084027310682007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G28"/>
  <sheetViews>
    <sheetView workbookViewId="0">
      <selection activeCell="A5" sqref="A5:A8"/>
    </sheetView>
  </sheetViews>
  <sheetFormatPr defaultRowHeight="14.4" x14ac:dyDescent="0.3"/>
  <cols>
    <col min="1" max="1" width="11.109375" customWidth="1"/>
    <col min="2" max="2" width="9.77734375" customWidth="1"/>
    <col min="3" max="3" width="10.77734375" customWidth="1"/>
    <col min="5" max="5" width="10.5546875" bestFit="1" customWidth="1"/>
  </cols>
  <sheetData>
    <row r="3" spans="1:7" x14ac:dyDescent="0.3">
      <c r="B3" s="87">
        <v>44306</v>
      </c>
      <c r="C3" s="88"/>
      <c r="D3" s="88"/>
      <c r="E3" s="9">
        <v>44312</v>
      </c>
    </row>
    <row r="4" spans="1:7" x14ac:dyDescent="0.3">
      <c r="A4" t="s">
        <v>8</v>
      </c>
      <c r="B4" t="s">
        <v>5</v>
      </c>
      <c r="C4" t="s">
        <v>6</v>
      </c>
      <c r="D4" t="s">
        <v>7</v>
      </c>
      <c r="E4" t="s">
        <v>13</v>
      </c>
      <c r="G4" t="s">
        <v>22</v>
      </c>
    </row>
    <row r="5" spans="1:7" x14ac:dyDescent="0.3">
      <c r="A5" s="4" t="s">
        <v>1</v>
      </c>
      <c r="B5" s="5">
        <v>1030</v>
      </c>
      <c r="C5" s="5">
        <v>366</v>
      </c>
      <c r="D5" s="5">
        <f>B5-C5</f>
        <v>664</v>
      </c>
      <c r="E5">
        <v>973</v>
      </c>
      <c r="F5">
        <f>E5-C5</f>
        <v>607</v>
      </c>
      <c r="G5" s="16">
        <f>(1 -(F5/D5))*100</f>
        <v>8.5843373493975861</v>
      </c>
    </row>
    <row r="6" spans="1:7" x14ac:dyDescent="0.3">
      <c r="A6" s="3" t="s">
        <v>2</v>
      </c>
      <c r="B6" s="5">
        <v>1070</v>
      </c>
      <c r="C6" s="5">
        <v>356</v>
      </c>
      <c r="D6" s="6">
        <f t="shared" ref="D6:D8" si="0">B6-C6</f>
        <v>714</v>
      </c>
      <c r="E6">
        <v>996</v>
      </c>
      <c r="F6">
        <f t="shared" ref="F6:F8" si="1">E6-C6</f>
        <v>640</v>
      </c>
      <c r="G6" s="16">
        <f>(1 -(F6/D6))*100</f>
        <v>10.364145658263302</v>
      </c>
    </row>
    <row r="7" spans="1:7" x14ac:dyDescent="0.3">
      <c r="A7" s="1" t="s">
        <v>3</v>
      </c>
      <c r="B7" s="5">
        <v>1052</v>
      </c>
      <c r="C7" s="5">
        <v>362</v>
      </c>
      <c r="D7" s="6">
        <f t="shared" si="0"/>
        <v>690</v>
      </c>
      <c r="E7">
        <v>949</v>
      </c>
      <c r="F7">
        <f t="shared" si="1"/>
        <v>587</v>
      </c>
      <c r="G7" s="16">
        <f>(1 -(F7/D7))*100</f>
        <v>14.927536231884053</v>
      </c>
    </row>
    <row r="8" spans="1:7" x14ac:dyDescent="0.3">
      <c r="A8" s="2" t="s">
        <v>4</v>
      </c>
      <c r="B8" s="5">
        <v>1087</v>
      </c>
      <c r="C8" s="5">
        <v>358</v>
      </c>
      <c r="D8" s="6">
        <f t="shared" si="0"/>
        <v>729</v>
      </c>
      <c r="E8">
        <v>968</v>
      </c>
      <c r="F8">
        <f t="shared" si="1"/>
        <v>610</v>
      </c>
      <c r="G8" s="16">
        <f>(1 -(F8/D8))*100</f>
        <v>16.323731138545948</v>
      </c>
    </row>
    <row r="9" spans="1:7" x14ac:dyDescent="0.3">
      <c r="A9" t="s">
        <v>10</v>
      </c>
      <c r="D9" s="6">
        <f>SUM(D5:D8)</f>
        <v>2797</v>
      </c>
      <c r="E9" s="8"/>
      <c r="F9" s="14">
        <f t="shared" ref="F9" si="2">SUM(F5:F8)</f>
        <v>2444</v>
      </c>
    </row>
    <row r="10" spans="1:7" x14ac:dyDescent="0.3">
      <c r="A10" t="s">
        <v>12</v>
      </c>
      <c r="D10" s="14">
        <v>2469</v>
      </c>
    </row>
    <row r="12" spans="1:7" x14ac:dyDescent="0.3">
      <c r="B12" s="87">
        <v>44305</v>
      </c>
      <c r="C12" s="88"/>
      <c r="D12" s="88"/>
    </row>
    <row r="13" spans="1:7" x14ac:dyDescent="0.3">
      <c r="A13" t="s">
        <v>0</v>
      </c>
      <c r="B13" t="s">
        <v>5</v>
      </c>
      <c r="C13" t="s">
        <v>6</v>
      </c>
      <c r="D13" t="s">
        <v>7</v>
      </c>
    </row>
    <row r="14" spans="1:7" x14ac:dyDescent="0.3">
      <c r="A14" s="4" t="s">
        <v>1</v>
      </c>
      <c r="B14" s="5">
        <v>1007</v>
      </c>
      <c r="C14" s="5">
        <v>351</v>
      </c>
      <c r="D14" s="5">
        <f>B14-C14</f>
        <v>656</v>
      </c>
      <c r="E14">
        <v>933</v>
      </c>
      <c r="F14">
        <f>E14-C14</f>
        <v>582</v>
      </c>
      <c r="G14" s="15">
        <f>(1 -(F14/D14))*100</f>
        <v>11.280487804878048</v>
      </c>
    </row>
    <row r="15" spans="1:7" x14ac:dyDescent="0.3">
      <c r="A15" s="3" t="s">
        <v>2</v>
      </c>
      <c r="B15" s="5">
        <v>1102</v>
      </c>
      <c r="C15" s="5">
        <v>348</v>
      </c>
      <c r="D15" s="5">
        <f t="shared" ref="D15:D17" si="3">B15-C15</f>
        <v>754</v>
      </c>
      <c r="E15">
        <v>974</v>
      </c>
      <c r="F15">
        <f t="shared" ref="F15:F17" si="4">E15-C15</f>
        <v>626</v>
      </c>
      <c r="G15" s="15">
        <f t="shared" ref="G15:G17" si="5">(1 -(F15/D15))*100</f>
        <v>16.976127320954902</v>
      </c>
    </row>
    <row r="16" spans="1:7" x14ac:dyDescent="0.3">
      <c r="A16" s="1" t="s">
        <v>3</v>
      </c>
      <c r="B16" s="5">
        <v>1099</v>
      </c>
      <c r="C16" s="5">
        <v>352</v>
      </c>
      <c r="D16" s="5">
        <f t="shared" si="3"/>
        <v>747</v>
      </c>
      <c r="E16">
        <v>956</v>
      </c>
      <c r="F16">
        <f t="shared" si="4"/>
        <v>604</v>
      </c>
      <c r="G16" s="15">
        <f t="shared" si="5"/>
        <v>19.14323962516734</v>
      </c>
    </row>
    <row r="17" spans="1:7" x14ac:dyDescent="0.3">
      <c r="A17" s="2" t="s">
        <v>4</v>
      </c>
      <c r="B17" s="5">
        <v>1030</v>
      </c>
      <c r="C17" s="5">
        <v>343</v>
      </c>
      <c r="D17" s="5">
        <f t="shared" si="3"/>
        <v>687</v>
      </c>
      <c r="E17">
        <v>915</v>
      </c>
      <c r="F17">
        <f t="shared" si="4"/>
        <v>572</v>
      </c>
      <c r="G17" s="15">
        <f t="shared" si="5"/>
        <v>16.739446870451236</v>
      </c>
    </row>
    <row r="18" spans="1:7" x14ac:dyDescent="0.3">
      <c r="A18" t="s">
        <v>10</v>
      </c>
      <c r="D18" s="5">
        <f>SUM(D14:D17)</f>
        <v>2844</v>
      </c>
      <c r="E18" s="8"/>
      <c r="F18" s="17">
        <f t="shared" ref="F18" si="6">SUM(F14:F17)</f>
        <v>2384</v>
      </c>
    </row>
    <row r="19" spans="1:7" x14ac:dyDescent="0.3">
      <c r="A19" t="s">
        <v>11</v>
      </c>
      <c r="D19" s="14">
        <v>2395</v>
      </c>
    </row>
    <row r="21" spans="1:7" x14ac:dyDescent="0.3">
      <c r="B21" s="87">
        <v>44306</v>
      </c>
      <c r="C21" s="87"/>
      <c r="D21" s="87"/>
    </row>
    <row r="22" spans="1:7" x14ac:dyDescent="0.3">
      <c r="A22" t="s">
        <v>9</v>
      </c>
      <c r="B22" t="s">
        <v>5</v>
      </c>
      <c r="C22" t="s">
        <v>6</v>
      </c>
      <c r="D22" t="s">
        <v>7</v>
      </c>
    </row>
    <row r="23" spans="1:7" x14ac:dyDescent="0.3">
      <c r="A23" s="4" t="s">
        <v>1</v>
      </c>
      <c r="B23" s="5">
        <v>976</v>
      </c>
      <c r="C23" s="5">
        <v>358</v>
      </c>
      <c r="D23" s="5">
        <f>B23-C23</f>
        <v>618</v>
      </c>
      <c r="E23">
        <v>896</v>
      </c>
      <c r="F23">
        <f>E23-C23</f>
        <v>538</v>
      </c>
      <c r="G23" s="15">
        <f t="shared" ref="G23:G26" si="7">(1 -(F23/D23))*100</f>
        <v>12.944983818770229</v>
      </c>
    </row>
    <row r="24" spans="1:7" x14ac:dyDescent="0.3">
      <c r="A24" s="3" t="s">
        <v>2</v>
      </c>
      <c r="B24" s="5">
        <v>1038</v>
      </c>
      <c r="C24" s="5">
        <v>368</v>
      </c>
      <c r="D24" s="6">
        <f t="shared" ref="D24:D26" si="8">B24-C24</f>
        <v>670</v>
      </c>
      <c r="E24">
        <v>936</v>
      </c>
      <c r="F24">
        <f t="shared" ref="F24:F26" si="9">E24-C24</f>
        <v>568</v>
      </c>
      <c r="G24" s="15">
        <f t="shared" si="7"/>
        <v>15.223880597014928</v>
      </c>
    </row>
    <row r="25" spans="1:7" x14ac:dyDescent="0.3">
      <c r="A25" s="1" t="s">
        <v>3</v>
      </c>
      <c r="B25" s="5">
        <v>1146</v>
      </c>
      <c r="C25" s="5">
        <v>361</v>
      </c>
      <c r="D25" s="6">
        <f t="shared" si="8"/>
        <v>785</v>
      </c>
      <c r="E25">
        <v>1003</v>
      </c>
      <c r="F25">
        <f t="shared" si="9"/>
        <v>642</v>
      </c>
      <c r="G25" s="15">
        <f t="shared" si="7"/>
        <v>18.216560509554135</v>
      </c>
    </row>
    <row r="26" spans="1:7" x14ac:dyDescent="0.3">
      <c r="A26" s="2" t="s">
        <v>4</v>
      </c>
      <c r="B26" s="5">
        <v>1096</v>
      </c>
      <c r="C26" s="5">
        <v>371</v>
      </c>
      <c r="D26" s="6">
        <f t="shared" si="8"/>
        <v>725</v>
      </c>
      <c r="E26">
        <v>965</v>
      </c>
      <c r="F26">
        <f t="shared" si="9"/>
        <v>594</v>
      </c>
      <c r="G26" s="15">
        <f t="shared" si="7"/>
        <v>18.068965517241374</v>
      </c>
    </row>
    <row r="27" spans="1:7" x14ac:dyDescent="0.3">
      <c r="A27" t="s">
        <v>10</v>
      </c>
      <c r="D27" s="6">
        <f>SUM(D23:D26)</f>
        <v>2798</v>
      </c>
      <c r="F27" s="18">
        <f>SUM(F23:F26)</f>
        <v>2342</v>
      </c>
      <c r="G27" s="15"/>
    </row>
    <row r="28" spans="1:7" x14ac:dyDescent="0.3">
      <c r="A28" t="s">
        <v>12</v>
      </c>
      <c r="D28" s="14">
        <v>2336</v>
      </c>
    </row>
  </sheetData>
  <mergeCells count="3">
    <mergeCell ref="B12:D12"/>
    <mergeCell ref="B3:D3"/>
    <mergeCell ref="B21:D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9"/>
  <sheetViews>
    <sheetView workbookViewId="0">
      <selection sqref="A1:Q19"/>
    </sheetView>
  </sheetViews>
  <sheetFormatPr defaultRowHeight="14.4" x14ac:dyDescent="0.3"/>
  <cols>
    <col min="3" max="3" width="9.77734375" customWidth="1"/>
    <col min="4" max="4" width="9.5546875" customWidth="1"/>
    <col min="5" max="5" width="10.77734375" customWidth="1"/>
    <col min="7" max="7" width="10.5546875" customWidth="1"/>
    <col min="9" max="9" width="10.109375" customWidth="1"/>
  </cols>
  <sheetData>
    <row r="1" spans="1:17" x14ac:dyDescent="0.3">
      <c r="A1" s="18" t="s">
        <v>23</v>
      </c>
      <c r="B1" s="18"/>
      <c r="L1" t="s">
        <v>9</v>
      </c>
      <c r="O1" s="25" t="s">
        <v>35</v>
      </c>
      <c r="P1" s="26"/>
      <c r="Q1" s="27"/>
    </row>
    <row r="2" spans="1:17" x14ac:dyDescent="0.3">
      <c r="L2" t="s">
        <v>19</v>
      </c>
      <c r="O2" s="28"/>
      <c r="P2" s="29"/>
      <c r="Q2" s="30"/>
    </row>
    <row r="3" spans="1:17" x14ac:dyDescent="0.3">
      <c r="A3" s="91" t="s">
        <v>24</v>
      </c>
      <c r="B3" s="92"/>
      <c r="K3" t="s">
        <v>33</v>
      </c>
      <c r="L3" s="23">
        <f>SLOPE(F10:F13,E10:E13)</f>
        <v>12112.85029100381</v>
      </c>
      <c r="M3" s="23">
        <f>SLOPE(H10:H13,G10:G13)</f>
        <v>21287.356930902926</v>
      </c>
      <c r="N3" s="23">
        <f>SLOPE(J10:J13,I10:I13)</f>
        <v>18202.110121991427</v>
      </c>
      <c r="O3" s="31">
        <f>SLOPE(F16:F19,E16:E19)</f>
        <v>11649.275756436607</v>
      </c>
      <c r="P3" s="31">
        <f>SLOPE(H16:H19,G16:G19)</f>
        <v>20774.030309453159</v>
      </c>
      <c r="Q3" s="31">
        <f>SLOPE(J16:J19,I16:I19)</f>
        <v>14001.177523432716</v>
      </c>
    </row>
    <row r="4" spans="1:17" x14ac:dyDescent="0.3">
      <c r="A4" s="28"/>
      <c r="B4" s="30"/>
      <c r="K4" t="s">
        <v>34</v>
      </c>
      <c r="L4" s="23">
        <f>INTERCEPT(F10:F13,E10:E13)</f>
        <v>-11549.32142857142</v>
      </c>
      <c r="M4" s="23">
        <f>INTERCEPT(H10:H13,G10:G13)</f>
        <v>-11234.21428571429</v>
      </c>
      <c r="N4" s="23">
        <f>INTERCEPT(J10:J13,I10:I13)</f>
        <v>-4412</v>
      </c>
      <c r="O4" s="23">
        <f>INTERCEPT(F16:F19,E16:E19)</f>
        <v>-1440.7999999999738</v>
      </c>
      <c r="P4" s="23">
        <f>INTERCEPT(H16:H19,G16:G19)</f>
        <v>-2173</v>
      </c>
      <c r="Q4" s="23">
        <f>INTERCEPT(J16:J19,I16:I19)</f>
        <v>3754.9285714285725</v>
      </c>
    </row>
    <row r="5" spans="1:17" x14ac:dyDescent="0.3">
      <c r="A5" s="28" t="s">
        <v>25</v>
      </c>
      <c r="B5" s="30">
        <v>101.1</v>
      </c>
    </row>
    <row r="6" spans="1:17" x14ac:dyDescent="0.3">
      <c r="A6" s="28" t="s">
        <v>26</v>
      </c>
      <c r="B6" s="30">
        <v>0.5</v>
      </c>
    </row>
    <row r="7" spans="1:17" x14ac:dyDescent="0.3">
      <c r="A7" s="32" t="s">
        <v>27</v>
      </c>
      <c r="B7" s="33">
        <v>202.2</v>
      </c>
      <c r="E7" t="s">
        <v>9</v>
      </c>
    </row>
    <row r="8" spans="1:17" x14ac:dyDescent="0.3">
      <c r="D8" t="s">
        <v>10</v>
      </c>
      <c r="E8" s="89" t="s">
        <v>19</v>
      </c>
      <c r="F8" s="90"/>
      <c r="G8" s="89" t="s">
        <v>20</v>
      </c>
      <c r="H8" s="90"/>
      <c r="I8" s="89" t="s">
        <v>21</v>
      </c>
      <c r="J8" s="90"/>
    </row>
    <row r="9" spans="1:17" x14ac:dyDescent="0.3">
      <c r="A9" t="s">
        <v>28</v>
      </c>
      <c r="B9" t="s">
        <v>29</v>
      </c>
      <c r="C9" t="s">
        <v>30</v>
      </c>
      <c r="D9" t="s">
        <v>27</v>
      </c>
      <c r="E9" t="s">
        <v>27</v>
      </c>
      <c r="F9" t="s">
        <v>31</v>
      </c>
      <c r="G9" t="s">
        <v>27</v>
      </c>
      <c r="H9" t="s">
        <v>31</v>
      </c>
      <c r="I9" t="s">
        <v>27</v>
      </c>
      <c r="J9" t="s">
        <v>31</v>
      </c>
    </row>
    <row r="10" spans="1:17" x14ac:dyDescent="0.3">
      <c r="A10" t="s">
        <v>32</v>
      </c>
      <c r="B10">
        <v>0</v>
      </c>
      <c r="C10">
        <v>10</v>
      </c>
      <c r="D10" s="23">
        <f t="shared" ref="D10:D12" si="0">$B$7*B10/C10</f>
        <v>0</v>
      </c>
      <c r="E10" s="35">
        <f t="shared" ref="E10:E12" si="1">D10*0.53</f>
        <v>0</v>
      </c>
      <c r="F10">
        <v>0</v>
      </c>
      <c r="G10" s="23">
        <f>D10*0.32</f>
        <v>0</v>
      </c>
      <c r="H10">
        <v>0</v>
      </c>
      <c r="I10" s="23">
        <f>D10*0.15</f>
        <v>0</v>
      </c>
      <c r="J10">
        <v>0</v>
      </c>
    </row>
    <row r="11" spans="1:17" x14ac:dyDescent="0.3">
      <c r="A11">
        <v>1</v>
      </c>
      <c r="B11">
        <v>0.5</v>
      </c>
      <c r="C11">
        <v>10</v>
      </c>
      <c r="D11" s="23">
        <f t="shared" si="0"/>
        <v>10.11</v>
      </c>
      <c r="E11" s="35">
        <f t="shared" si="1"/>
        <v>5.3582999999999998</v>
      </c>
      <c r="F11">
        <v>36406</v>
      </c>
      <c r="G11" s="23">
        <f t="shared" ref="G11:G13" si="2">D11*0.32</f>
        <v>3.2351999999999999</v>
      </c>
      <c r="H11">
        <v>40056</v>
      </c>
      <c r="I11" s="23">
        <f t="shared" ref="I11:I13" si="3">D11*0.15</f>
        <v>1.5165</v>
      </c>
      <c r="J11">
        <v>15938</v>
      </c>
    </row>
    <row r="12" spans="1:17" x14ac:dyDescent="0.3">
      <c r="A12">
        <v>2</v>
      </c>
      <c r="B12">
        <v>1</v>
      </c>
      <c r="C12">
        <v>10</v>
      </c>
      <c r="D12" s="23">
        <f t="shared" si="0"/>
        <v>20.22</v>
      </c>
      <c r="E12" s="35">
        <f t="shared" si="1"/>
        <v>10.7166</v>
      </c>
      <c r="F12">
        <v>121609</v>
      </c>
      <c r="G12" s="23">
        <f t="shared" si="2"/>
        <v>6.4703999999999997</v>
      </c>
      <c r="H12">
        <v>131218</v>
      </c>
      <c r="I12" s="23">
        <f t="shared" si="3"/>
        <v>3.0329999999999999</v>
      </c>
      <c r="J12">
        <v>53113</v>
      </c>
    </row>
    <row r="13" spans="1:17" x14ac:dyDescent="0.3">
      <c r="A13">
        <v>3</v>
      </c>
      <c r="B13" s="34">
        <v>2.5</v>
      </c>
      <c r="C13">
        <v>10</v>
      </c>
      <c r="D13" s="23">
        <f>$B$7*B13/C13</f>
        <v>50.55</v>
      </c>
      <c r="E13" s="35">
        <f>D13*0.53</f>
        <v>26.791499999999999</v>
      </c>
      <c r="F13">
        <v>315022</v>
      </c>
      <c r="G13" s="23">
        <f t="shared" si="2"/>
        <v>16.175999999999998</v>
      </c>
      <c r="H13">
        <v>334740</v>
      </c>
      <c r="I13" s="23">
        <f t="shared" si="3"/>
        <v>7.5824999999999996</v>
      </c>
      <c r="J13">
        <v>134129</v>
      </c>
    </row>
    <row r="15" spans="1:17" x14ac:dyDescent="0.3">
      <c r="A15" t="s">
        <v>28</v>
      </c>
      <c r="B15" t="s">
        <v>29</v>
      </c>
      <c r="C15" t="s">
        <v>30</v>
      </c>
      <c r="D15" t="s">
        <v>27</v>
      </c>
      <c r="E15" t="s">
        <v>27</v>
      </c>
      <c r="F15" t="s">
        <v>31</v>
      </c>
      <c r="G15" t="s">
        <v>27</v>
      </c>
      <c r="H15" t="s">
        <v>31</v>
      </c>
      <c r="I15" t="s">
        <v>27</v>
      </c>
      <c r="J15" t="s">
        <v>31</v>
      </c>
    </row>
    <row r="16" spans="1:17" x14ac:dyDescent="0.3">
      <c r="A16" t="s">
        <v>32</v>
      </c>
      <c r="B16">
        <v>0</v>
      </c>
      <c r="C16" s="19">
        <v>10</v>
      </c>
      <c r="D16" s="23">
        <v>0</v>
      </c>
      <c r="E16" s="23">
        <v>0</v>
      </c>
      <c r="F16">
        <v>0</v>
      </c>
      <c r="G16" s="23">
        <f t="shared" ref="G16:G18" si="4">D16*0.32</f>
        <v>0</v>
      </c>
      <c r="H16">
        <v>0</v>
      </c>
      <c r="I16" s="23">
        <v>0</v>
      </c>
      <c r="J16">
        <v>0</v>
      </c>
    </row>
    <row r="17" spans="1:10" x14ac:dyDescent="0.3">
      <c r="A17">
        <v>1</v>
      </c>
      <c r="B17">
        <v>0.5</v>
      </c>
      <c r="C17" s="19">
        <v>10</v>
      </c>
      <c r="D17" s="23">
        <f>$B$7*B17/C17</f>
        <v>10.11</v>
      </c>
      <c r="E17" s="23">
        <f t="shared" ref="E17:E18" si="5">D17*0.53</f>
        <v>5.3582999999999998</v>
      </c>
      <c r="F17">
        <v>61957</v>
      </c>
      <c r="G17" s="23">
        <f t="shared" si="4"/>
        <v>3.2351999999999999</v>
      </c>
      <c r="H17">
        <v>66294</v>
      </c>
      <c r="I17" s="23">
        <v>1.5165</v>
      </c>
      <c r="J17">
        <v>26171</v>
      </c>
    </row>
    <row r="18" spans="1:10" x14ac:dyDescent="0.3">
      <c r="A18">
        <v>2</v>
      </c>
      <c r="B18">
        <v>1</v>
      </c>
      <c r="C18" s="19">
        <v>10</v>
      </c>
      <c r="D18" s="23">
        <f t="shared" ref="D18:D19" si="6">$B$7*B18/C18</f>
        <v>20.22</v>
      </c>
      <c r="E18" s="23">
        <f t="shared" si="5"/>
        <v>10.7166</v>
      </c>
      <c r="F18">
        <v>119052</v>
      </c>
      <c r="G18" s="23">
        <f t="shared" si="4"/>
        <v>6.4703999999999997</v>
      </c>
      <c r="H18">
        <v>126009</v>
      </c>
      <c r="I18" s="23">
        <v>3.0329999999999999</v>
      </c>
      <c r="J18">
        <v>50901</v>
      </c>
    </row>
    <row r="19" spans="1:10" x14ac:dyDescent="0.3">
      <c r="A19">
        <v>3</v>
      </c>
      <c r="B19" s="24">
        <v>2</v>
      </c>
      <c r="C19" s="19">
        <v>10</v>
      </c>
      <c r="D19" s="23">
        <f t="shared" si="6"/>
        <v>40.44</v>
      </c>
      <c r="E19" s="23">
        <f>D19*0.53</f>
        <v>21.433199999999999</v>
      </c>
      <c r="F19">
        <v>250170</v>
      </c>
      <c r="G19" s="23">
        <f>D19*0.32</f>
        <v>12.940799999999999</v>
      </c>
      <c r="H19">
        <v>269462</v>
      </c>
      <c r="I19" s="23">
        <v>7.5824999999999996</v>
      </c>
      <c r="J19">
        <v>107810</v>
      </c>
    </row>
  </sheetData>
  <mergeCells count="4">
    <mergeCell ref="E8:F8"/>
    <mergeCell ref="G8:H8"/>
    <mergeCell ref="I8:J8"/>
    <mergeCell ref="A3:B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5"/>
  <sheetViews>
    <sheetView workbookViewId="0">
      <selection activeCell="A20" sqref="A20:H25"/>
    </sheetView>
  </sheetViews>
  <sheetFormatPr defaultRowHeight="14.4" x14ac:dyDescent="0.3"/>
  <cols>
    <col min="1" max="1" width="7.5546875" customWidth="1"/>
    <col min="5" max="5" width="5.5546875" customWidth="1"/>
    <col min="6" max="6" width="7.5546875" customWidth="1"/>
    <col min="7" max="7" width="7.109375" customWidth="1"/>
    <col min="8" max="8" width="7.33203125" customWidth="1"/>
    <col min="9" max="9" width="7.77734375" customWidth="1"/>
    <col min="10" max="10" width="7.33203125" customWidth="1"/>
    <col min="11" max="11" width="6.21875" customWidth="1"/>
    <col min="12" max="12" width="8.109375" customWidth="1"/>
    <col min="13" max="16" width="8.21875" customWidth="1"/>
    <col min="17" max="17" width="5.88671875" customWidth="1"/>
    <col min="18" max="18" width="6.44140625" customWidth="1"/>
    <col min="19" max="19" width="6.109375" customWidth="1"/>
    <col min="20" max="20" width="5.5546875" customWidth="1"/>
    <col min="21" max="21" width="7.21875" customWidth="1"/>
    <col min="22" max="22" width="5.88671875" customWidth="1"/>
    <col min="23" max="23" width="5.5546875" customWidth="1"/>
    <col min="24" max="24" width="6.33203125" customWidth="1"/>
    <col min="25" max="25" width="6.109375" customWidth="1"/>
    <col min="26" max="26" width="5.44140625" customWidth="1"/>
    <col min="27" max="27" width="6.33203125" customWidth="1"/>
    <col min="28" max="28" width="5" customWidth="1"/>
  </cols>
  <sheetData>
    <row r="1" spans="1:28" x14ac:dyDescent="0.3">
      <c r="A1" s="13" t="s">
        <v>8</v>
      </c>
      <c r="Q1" s="88" t="s">
        <v>39</v>
      </c>
      <c r="R1" s="88"/>
      <c r="S1" s="88"/>
      <c r="T1" s="88"/>
      <c r="U1" s="88"/>
      <c r="V1" s="88"/>
      <c r="W1" s="88"/>
    </row>
    <row r="2" spans="1:28" x14ac:dyDescent="0.3">
      <c r="E2" s="94" t="s">
        <v>18</v>
      </c>
      <c r="F2" s="95"/>
      <c r="G2" s="96"/>
      <c r="H2" s="89" t="s">
        <v>27</v>
      </c>
      <c r="I2" s="93"/>
      <c r="J2" s="90"/>
      <c r="K2" s="94" t="s">
        <v>38</v>
      </c>
      <c r="L2" s="95"/>
      <c r="M2" s="96"/>
      <c r="N2" s="94" t="s">
        <v>41</v>
      </c>
      <c r="O2" s="95"/>
      <c r="P2" s="95"/>
      <c r="Q2" s="97" t="s">
        <v>36</v>
      </c>
      <c r="R2" s="98"/>
      <c r="S2" s="99"/>
      <c r="T2" s="100" t="s">
        <v>38</v>
      </c>
      <c r="U2" s="101"/>
      <c r="V2" s="102"/>
      <c r="W2" s="103" t="s">
        <v>40</v>
      </c>
      <c r="X2" s="104"/>
      <c r="Y2" s="105"/>
      <c r="Z2" s="89" t="s">
        <v>44</v>
      </c>
      <c r="AA2" s="93"/>
      <c r="AB2" s="90"/>
    </row>
    <row r="3" spans="1:28" x14ac:dyDescent="0.3">
      <c r="A3" s="10" t="s">
        <v>14</v>
      </c>
      <c r="B3" s="10" t="s">
        <v>15</v>
      </c>
      <c r="C3" t="s">
        <v>16</v>
      </c>
      <c r="D3" s="7" t="s">
        <v>17</v>
      </c>
      <c r="E3" s="42" t="s">
        <v>19</v>
      </c>
      <c r="F3" s="43" t="s">
        <v>20</v>
      </c>
      <c r="G3" s="44" t="s">
        <v>21</v>
      </c>
      <c r="H3" s="42" t="s">
        <v>19</v>
      </c>
      <c r="I3" s="43" t="s">
        <v>20</v>
      </c>
      <c r="J3" s="44" t="s">
        <v>21</v>
      </c>
      <c r="K3" s="42" t="s">
        <v>19</v>
      </c>
      <c r="L3" s="43" t="s">
        <v>20</v>
      </c>
      <c r="M3" s="44" t="s">
        <v>21</v>
      </c>
      <c r="N3" s="42" t="s">
        <v>19</v>
      </c>
      <c r="O3" s="43" t="s">
        <v>20</v>
      </c>
      <c r="P3" s="43" t="s">
        <v>21</v>
      </c>
      <c r="Q3" s="42" t="s">
        <v>19</v>
      </c>
      <c r="R3" s="43" t="s">
        <v>20</v>
      </c>
      <c r="S3" s="44" t="s">
        <v>21</v>
      </c>
      <c r="T3" s="42" t="s">
        <v>19</v>
      </c>
      <c r="U3" s="43" t="s">
        <v>20</v>
      </c>
      <c r="V3" s="44" t="s">
        <v>21</v>
      </c>
      <c r="W3" s="28"/>
      <c r="X3" s="29"/>
      <c r="Y3" s="30"/>
      <c r="Z3" s="76" t="s">
        <v>19</v>
      </c>
      <c r="AA3" s="77" t="s">
        <v>20</v>
      </c>
      <c r="AB3" s="78" t="s">
        <v>21</v>
      </c>
    </row>
    <row r="4" spans="1:28" x14ac:dyDescent="0.3">
      <c r="A4" s="10">
        <v>1</v>
      </c>
      <c r="B4" s="10">
        <v>1</v>
      </c>
      <c r="C4">
        <v>9.99</v>
      </c>
      <c r="D4" s="7">
        <v>20</v>
      </c>
      <c r="E4" s="53">
        <v>0</v>
      </c>
      <c r="F4" s="54">
        <v>9843</v>
      </c>
      <c r="G4" s="55">
        <v>0</v>
      </c>
      <c r="H4" s="31">
        <v>0</v>
      </c>
      <c r="I4" s="46">
        <f>(F4-$C$23)/$C$22</f>
        <v>0.57841448293892961</v>
      </c>
      <c r="J4" s="47">
        <v>0</v>
      </c>
      <c r="K4" s="53">
        <f>H4*D4/1000</f>
        <v>0</v>
      </c>
      <c r="L4" s="59">
        <f t="shared" ref="L4:L14" si="0">I4*D4/1000</f>
        <v>1.1568289658778593E-2</v>
      </c>
      <c r="M4" s="55">
        <f t="shared" ref="M4:M12" si="1">J4*F4/1000</f>
        <v>0</v>
      </c>
      <c r="N4" s="54">
        <f>K4*C4/$G$25</f>
        <v>0</v>
      </c>
      <c r="O4" s="65">
        <f>L4*$G$25/C4</f>
        <v>0.70637204122672081</v>
      </c>
      <c r="P4" s="66">
        <f t="shared" ref="P4:P12" si="2">M4*$G$22/C4</f>
        <v>0</v>
      </c>
      <c r="Q4" s="31">
        <f>AVERAGE(H4:H6)</f>
        <v>0</v>
      </c>
      <c r="R4" s="65">
        <f>AVERAGE(I4:I6)</f>
        <v>0.57302313622711532</v>
      </c>
      <c r="S4" s="47">
        <f>AVERAGE(J4:J6)</f>
        <v>0</v>
      </c>
      <c r="T4" s="28">
        <v>0</v>
      </c>
      <c r="U4" s="59">
        <f>AVERAGE(L4:L6)</f>
        <v>1.1460462724542307E-2</v>
      </c>
      <c r="V4" s="30">
        <f>AVERAGE(M4:M6)</f>
        <v>0</v>
      </c>
      <c r="W4" s="42">
        <f>T4*G25/10</f>
        <v>0</v>
      </c>
      <c r="X4" s="46">
        <f>U4*G25/AVERAGE(C4:C6)</f>
        <v>0.69885527443893447</v>
      </c>
      <c r="Y4" s="55">
        <f>V4*G25/10</f>
        <v>0</v>
      </c>
      <c r="Z4" s="28">
        <f>W4*1000/G25</f>
        <v>0</v>
      </c>
      <c r="AA4" s="46">
        <f>X4*1000/G25</f>
        <v>1.1456643843261221</v>
      </c>
      <c r="AB4" s="47">
        <f>Y4*1000/G25</f>
        <v>0</v>
      </c>
    </row>
    <row r="5" spans="1:28" x14ac:dyDescent="0.3">
      <c r="A5" s="10"/>
      <c r="B5" s="10">
        <v>2</v>
      </c>
      <c r="C5">
        <v>9.9700000000000006</v>
      </c>
      <c r="D5" s="7">
        <v>20</v>
      </c>
      <c r="E5" s="53">
        <v>0</v>
      </c>
      <c r="F5" s="54">
        <v>10106</v>
      </c>
      <c r="G5" s="55">
        <v>0</v>
      </c>
      <c r="H5" s="31">
        <v>0</v>
      </c>
      <c r="I5" s="46">
        <f t="shared" ref="I5:I15" si="3">(F5-$C$23)/$C$22</f>
        <v>0.59107452030685059</v>
      </c>
      <c r="J5" s="47">
        <v>0</v>
      </c>
      <c r="K5" s="53">
        <f t="shared" ref="K5:K15" si="4">H5*D5/1000</f>
        <v>0</v>
      </c>
      <c r="L5" s="59">
        <f t="shared" si="0"/>
        <v>1.1821490406137013E-2</v>
      </c>
      <c r="M5" s="55">
        <f t="shared" si="1"/>
        <v>0</v>
      </c>
      <c r="N5" s="54">
        <f t="shared" ref="N5:N9" si="5">K5*C5/$G$25</f>
        <v>0</v>
      </c>
      <c r="O5" s="65">
        <f t="shared" ref="O5:O6" si="6">L5*$G$25/C5</f>
        <v>0.72328075704549422</v>
      </c>
      <c r="P5" s="66">
        <f t="shared" si="2"/>
        <v>0</v>
      </c>
      <c r="Q5" s="31"/>
      <c r="R5" s="54"/>
      <c r="S5" s="55"/>
      <c r="T5" s="28"/>
      <c r="U5" s="59"/>
      <c r="V5" s="30"/>
      <c r="W5" s="42"/>
      <c r="X5" s="46"/>
      <c r="Y5" s="55"/>
      <c r="Z5" s="28"/>
      <c r="AA5" s="46"/>
      <c r="AB5" s="55"/>
    </row>
    <row r="6" spans="1:28" x14ac:dyDescent="0.3">
      <c r="A6" s="10"/>
      <c r="B6" s="10">
        <v>3</v>
      </c>
      <c r="C6">
        <v>10.050000000000001</v>
      </c>
      <c r="D6" s="7">
        <v>20</v>
      </c>
      <c r="E6" s="53">
        <v>0</v>
      </c>
      <c r="F6" s="54">
        <v>9244</v>
      </c>
      <c r="G6" s="55">
        <v>0</v>
      </c>
      <c r="H6" s="31">
        <v>0</v>
      </c>
      <c r="I6" s="46">
        <f t="shared" si="3"/>
        <v>0.54958040543556586</v>
      </c>
      <c r="J6" s="48">
        <v>0</v>
      </c>
      <c r="K6" s="53">
        <f t="shared" si="4"/>
        <v>0</v>
      </c>
      <c r="L6" s="59">
        <f t="shared" si="0"/>
        <v>1.0991608108711316E-2</v>
      </c>
      <c r="M6" s="55">
        <f t="shared" si="1"/>
        <v>0</v>
      </c>
      <c r="N6" s="54">
        <f>K6*C6/$G$24</f>
        <v>0</v>
      </c>
      <c r="O6" s="65">
        <f t="shared" si="6"/>
        <v>0.66715233296655752</v>
      </c>
      <c r="P6" s="66">
        <f t="shared" si="2"/>
        <v>0</v>
      </c>
      <c r="Q6" s="31"/>
      <c r="R6" s="54"/>
      <c r="S6" s="55"/>
      <c r="T6" s="28"/>
      <c r="U6" s="59"/>
      <c r="V6" s="30"/>
      <c r="W6" s="42"/>
      <c r="X6" s="46"/>
      <c r="Y6" s="55"/>
      <c r="Z6" s="28"/>
      <c r="AA6" s="46"/>
      <c r="AB6" s="55"/>
    </row>
    <row r="7" spans="1:28" x14ac:dyDescent="0.3">
      <c r="A7" s="10">
        <v>2</v>
      </c>
      <c r="B7" s="10">
        <v>1</v>
      </c>
      <c r="C7">
        <v>10</v>
      </c>
      <c r="D7" s="7">
        <v>20</v>
      </c>
      <c r="E7" s="53">
        <v>0</v>
      </c>
      <c r="F7" s="54">
        <v>9533</v>
      </c>
      <c r="G7" s="55">
        <v>637</v>
      </c>
      <c r="H7" s="31">
        <v>0</v>
      </c>
      <c r="I7" s="46">
        <f t="shared" si="3"/>
        <v>0.56349200543301514</v>
      </c>
      <c r="J7" s="48">
        <v>0</v>
      </c>
      <c r="K7" s="53">
        <v>0</v>
      </c>
      <c r="L7" s="59">
        <f t="shared" si="0"/>
        <v>1.1269840108660303E-2</v>
      </c>
      <c r="M7" s="55">
        <f t="shared" si="1"/>
        <v>0</v>
      </c>
      <c r="N7" s="54">
        <f t="shared" si="5"/>
        <v>0</v>
      </c>
      <c r="O7" s="65">
        <f>L7*$G$24/C7</f>
        <v>0.66153961437835984</v>
      </c>
      <c r="P7" s="66">
        <f t="shared" si="2"/>
        <v>0</v>
      </c>
      <c r="Q7" s="31">
        <f t="shared" ref="Q7:V7" si="7">AVERAGE(H7:H9)</f>
        <v>0</v>
      </c>
      <c r="R7" s="65">
        <f t="shared" si="7"/>
        <v>0.57137043172914848</v>
      </c>
      <c r="S7" s="47">
        <f t="shared" si="7"/>
        <v>0</v>
      </c>
      <c r="T7" s="28">
        <f t="shared" si="7"/>
        <v>0</v>
      </c>
      <c r="U7" s="59">
        <f t="shared" si="7"/>
        <v>1.142740863458297E-2</v>
      </c>
      <c r="V7" s="30">
        <f t="shared" si="7"/>
        <v>0</v>
      </c>
      <c r="W7" s="42">
        <f>T7*G28/10</f>
        <v>0</v>
      </c>
      <c r="X7" s="46">
        <f>U7*G24/AVERAGE(C7:C9)</f>
        <v>0.67056536506166653</v>
      </c>
      <c r="Y7" s="55">
        <f t="shared" ref="Y7:Y10" si="8">V7*G28/10</f>
        <v>0</v>
      </c>
      <c r="Z7" s="28">
        <f>W7*1000/G24</f>
        <v>0</v>
      </c>
      <c r="AA7" s="46">
        <f>X7*1000/G24</f>
        <v>1.1423600767660418</v>
      </c>
      <c r="AB7" s="47">
        <f>Y7*1000/G24</f>
        <v>0</v>
      </c>
    </row>
    <row r="8" spans="1:28" x14ac:dyDescent="0.3">
      <c r="A8" s="10"/>
      <c r="B8" s="10">
        <v>2</v>
      </c>
      <c r="C8">
        <v>10.01</v>
      </c>
      <c r="D8" s="7">
        <v>20</v>
      </c>
      <c r="E8" s="53">
        <v>0</v>
      </c>
      <c r="F8" s="54">
        <v>10134</v>
      </c>
      <c r="G8" s="55">
        <v>957</v>
      </c>
      <c r="H8" s="31">
        <v>0</v>
      </c>
      <c r="I8" s="46">
        <f t="shared" si="3"/>
        <v>0.59242235698480405</v>
      </c>
      <c r="J8" s="48">
        <v>0</v>
      </c>
      <c r="K8" s="53">
        <f t="shared" si="4"/>
        <v>0</v>
      </c>
      <c r="L8" s="59">
        <f t="shared" si="0"/>
        <v>1.1848447139696081E-2</v>
      </c>
      <c r="M8" s="55">
        <f t="shared" si="1"/>
        <v>0</v>
      </c>
      <c r="N8" s="54">
        <f t="shared" si="5"/>
        <v>0</v>
      </c>
      <c r="O8" s="65">
        <f t="shared" ref="O8:O9" si="9">L8*$G$24/C8</f>
        <v>0.69480903806209793</v>
      </c>
      <c r="P8" s="66">
        <f t="shared" si="2"/>
        <v>0</v>
      </c>
      <c r="Q8" s="31"/>
      <c r="R8" s="54"/>
      <c r="S8" s="55"/>
      <c r="T8" s="28"/>
      <c r="U8" s="59"/>
      <c r="V8" s="30"/>
      <c r="W8" s="42"/>
      <c r="X8" s="46"/>
      <c r="Y8" s="55"/>
      <c r="Z8" s="28"/>
      <c r="AA8" s="46"/>
      <c r="AB8" s="55"/>
    </row>
    <row r="9" spans="1:28" x14ac:dyDescent="0.3">
      <c r="A9" s="10"/>
      <c r="B9" s="10">
        <v>3</v>
      </c>
      <c r="C9">
        <v>10</v>
      </c>
      <c r="D9" s="7">
        <v>20</v>
      </c>
      <c r="E9" s="53">
        <v>0</v>
      </c>
      <c r="F9" s="54">
        <v>9423</v>
      </c>
      <c r="G9" s="55">
        <v>0</v>
      </c>
      <c r="H9" s="31">
        <v>0</v>
      </c>
      <c r="I9" s="46">
        <f t="shared" si="3"/>
        <v>0.55819693276962612</v>
      </c>
      <c r="J9" s="48">
        <v>0</v>
      </c>
      <c r="K9" s="53">
        <f t="shared" si="4"/>
        <v>0</v>
      </c>
      <c r="L9" s="59">
        <f t="shared" si="0"/>
        <v>1.1163938655392523E-2</v>
      </c>
      <c r="M9" s="55">
        <f t="shared" si="1"/>
        <v>0</v>
      </c>
      <c r="N9" s="54">
        <f t="shared" si="5"/>
        <v>0</v>
      </c>
      <c r="O9" s="65">
        <f t="shared" si="9"/>
        <v>0.65532319907154113</v>
      </c>
      <c r="P9" s="66">
        <f t="shared" si="2"/>
        <v>0</v>
      </c>
      <c r="Q9" s="31"/>
      <c r="R9" s="54"/>
      <c r="S9" s="55"/>
      <c r="T9" s="28"/>
      <c r="U9" s="59"/>
      <c r="V9" s="30"/>
      <c r="W9" s="42"/>
      <c r="X9" s="46"/>
      <c r="Y9" s="55"/>
      <c r="Z9" s="28"/>
      <c r="AA9" s="46"/>
      <c r="AB9" s="55"/>
    </row>
    <row r="10" spans="1:28" x14ac:dyDescent="0.3">
      <c r="A10" s="10">
        <v>3</v>
      </c>
      <c r="B10" s="10">
        <v>1</v>
      </c>
      <c r="C10">
        <v>10.039999999999999</v>
      </c>
      <c r="D10" s="7">
        <v>20</v>
      </c>
      <c r="E10" s="53">
        <v>0</v>
      </c>
      <c r="F10" s="54">
        <v>7967</v>
      </c>
      <c r="G10" s="55">
        <v>0</v>
      </c>
      <c r="H10" s="31">
        <v>0</v>
      </c>
      <c r="I10" s="46">
        <f t="shared" si="3"/>
        <v>0.48810942551604075</v>
      </c>
      <c r="J10" s="48">
        <v>0</v>
      </c>
      <c r="K10" s="53">
        <f t="shared" si="4"/>
        <v>0</v>
      </c>
      <c r="L10" s="59">
        <f t="shared" si="0"/>
        <v>9.7621885103208149E-3</v>
      </c>
      <c r="M10" s="55">
        <f t="shared" si="1"/>
        <v>0</v>
      </c>
      <c r="N10" s="54">
        <f>K10*C10/$G$23</f>
        <v>0</v>
      </c>
      <c r="O10" s="65">
        <f>L10*$G$23/C10</f>
        <v>0.62229090105630702</v>
      </c>
      <c r="P10" s="66">
        <f t="shared" si="2"/>
        <v>0</v>
      </c>
      <c r="Q10" s="31">
        <f t="shared" ref="Q10:V10" si="10">AVERAGE(H10:H12)</f>
        <v>0</v>
      </c>
      <c r="R10" s="65">
        <f t="shared" si="10"/>
        <v>0.49971044835128398</v>
      </c>
      <c r="S10" s="47">
        <f t="shared" si="10"/>
        <v>0</v>
      </c>
      <c r="T10" s="28">
        <f t="shared" si="10"/>
        <v>0</v>
      </c>
      <c r="U10" s="59">
        <f t="shared" si="10"/>
        <v>9.9942089670256792E-3</v>
      </c>
      <c r="V10" s="30">
        <f t="shared" si="10"/>
        <v>0</v>
      </c>
      <c r="W10" s="42">
        <f>T10*G31/10</f>
        <v>0</v>
      </c>
      <c r="X10" s="46">
        <f>U10*G23/AVERAGE(C10:C12)</f>
        <v>0.63792823193780934</v>
      </c>
      <c r="Y10" s="55">
        <f t="shared" si="8"/>
        <v>0</v>
      </c>
      <c r="Z10" s="28">
        <f>W10*1000/G23</f>
        <v>0</v>
      </c>
      <c r="AA10" s="46">
        <f>X10*1000/G23</f>
        <v>0.99676286240282708</v>
      </c>
      <c r="AB10" s="47">
        <f>Y10*1000/G23</f>
        <v>0</v>
      </c>
    </row>
    <row r="11" spans="1:28" x14ac:dyDescent="0.3">
      <c r="A11" s="10"/>
      <c r="B11" s="10">
        <v>2</v>
      </c>
      <c r="C11">
        <v>10.039999999999999</v>
      </c>
      <c r="D11" s="7">
        <v>20</v>
      </c>
      <c r="E11" s="53">
        <v>0</v>
      </c>
      <c r="F11" s="54">
        <v>8600</v>
      </c>
      <c r="G11" s="55">
        <v>1404</v>
      </c>
      <c r="H11" s="31">
        <v>0</v>
      </c>
      <c r="I11" s="46">
        <f t="shared" si="3"/>
        <v>0.51858016184263389</v>
      </c>
      <c r="J11" s="48">
        <v>0</v>
      </c>
      <c r="K11" s="53">
        <f t="shared" si="4"/>
        <v>0</v>
      </c>
      <c r="L11" s="59">
        <f t="shared" si="0"/>
        <v>1.0371603236852678E-2</v>
      </c>
      <c r="M11" s="55">
        <f t="shared" si="1"/>
        <v>0</v>
      </c>
      <c r="N11" s="54">
        <f t="shared" ref="N11:N12" si="11">K11*C11/$G$23</f>
        <v>0</v>
      </c>
      <c r="O11" s="65">
        <f t="shared" ref="O11:O12" si="12">L11*$G$23/C11</f>
        <v>0.66113805493881617</v>
      </c>
      <c r="P11" s="66">
        <f t="shared" si="2"/>
        <v>0</v>
      </c>
      <c r="Q11" s="31"/>
      <c r="R11" s="54"/>
      <c r="S11" s="55"/>
      <c r="T11" s="28"/>
      <c r="U11" s="59"/>
      <c r="V11" s="30"/>
      <c r="W11" s="42"/>
      <c r="X11" s="46"/>
      <c r="Y11" s="55"/>
      <c r="Z11" s="28"/>
      <c r="AA11" s="29"/>
      <c r="AB11" s="55"/>
    </row>
    <row r="12" spans="1:28" x14ac:dyDescent="0.3">
      <c r="A12" s="10"/>
      <c r="B12" s="10">
        <v>3</v>
      </c>
      <c r="C12">
        <v>10</v>
      </c>
      <c r="D12" s="7">
        <v>20</v>
      </c>
      <c r="E12" s="53">
        <v>0</v>
      </c>
      <c r="F12" s="54">
        <v>8057</v>
      </c>
      <c r="G12" s="55">
        <v>0</v>
      </c>
      <c r="H12" s="31">
        <v>0</v>
      </c>
      <c r="I12" s="46">
        <f t="shared" si="3"/>
        <v>0.49244175769517723</v>
      </c>
      <c r="J12" s="47">
        <v>0</v>
      </c>
      <c r="K12" s="53">
        <f t="shared" si="4"/>
        <v>0</v>
      </c>
      <c r="L12" s="59">
        <f t="shared" si="0"/>
        <v>9.8488351539035447E-3</v>
      </c>
      <c r="M12" s="55">
        <f t="shared" si="1"/>
        <v>0</v>
      </c>
      <c r="N12" s="54">
        <f t="shared" si="11"/>
        <v>0</v>
      </c>
      <c r="O12" s="65">
        <f t="shared" si="12"/>
        <v>0.63032544984982686</v>
      </c>
      <c r="P12" s="66">
        <f t="shared" si="2"/>
        <v>0</v>
      </c>
      <c r="Q12" s="31"/>
      <c r="R12" s="54"/>
      <c r="S12" s="55"/>
      <c r="T12" s="28"/>
      <c r="U12" s="59"/>
      <c r="V12" s="30"/>
      <c r="W12" s="42"/>
      <c r="X12" s="46"/>
      <c r="Y12" s="55"/>
      <c r="Z12" s="28"/>
      <c r="AA12" s="29"/>
      <c r="AB12" s="55"/>
    </row>
    <row r="13" spans="1:28" x14ac:dyDescent="0.3">
      <c r="A13" s="10">
        <v>4</v>
      </c>
      <c r="B13" s="10">
        <v>1</v>
      </c>
      <c r="C13">
        <v>10.08</v>
      </c>
      <c r="D13" s="7">
        <v>20</v>
      </c>
      <c r="E13" s="53">
        <v>0</v>
      </c>
      <c r="F13" s="54">
        <v>15828</v>
      </c>
      <c r="G13" s="55">
        <v>9066</v>
      </c>
      <c r="H13" s="31">
        <v>0</v>
      </c>
      <c r="I13" s="46">
        <f t="shared" si="3"/>
        <v>0.86651457285150391</v>
      </c>
      <c r="J13" s="49">
        <f t="shared" ref="J13:J14" si="13">(G13-$D$23)/$D$22</f>
        <v>0.37933033987196346</v>
      </c>
      <c r="K13" s="53">
        <f t="shared" si="4"/>
        <v>0</v>
      </c>
      <c r="L13" s="59">
        <f t="shared" si="0"/>
        <v>1.7330291457030078E-2</v>
      </c>
      <c r="M13" s="60">
        <f>J13*D13/1000</f>
        <v>7.5866067974392692E-3</v>
      </c>
      <c r="N13" s="54">
        <f>K13*C13/$G$22</f>
        <v>0</v>
      </c>
      <c r="O13" s="65">
        <f>L13*$G$22/C13</f>
        <v>1.0435998923032994</v>
      </c>
      <c r="P13" s="65">
        <f>M13*$G$22/C13</f>
        <v>0.45685221488547978</v>
      </c>
      <c r="Q13" s="31">
        <f t="shared" ref="Q13:V13" si="14">AVERAGE(H13:H15)</f>
        <v>0</v>
      </c>
      <c r="R13" s="46">
        <f t="shared" si="14"/>
        <v>0.78033325383616348</v>
      </c>
      <c r="S13" s="49">
        <f t="shared" si="14"/>
        <v>0.99425480977867775</v>
      </c>
      <c r="T13" s="28">
        <f t="shared" si="14"/>
        <v>0</v>
      </c>
      <c r="U13" s="59">
        <f t="shared" si="14"/>
        <v>1.5606665076723271E-2</v>
      </c>
      <c r="V13" s="60">
        <f t="shared" si="14"/>
        <v>1.9885096195573559E-2</v>
      </c>
      <c r="W13" s="42">
        <f>T13*G34/10</f>
        <v>0</v>
      </c>
      <c r="X13" s="46">
        <f>U13*G22/AVERAGE(C13:C15)</f>
        <v>0.94323720891845575</v>
      </c>
      <c r="Y13" s="55">
        <f>V13*G22/AVERAGE(C13:C15)</f>
        <v>1.2018174633965963</v>
      </c>
      <c r="Z13" s="28">
        <f>W13*1000/G22</f>
        <v>0</v>
      </c>
      <c r="AA13" s="46">
        <f>X13*1000/G22</f>
        <v>1.5539327988771923</v>
      </c>
      <c r="AB13" s="49">
        <f>Y13*1000/G22</f>
        <v>1.9799299232233878</v>
      </c>
    </row>
    <row r="14" spans="1:28" x14ac:dyDescent="0.3">
      <c r="A14" s="10"/>
      <c r="B14" s="10">
        <v>2</v>
      </c>
      <c r="C14">
        <v>9.98</v>
      </c>
      <c r="D14" s="7">
        <v>20</v>
      </c>
      <c r="E14" s="53">
        <v>0</v>
      </c>
      <c r="F14" s="54">
        <v>12551</v>
      </c>
      <c r="G14" s="55">
        <v>17046</v>
      </c>
      <c r="H14" s="31">
        <v>0</v>
      </c>
      <c r="I14" s="46">
        <f t="shared" si="3"/>
        <v>0.70876954450672425</v>
      </c>
      <c r="J14" s="49">
        <f t="shared" si="13"/>
        <v>0.94928240187849644</v>
      </c>
      <c r="K14" s="53">
        <f t="shared" si="4"/>
        <v>0</v>
      </c>
      <c r="L14" s="59">
        <f t="shared" si="0"/>
        <v>1.4175390890134485E-2</v>
      </c>
      <c r="M14" s="60">
        <f t="shared" ref="M14:M15" si="15">J14*D14/1000</f>
        <v>1.8985648037569931E-2</v>
      </c>
      <c r="N14" s="54">
        <f t="shared" ref="N14:N15" si="16">K14*C14/$G$22</f>
        <v>0</v>
      </c>
      <c r="O14" s="65">
        <f t="shared" ref="O14:O15" si="17">L14*$G$22/C14</f>
        <v>0.86217056816749815</v>
      </c>
      <c r="P14" s="65">
        <f t="shared" ref="P14" si="18">M14*$G$22/C14</f>
        <v>1.1547383125055057</v>
      </c>
      <c r="Q14" s="28"/>
      <c r="R14" s="29"/>
      <c r="S14" s="30"/>
      <c r="T14" s="28"/>
      <c r="U14" s="29"/>
      <c r="V14" s="30"/>
      <c r="W14" s="28"/>
      <c r="X14" s="29"/>
      <c r="Y14" s="30"/>
      <c r="Z14" s="28"/>
      <c r="AA14" s="29"/>
      <c r="AB14" s="30"/>
    </row>
    <row r="15" spans="1:28" x14ac:dyDescent="0.3">
      <c r="A15" s="10"/>
      <c r="B15" s="10">
        <v>3</v>
      </c>
      <c r="C15">
        <v>10.07</v>
      </c>
      <c r="D15" s="7">
        <v>20</v>
      </c>
      <c r="E15" s="56">
        <v>0</v>
      </c>
      <c r="F15" s="57">
        <v>13734</v>
      </c>
      <c r="G15" s="58">
        <v>26915</v>
      </c>
      <c r="H15" s="50">
        <v>0</v>
      </c>
      <c r="I15" s="51">
        <f t="shared" si="3"/>
        <v>0.76571564415026239</v>
      </c>
      <c r="J15" s="52">
        <f>(G15-$D$23)/$D$22</f>
        <v>1.6541516875855735</v>
      </c>
      <c r="K15" s="56">
        <f t="shared" si="4"/>
        <v>0</v>
      </c>
      <c r="L15" s="61">
        <f>I15*D15/1000</f>
        <v>1.5314312883005247E-2</v>
      </c>
      <c r="M15" s="62">
        <f t="shared" si="15"/>
        <v>3.3083033751711469E-2</v>
      </c>
      <c r="N15" s="54">
        <f t="shared" si="16"/>
        <v>0</v>
      </c>
      <c r="O15" s="65">
        <f t="shared" si="17"/>
        <v>0.92311697318611574</v>
      </c>
      <c r="P15" s="65">
        <f>M15*$G$22/C15</f>
        <v>1.9941808825510288</v>
      </c>
      <c r="Q15" s="32"/>
      <c r="R15" s="45"/>
      <c r="S15" s="33"/>
      <c r="T15" s="32"/>
      <c r="U15" s="45"/>
      <c r="V15" s="33"/>
      <c r="W15" s="32"/>
      <c r="X15" s="45"/>
      <c r="Y15" s="33"/>
      <c r="Z15" s="32"/>
      <c r="AA15" s="45"/>
      <c r="AB15" s="33"/>
    </row>
    <row r="16" spans="1:28" x14ac:dyDescent="0.3">
      <c r="X16" s="41">
        <f>SUM(X4:X13)</f>
        <v>2.950586080356866</v>
      </c>
      <c r="Y16" s="41">
        <f>SUM(Y4:Y13)</f>
        <v>1.2018174633965963</v>
      </c>
    </row>
    <row r="20" spans="1:7" x14ac:dyDescent="0.3">
      <c r="F20" t="s">
        <v>14</v>
      </c>
      <c r="G20" t="s">
        <v>37</v>
      </c>
    </row>
    <row r="21" spans="1:7" x14ac:dyDescent="0.3">
      <c r="B21" t="s">
        <v>19</v>
      </c>
      <c r="C21" t="s">
        <v>20</v>
      </c>
      <c r="D21" t="s">
        <v>21</v>
      </c>
    </row>
    <row r="22" spans="1:7" x14ac:dyDescent="0.3">
      <c r="A22" t="s">
        <v>33</v>
      </c>
      <c r="B22">
        <v>11649.275756436607</v>
      </c>
      <c r="C22">
        <v>20774.030309453159</v>
      </c>
      <c r="D22">
        <v>14001.177523432716</v>
      </c>
      <c r="F22">
        <v>4</v>
      </c>
      <c r="G22">
        <v>607</v>
      </c>
    </row>
    <row r="23" spans="1:7" x14ac:dyDescent="0.3">
      <c r="A23" t="s">
        <v>34</v>
      </c>
      <c r="B23">
        <v>-1440.7999999999738</v>
      </c>
      <c r="C23">
        <v>-2173</v>
      </c>
      <c r="D23">
        <v>3754.9285714285725</v>
      </c>
      <c r="F23">
        <v>3</v>
      </c>
      <c r="G23">
        <v>640</v>
      </c>
    </row>
    <row r="24" spans="1:7" x14ac:dyDescent="0.3">
      <c r="F24">
        <v>2</v>
      </c>
      <c r="G24">
        <v>587</v>
      </c>
    </row>
    <row r="25" spans="1:7" x14ac:dyDescent="0.3">
      <c r="F25">
        <v>1</v>
      </c>
      <c r="G25">
        <v>610</v>
      </c>
    </row>
  </sheetData>
  <mergeCells count="9">
    <mergeCell ref="Q1:W1"/>
    <mergeCell ref="T2:V2"/>
    <mergeCell ref="W2:Y2"/>
    <mergeCell ref="N2:P2"/>
    <mergeCell ref="Z2:AB2"/>
    <mergeCell ref="E2:G2"/>
    <mergeCell ref="H2:J2"/>
    <mergeCell ref="K2:M2"/>
    <mergeCell ref="Q2:S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25"/>
  <sheetViews>
    <sheetView workbookViewId="0">
      <selection activeCell="W16" sqref="W16:Y16"/>
    </sheetView>
  </sheetViews>
  <sheetFormatPr defaultRowHeight="14.4" x14ac:dyDescent="0.3"/>
  <cols>
    <col min="1" max="1" width="11.33203125" customWidth="1"/>
    <col min="5" max="5" width="5.44140625" customWidth="1"/>
    <col min="6" max="6" width="7.109375" customWidth="1"/>
    <col min="7" max="7" width="6.5546875" customWidth="1"/>
    <col min="8" max="8" width="4.88671875" customWidth="1"/>
    <col min="10" max="10" width="6.77734375" customWidth="1"/>
    <col min="11" max="11" width="6.21875" customWidth="1"/>
    <col min="13" max="13" width="7" customWidth="1"/>
    <col min="14" max="14" width="5.6640625" customWidth="1"/>
    <col min="16" max="16" width="7" customWidth="1"/>
    <col min="17" max="17" width="6" customWidth="1"/>
    <col min="18" max="18" width="5.5546875" customWidth="1"/>
    <col min="19" max="19" width="6.109375" customWidth="1"/>
    <col min="20" max="20" width="5.88671875" customWidth="1"/>
    <col min="21" max="21" width="6.77734375" customWidth="1"/>
    <col min="22" max="22" width="6.88671875" customWidth="1"/>
    <col min="23" max="23" width="6.6640625" customWidth="1"/>
    <col min="24" max="24" width="7.109375" customWidth="1"/>
    <col min="25" max="25" width="6.44140625" customWidth="1"/>
    <col min="26" max="26" width="5.6640625" customWidth="1"/>
    <col min="27" max="27" width="4.77734375" customWidth="1"/>
    <col min="28" max="28" width="5.44140625" customWidth="1"/>
  </cols>
  <sheetData>
    <row r="1" spans="1:28" x14ac:dyDescent="0.3">
      <c r="A1" s="12" t="s">
        <v>0</v>
      </c>
    </row>
    <row r="2" spans="1:28" x14ac:dyDescent="0.3">
      <c r="E2" s="94" t="s">
        <v>18</v>
      </c>
      <c r="F2" s="95"/>
      <c r="G2" s="96"/>
      <c r="H2" s="89" t="s">
        <v>27</v>
      </c>
      <c r="I2" s="93"/>
      <c r="J2" s="90"/>
      <c r="K2" s="94" t="s">
        <v>38</v>
      </c>
      <c r="L2" s="95"/>
      <c r="M2" s="96"/>
      <c r="N2" s="94" t="s">
        <v>42</v>
      </c>
      <c r="O2" s="95"/>
      <c r="P2" s="96"/>
      <c r="Q2" s="89" t="s">
        <v>36</v>
      </c>
      <c r="R2" s="93"/>
      <c r="S2" s="90"/>
      <c r="T2" s="94" t="s">
        <v>38</v>
      </c>
      <c r="U2" s="95"/>
      <c r="V2" s="96"/>
      <c r="W2" s="106" t="s">
        <v>40</v>
      </c>
      <c r="X2" s="107"/>
      <c r="Y2" s="107"/>
      <c r="Z2" t="s">
        <v>44</v>
      </c>
    </row>
    <row r="3" spans="1:28" x14ac:dyDescent="0.3">
      <c r="A3" s="10" t="s">
        <v>14</v>
      </c>
      <c r="B3" s="10" t="s">
        <v>15</v>
      </c>
      <c r="C3" t="s">
        <v>16</v>
      </c>
      <c r="D3" s="7" t="s">
        <v>17</v>
      </c>
      <c r="E3" t="s">
        <v>19</v>
      </c>
      <c r="F3" t="s">
        <v>20</v>
      </c>
      <c r="G3" t="s">
        <v>21</v>
      </c>
      <c r="H3" t="s">
        <v>19</v>
      </c>
      <c r="I3" t="s">
        <v>20</v>
      </c>
      <c r="J3" t="s">
        <v>21</v>
      </c>
      <c r="K3" t="s">
        <v>19</v>
      </c>
      <c r="L3" t="s">
        <v>20</v>
      </c>
      <c r="M3" t="s">
        <v>21</v>
      </c>
      <c r="N3" t="s">
        <v>19</v>
      </c>
      <c r="O3" t="s">
        <v>20</v>
      </c>
      <c r="P3" t="s">
        <v>21</v>
      </c>
      <c r="Q3" t="s">
        <v>19</v>
      </c>
      <c r="R3" t="s">
        <v>20</v>
      </c>
      <c r="S3" t="s">
        <v>21</v>
      </c>
      <c r="T3" s="21" t="s">
        <v>19</v>
      </c>
      <c r="U3" s="21" t="s">
        <v>20</v>
      </c>
      <c r="V3" s="21" t="s">
        <v>21</v>
      </c>
      <c r="W3" s="21" t="s">
        <v>19</v>
      </c>
      <c r="X3" s="21" t="s">
        <v>20</v>
      </c>
      <c r="Y3" s="21" t="s">
        <v>21</v>
      </c>
      <c r="Z3" t="s">
        <v>19</v>
      </c>
      <c r="AA3" t="s">
        <v>20</v>
      </c>
      <c r="AB3" t="s">
        <v>21</v>
      </c>
    </row>
    <row r="4" spans="1:28" x14ac:dyDescent="0.3">
      <c r="A4" s="10">
        <v>1</v>
      </c>
      <c r="B4" s="10">
        <v>1</v>
      </c>
      <c r="C4">
        <v>10.02</v>
      </c>
      <c r="D4" s="7">
        <v>20</v>
      </c>
      <c r="E4">
        <v>0</v>
      </c>
      <c r="F4">
        <v>9553</v>
      </c>
      <c r="G4">
        <v>1244</v>
      </c>
      <c r="H4">
        <v>0</v>
      </c>
      <c r="I4" s="41">
        <f t="shared" ref="I4:I15" si="0">(F4-$C$23)/$C$22</f>
        <v>0.56445474591726763</v>
      </c>
      <c r="J4">
        <v>0</v>
      </c>
      <c r="K4">
        <f>H4*D4/1000</f>
        <v>0</v>
      </c>
      <c r="L4" s="37">
        <f>I4*D4/1000</f>
        <v>1.1289094918345352E-2</v>
      </c>
      <c r="M4">
        <f t="shared" ref="M4:M12" si="1">J4*F4/1000</f>
        <v>0</v>
      </c>
      <c r="N4">
        <f>K4*C4/$G$25</f>
        <v>0</v>
      </c>
      <c r="O4" s="39">
        <f>L4*$G$25/C4</f>
        <v>0.64444733466003412</v>
      </c>
      <c r="P4" s="22">
        <f t="shared" ref="P4:P15" si="2">M4*$G$22/C4</f>
        <v>0</v>
      </c>
      <c r="Q4" s="21">
        <f>AVERAGE(H4:H6)</f>
        <v>0</v>
      </c>
      <c r="R4" s="21">
        <f>AVERAGE(I4:I6)</f>
        <v>0.5662197701383973</v>
      </c>
      <c r="S4" s="21">
        <f>AVERAGE(J4:J6)</f>
        <v>0</v>
      </c>
      <c r="T4" s="21">
        <v>0</v>
      </c>
      <c r="U4" s="37">
        <f>AVERAGE(L4:L6)</f>
        <v>1.1324395402767945E-2</v>
      </c>
      <c r="V4" s="21">
        <f>AVERAGE(M4:M6)</f>
        <v>0</v>
      </c>
      <c r="W4" s="21">
        <f>T4*G25/10</f>
        <v>0</v>
      </c>
      <c r="X4" s="39">
        <f>U4*G25/AVERAGE(C4:C6)</f>
        <v>0.64538899073895029</v>
      </c>
      <c r="Y4" s="21">
        <f>V4*G25/10</f>
        <v>0</v>
      </c>
      <c r="Z4">
        <f>W4*1000/G25</f>
        <v>0</v>
      </c>
      <c r="AA4">
        <f>X4*1000/G25</f>
        <v>1.1283024313618011</v>
      </c>
      <c r="AB4">
        <f>Y4*1000/G25</f>
        <v>0</v>
      </c>
    </row>
    <row r="5" spans="1:28" x14ac:dyDescent="0.3">
      <c r="A5" s="10"/>
      <c r="B5" s="10">
        <v>2</v>
      </c>
      <c r="C5">
        <v>10.050000000000001</v>
      </c>
      <c r="D5" s="7">
        <v>20</v>
      </c>
      <c r="E5">
        <v>0</v>
      </c>
      <c r="F5">
        <v>9741</v>
      </c>
      <c r="G5">
        <v>0</v>
      </c>
      <c r="H5">
        <v>0</v>
      </c>
      <c r="I5" s="41">
        <f t="shared" si="0"/>
        <v>0.57350450646924156</v>
      </c>
      <c r="J5">
        <v>0</v>
      </c>
      <c r="K5">
        <f t="shared" ref="K5:K15" si="3">H5*D5/1000</f>
        <v>0</v>
      </c>
      <c r="L5" s="37">
        <f t="shared" ref="L5:L14" si="4">I5*D5/1000</f>
        <v>1.1470090129384831E-2</v>
      </c>
      <c r="M5">
        <f t="shared" si="1"/>
        <v>0</v>
      </c>
      <c r="N5">
        <f>K5*C5/$G$25</f>
        <v>0</v>
      </c>
      <c r="O5" s="39">
        <f>L5*$G$25/C5</f>
        <v>0.65282503024956451</v>
      </c>
      <c r="P5" s="22">
        <f t="shared" si="2"/>
        <v>0</v>
      </c>
      <c r="Q5" s="21"/>
      <c r="R5" s="21"/>
      <c r="S5" s="21"/>
      <c r="T5" s="21"/>
      <c r="U5" s="37"/>
      <c r="V5" s="21"/>
      <c r="W5" s="21"/>
      <c r="X5" s="39"/>
      <c r="Y5" s="21"/>
    </row>
    <row r="6" spans="1:28" x14ac:dyDescent="0.3">
      <c r="A6" s="10"/>
      <c r="B6" s="10">
        <v>3</v>
      </c>
      <c r="C6">
        <v>10.039999999999999</v>
      </c>
      <c r="D6" s="7">
        <v>20</v>
      </c>
      <c r="E6">
        <v>0</v>
      </c>
      <c r="F6">
        <v>9475</v>
      </c>
      <c r="G6">
        <v>309</v>
      </c>
      <c r="H6">
        <v>0</v>
      </c>
      <c r="I6" s="41">
        <f t="shared" si="0"/>
        <v>0.56070005802868272</v>
      </c>
      <c r="J6">
        <v>0</v>
      </c>
      <c r="K6">
        <f t="shared" si="3"/>
        <v>0</v>
      </c>
      <c r="L6" s="37">
        <f t="shared" si="4"/>
        <v>1.1214001160573655E-2</v>
      </c>
      <c r="M6">
        <f t="shared" si="1"/>
        <v>0</v>
      </c>
      <c r="N6">
        <f>K6*C6/$G$24</f>
        <v>0</v>
      </c>
      <c r="O6" s="39">
        <f>L6*$G$25/C6</f>
        <v>0.63888532508447515</v>
      </c>
      <c r="P6" s="22">
        <f t="shared" si="2"/>
        <v>0</v>
      </c>
      <c r="Q6" s="21"/>
      <c r="R6" s="21"/>
      <c r="S6" s="21"/>
      <c r="T6" s="21"/>
      <c r="U6" s="37"/>
      <c r="V6" s="21"/>
      <c r="W6" s="21"/>
      <c r="X6" s="39"/>
      <c r="Y6" s="21"/>
    </row>
    <row r="7" spans="1:28" x14ac:dyDescent="0.3">
      <c r="A7" s="10">
        <v>2</v>
      </c>
      <c r="B7" s="10">
        <v>1</v>
      </c>
      <c r="C7">
        <v>10</v>
      </c>
      <c r="D7" s="7">
        <v>20</v>
      </c>
      <c r="E7">
        <v>0</v>
      </c>
      <c r="F7">
        <v>10913</v>
      </c>
      <c r="G7">
        <v>941</v>
      </c>
      <c r="H7">
        <v>0</v>
      </c>
      <c r="I7" s="41">
        <f t="shared" si="0"/>
        <v>0.62992109884644076</v>
      </c>
      <c r="J7">
        <v>0</v>
      </c>
      <c r="K7">
        <v>0</v>
      </c>
      <c r="L7" s="37">
        <f t="shared" si="4"/>
        <v>1.2598421976928816E-2</v>
      </c>
      <c r="M7">
        <f t="shared" si="1"/>
        <v>0</v>
      </c>
      <c r="N7">
        <f>K7*C7/$G$25</f>
        <v>0</v>
      </c>
      <c r="O7" s="39">
        <f>L7*$G$24/C7</f>
        <v>0.76094468740650045</v>
      </c>
      <c r="P7" s="22">
        <f t="shared" si="2"/>
        <v>0</v>
      </c>
      <c r="Q7" s="21">
        <f t="shared" ref="Q7:V7" si="5">AVERAGE(H7:H9)</f>
        <v>0</v>
      </c>
      <c r="R7" s="21">
        <f t="shared" si="5"/>
        <v>0.58813816182988032</v>
      </c>
      <c r="S7" s="21">
        <f t="shared" si="5"/>
        <v>0</v>
      </c>
      <c r="T7" s="21">
        <f t="shared" si="5"/>
        <v>0</v>
      </c>
      <c r="U7" s="37">
        <f t="shared" si="5"/>
        <v>1.1762763236597607E-2</v>
      </c>
      <c r="V7" s="21">
        <f t="shared" si="5"/>
        <v>0</v>
      </c>
      <c r="W7" s="21">
        <f>T7*G28/10</f>
        <v>0</v>
      </c>
      <c r="X7" s="39">
        <f>U7*G24/AVERAGE(C7:C9)</f>
        <v>0.71047089949049547</v>
      </c>
      <c r="Y7" s="21">
        <f t="shared" ref="Y7:Y10" si="6">V7*G28/10</f>
        <v>0</v>
      </c>
      <c r="Z7">
        <f>W7*1000/G24</f>
        <v>0</v>
      </c>
      <c r="AA7">
        <f>X7*1000/G24</f>
        <v>1.1762763236597606</v>
      </c>
      <c r="AB7">
        <f>Y7*1000/G24</f>
        <v>0</v>
      </c>
    </row>
    <row r="8" spans="1:28" x14ac:dyDescent="0.3">
      <c r="A8" s="10"/>
      <c r="B8" s="10">
        <v>2</v>
      </c>
      <c r="C8">
        <v>9.99</v>
      </c>
      <c r="D8" s="7">
        <v>20</v>
      </c>
      <c r="E8">
        <v>0</v>
      </c>
      <c r="F8">
        <v>10111</v>
      </c>
      <c r="G8">
        <v>1809</v>
      </c>
      <c r="H8">
        <v>0</v>
      </c>
      <c r="I8" s="41">
        <f t="shared" si="0"/>
        <v>0.59131520542791371</v>
      </c>
      <c r="J8">
        <v>0</v>
      </c>
      <c r="K8">
        <f t="shared" si="3"/>
        <v>0</v>
      </c>
      <c r="L8" s="37">
        <f t="shared" si="4"/>
        <v>1.1826304108558275E-2</v>
      </c>
      <c r="M8">
        <f t="shared" si="1"/>
        <v>0</v>
      </c>
      <c r="N8">
        <f>K8*C8/$G$25</f>
        <v>0</v>
      </c>
      <c r="O8" s="39">
        <f>L8*$G$24/C8</f>
        <v>0.71502379194886867</v>
      </c>
      <c r="P8" s="22">
        <f t="shared" si="2"/>
        <v>0</v>
      </c>
      <c r="Q8" s="21"/>
      <c r="R8" s="21"/>
      <c r="S8" s="21"/>
      <c r="T8" s="21"/>
      <c r="U8" s="37"/>
      <c r="V8" s="21"/>
      <c r="W8" s="21"/>
      <c r="X8" s="39"/>
      <c r="Y8" s="21"/>
    </row>
    <row r="9" spans="1:28" x14ac:dyDescent="0.3">
      <c r="A9" s="10"/>
      <c r="B9" s="10">
        <v>3</v>
      </c>
      <c r="C9">
        <v>10.01</v>
      </c>
      <c r="D9" s="7">
        <v>20</v>
      </c>
      <c r="E9">
        <v>0</v>
      </c>
      <c r="F9">
        <v>9111</v>
      </c>
      <c r="G9">
        <v>0</v>
      </c>
      <c r="H9">
        <v>0</v>
      </c>
      <c r="I9" s="41">
        <f t="shared" si="0"/>
        <v>0.54317818121528638</v>
      </c>
      <c r="J9">
        <v>0</v>
      </c>
      <c r="K9">
        <f t="shared" si="3"/>
        <v>0</v>
      </c>
      <c r="L9" s="37">
        <f t="shared" si="4"/>
        <v>1.0863563624305728E-2</v>
      </c>
      <c r="M9">
        <f t="shared" si="1"/>
        <v>0</v>
      </c>
      <c r="N9">
        <f>K9*C9/$G$25</f>
        <v>0</v>
      </c>
      <c r="O9" s="39">
        <f>L9*$G$24/C9</f>
        <v>0.65550373916889715</v>
      </c>
      <c r="P9" s="22">
        <f t="shared" si="2"/>
        <v>0</v>
      </c>
      <c r="Q9" s="21"/>
      <c r="R9" s="21"/>
      <c r="S9" s="21"/>
      <c r="T9" s="21"/>
      <c r="U9" s="37"/>
      <c r="V9" s="21"/>
      <c r="W9" s="21"/>
      <c r="X9" s="39"/>
      <c r="Y9" s="21"/>
    </row>
    <row r="10" spans="1:28" x14ac:dyDescent="0.3">
      <c r="A10" s="10">
        <v>3</v>
      </c>
      <c r="B10" s="10">
        <v>1</v>
      </c>
      <c r="C10">
        <v>10.07</v>
      </c>
      <c r="D10" s="7">
        <v>20</v>
      </c>
      <c r="E10">
        <v>0</v>
      </c>
      <c r="F10">
        <v>9765</v>
      </c>
      <c r="G10">
        <v>862</v>
      </c>
      <c r="H10">
        <v>0</v>
      </c>
      <c r="I10" s="41">
        <f t="shared" si="0"/>
        <v>0.57465979505034459</v>
      </c>
      <c r="J10">
        <v>0</v>
      </c>
      <c r="K10">
        <f t="shared" si="3"/>
        <v>0</v>
      </c>
      <c r="L10" s="37">
        <f t="shared" si="4"/>
        <v>1.1493195901006892E-2</v>
      </c>
      <c r="M10">
        <f t="shared" si="1"/>
        <v>0</v>
      </c>
      <c r="N10">
        <f>K10*C10/$G$23</f>
        <v>0</v>
      </c>
      <c r="O10" s="39">
        <f>L10*$G$23/C10</f>
        <v>0.71447275412416222</v>
      </c>
      <c r="P10" s="22">
        <f t="shared" si="2"/>
        <v>0</v>
      </c>
      <c r="Q10" s="21">
        <f t="shared" ref="Q10:V10" si="7">AVERAGE(H10:H12)</f>
        <v>0</v>
      </c>
      <c r="R10" s="21">
        <f t="shared" si="7"/>
        <v>0.56610745041523447</v>
      </c>
      <c r="S10" s="21">
        <f t="shared" si="7"/>
        <v>0</v>
      </c>
      <c r="T10" s="21">
        <f t="shared" si="7"/>
        <v>0</v>
      </c>
      <c r="U10" s="37">
        <f t="shared" si="7"/>
        <v>1.1322149008304689E-2</v>
      </c>
      <c r="V10" s="21">
        <f t="shared" si="7"/>
        <v>0</v>
      </c>
      <c r="W10" s="21">
        <f>T10*G31/10</f>
        <v>0</v>
      </c>
      <c r="X10" s="39">
        <f>U10*G23/AVERAGE(C10:C12)</f>
        <v>0.70782276423422785</v>
      </c>
      <c r="Y10" s="21">
        <f t="shared" si="6"/>
        <v>0</v>
      </c>
      <c r="Z10">
        <f>W10*1000/G23</f>
        <v>0</v>
      </c>
      <c r="AA10">
        <f>X10*1000/G23</f>
        <v>1.1307072911089902</v>
      </c>
      <c r="AB10">
        <f>Y10*1000/G23</f>
        <v>0</v>
      </c>
    </row>
    <row r="11" spans="1:28" x14ac:dyDescent="0.3">
      <c r="A11" s="10"/>
      <c r="B11" s="10">
        <v>2</v>
      </c>
      <c r="C11">
        <v>9.98</v>
      </c>
      <c r="D11" s="7">
        <v>20</v>
      </c>
      <c r="E11">
        <v>0</v>
      </c>
      <c r="F11">
        <v>9697</v>
      </c>
      <c r="G11">
        <v>0</v>
      </c>
      <c r="H11">
        <v>0</v>
      </c>
      <c r="I11" s="41">
        <f t="shared" si="0"/>
        <v>0.57138647740388593</v>
      </c>
      <c r="J11">
        <v>0</v>
      </c>
      <c r="K11">
        <f t="shared" si="3"/>
        <v>0</v>
      </c>
      <c r="L11" s="37">
        <f t="shared" si="4"/>
        <v>1.1427729548077718E-2</v>
      </c>
      <c r="M11">
        <f t="shared" si="1"/>
        <v>0</v>
      </c>
      <c r="N11">
        <f>K11*C11/$G$23</f>
        <v>0</v>
      </c>
      <c r="O11" s="39">
        <f>L11*$G$23/C11</f>
        <v>0.7168094886870392</v>
      </c>
      <c r="P11" s="22">
        <f t="shared" si="2"/>
        <v>0</v>
      </c>
      <c r="Q11" s="21"/>
      <c r="R11" s="21"/>
      <c r="S11" s="21"/>
      <c r="T11" s="21"/>
      <c r="U11" s="37"/>
      <c r="V11" s="21"/>
      <c r="W11" s="21"/>
      <c r="X11" s="39"/>
      <c r="Y11" s="21"/>
    </row>
    <row r="12" spans="1:28" x14ac:dyDescent="0.3">
      <c r="A12" s="10"/>
      <c r="B12" s="10">
        <v>3</v>
      </c>
      <c r="C12">
        <v>9.99</v>
      </c>
      <c r="D12" s="7">
        <v>20</v>
      </c>
      <c r="E12">
        <v>0</v>
      </c>
      <c r="F12">
        <v>9300</v>
      </c>
      <c r="G12">
        <v>0</v>
      </c>
      <c r="H12">
        <v>0</v>
      </c>
      <c r="I12" s="41">
        <f t="shared" si="0"/>
        <v>0.55227607879147289</v>
      </c>
      <c r="J12">
        <v>0</v>
      </c>
      <c r="K12">
        <f t="shared" si="3"/>
        <v>0</v>
      </c>
      <c r="L12" s="37">
        <f t="shared" si="4"/>
        <v>1.1045521575829458E-2</v>
      </c>
      <c r="M12">
        <f t="shared" si="1"/>
        <v>0</v>
      </c>
      <c r="N12">
        <f>K12*C12/$G$23</f>
        <v>0</v>
      </c>
      <c r="O12" s="39">
        <f>L12*$G$23/C12</f>
        <v>0.69214179243936336</v>
      </c>
      <c r="P12" s="22">
        <f t="shared" si="2"/>
        <v>0</v>
      </c>
      <c r="Q12" s="21"/>
      <c r="R12" s="21"/>
      <c r="S12" s="21"/>
      <c r="T12" s="21"/>
      <c r="U12" s="37"/>
      <c r="V12" s="21"/>
      <c r="W12" s="21"/>
      <c r="X12" s="39"/>
      <c r="Y12" s="21"/>
    </row>
    <row r="13" spans="1:28" x14ac:dyDescent="0.3">
      <c r="A13" s="10">
        <v>4</v>
      </c>
      <c r="B13" s="10">
        <v>1</v>
      </c>
      <c r="C13">
        <v>10</v>
      </c>
      <c r="D13" s="7">
        <v>20</v>
      </c>
      <c r="E13">
        <v>0</v>
      </c>
      <c r="F13">
        <v>7920</v>
      </c>
      <c r="G13">
        <v>4206</v>
      </c>
      <c r="H13">
        <v>0</v>
      </c>
      <c r="I13" s="41">
        <f t="shared" si="0"/>
        <v>0.48584698537804727</v>
      </c>
      <c r="J13" s="36">
        <f>(G13-$D$23)/$D$22</f>
        <v>3.2216678048435803E-2</v>
      </c>
      <c r="K13">
        <f t="shared" si="3"/>
        <v>0</v>
      </c>
      <c r="L13" s="37">
        <f t="shared" si="4"/>
        <v>9.7169397075609447E-3</v>
      </c>
      <c r="M13" s="36">
        <f>J13*D13/1000</f>
        <v>6.4433356096871611E-4</v>
      </c>
      <c r="N13">
        <f>K13*C13/$G$22</f>
        <v>0</v>
      </c>
      <c r="O13" s="39">
        <f>L13*$G$22/C13</f>
        <v>0.56552589098004691</v>
      </c>
      <c r="P13" s="39">
        <f t="shared" si="2"/>
        <v>3.750021324837928E-2</v>
      </c>
      <c r="Q13" s="21">
        <f t="shared" ref="Q13:V13" si="8">AVERAGE(H13:H15)</f>
        <v>0</v>
      </c>
      <c r="R13" s="21">
        <f t="shared" si="8"/>
        <v>0.52154861166907918</v>
      </c>
      <c r="S13" s="21">
        <f t="shared" si="8"/>
        <v>9.3354392970439848E-2</v>
      </c>
      <c r="T13" s="21">
        <f t="shared" si="8"/>
        <v>0</v>
      </c>
      <c r="U13" s="37">
        <f t="shared" si="8"/>
        <v>1.0430972233381583E-2</v>
      </c>
      <c r="V13" s="37">
        <f t="shared" si="8"/>
        <v>1.8670878594087969E-3</v>
      </c>
      <c r="W13" s="21">
        <f>T13*G34/10</f>
        <v>0</v>
      </c>
      <c r="X13" s="39">
        <f>U13*G22/AVERAGE(C13:C15)</f>
        <v>0.6062742183583304</v>
      </c>
      <c r="Y13" s="39">
        <f>V13*G22/AVERAGE(C13:C15)</f>
        <v>0.10851982032382687</v>
      </c>
      <c r="Z13">
        <f>W13*1000/G22</f>
        <v>0</v>
      </c>
      <c r="AA13">
        <f>X13*1000/G22</f>
        <v>1.0417082789662033</v>
      </c>
      <c r="AB13">
        <f>Y13*1000/G22</f>
        <v>0.1864601723777094</v>
      </c>
    </row>
    <row r="14" spans="1:28" x14ac:dyDescent="0.3">
      <c r="A14" s="10"/>
      <c r="B14" s="10">
        <v>2</v>
      </c>
      <c r="C14">
        <v>10.01</v>
      </c>
      <c r="D14" s="7">
        <v>20</v>
      </c>
      <c r="E14">
        <v>0</v>
      </c>
      <c r="F14">
        <v>8350</v>
      </c>
      <c r="G14">
        <v>4424</v>
      </c>
      <c r="H14">
        <v>0</v>
      </c>
      <c r="I14" s="41">
        <f t="shared" si="0"/>
        <v>0.506545905789477</v>
      </c>
      <c r="J14" s="36">
        <f>(G14-$D$23)/$D$22</f>
        <v>4.7786797035581689E-2</v>
      </c>
      <c r="K14">
        <f t="shared" si="3"/>
        <v>0</v>
      </c>
      <c r="L14" s="37">
        <f t="shared" si="4"/>
        <v>1.013091811578954E-2</v>
      </c>
      <c r="M14">
        <f t="shared" ref="M14:M15" si="9">J14*D14/1000</f>
        <v>9.5573594071163379E-4</v>
      </c>
      <c r="N14">
        <f>K14*C14/$G$22</f>
        <v>0</v>
      </c>
      <c r="O14" s="39">
        <f>L14*$G$22/C14</f>
        <v>0.58903040393501627</v>
      </c>
      <c r="P14" s="39">
        <f t="shared" si="2"/>
        <v>5.5568263485931156E-2</v>
      </c>
    </row>
    <row r="15" spans="1:28" x14ac:dyDescent="0.3">
      <c r="A15" s="10"/>
      <c r="B15" s="10">
        <v>3</v>
      </c>
      <c r="C15">
        <v>10.029999999999999</v>
      </c>
      <c r="D15" s="7">
        <v>20</v>
      </c>
      <c r="E15">
        <v>0</v>
      </c>
      <c r="F15">
        <v>9715</v>
      </c>
      <c r="G15">
        <v>6556</v>
      </c>
      <c r="H15">
        <v>0</v>
      </c>
      <c r="I15" s="41">
        <f t="shared" si="0"/>
        <v>0.57225294383971326</v>
      </c>
      <c r="J15" s="36">
        <f>(G15-$D$23)/$D$22</f>
        <v>0.20005970382730204</v>
      </c>
      <c r="K15">
        <f t="shared" si="3"/>
        <v>0</v>
      </c>
      <c r="L15" s="37">
        <f>I15*D15/1000</f>
        <v>1.1445058876794265E-2</v>
      </c>
      <c r="M15">
        <f t="shared" si="9"/>
        <v>4.0011940765460408E-3</v>
      </c>
      <c r="N15">
        <f>K15*C15/$G$22</f>
        <v>0</v>
      </c>
      <c r="O15" s="39">
        <f>L15*$G$22/C15</f>
        <v>0.66411009634040508</v>
      </c>
      <c r="P15" s="39">
        <f t="shared" si="2"/>
        <v>0.23217297632600156</v>
      </c>
    </row>
    <row r="16" spans="1:28" x14ac:dyDescent="0.3">
      <c r="V16" t="s">
        <v>10</v>
      </c>
      <c r="W16">
        <f>SUM(W4:W13)</f>
        <v>0</v>
      </c>
      <c r="X16">
        <f t="shared" ref="X16:Y16" si="10">SUM(X4:X13)</f>
        <v>2.669956872822004</v>
      </c>
      <c r="Y16">
        <f t="shared" si="10"/>
        <v>0.10851982032382687</v>
      </c>
    </row>
    <row r="20" spans="1:7" x14ac:dyDescent="0.3">
      <c r="F20" t="s">
        <v>14</v>
      </c>
      <c r="G20" t="s">
        <v>37</v>
      </c>
    </row>
    <row r="21" spans="1:7" x14ac:dyDescent="0.3">
      <c r="B21" t="s">
        <v>19</v>
      </c>
      <c r="C21" t="s">
        <v>20</v>
      </c>
      <c r="D21" t="s">
        <v>21</v>
      </c>
    </row>
    <row r="22" spans="1:7" x14ac:dyDescent="0.3">
      <c r="A22" t="s">
        <v>33</v>
      </c>
      <c r="B22">
        <v>11649.275756436607</v>
      </c>
      <c r="C22">
        <v>20774.030309453159</v>
      </c>
      <c r="D22">
        <v>14001.177523432716</v>
      </c>
      <c r="F22">
        <v>4</v>
      </c>
      <c r="G22">
        <v>582</v>
      </c>
    </row>
    <row r="23" spans="1:7" x14ac:dyDescent="0.3">
      <c r="A23" t="s">
        <v>34</v>
      </c>
      <c r="B23">
        <v>-1440.7999999999738</v>
      </c>
      <c r="C23">
        <v>-2173</v>
      </c>
      <c r="D23">
        <v>3754.9285714285725</v>
      </c>
      <c r="F23">
        <v>3</v>
      </c>
      <c r="G23">
        <v>626</v>
      </c>
    </row>
    <row r="24" spans="1:7" x14ac:dyDescent="0.3">
      <c r="F24">
        <v>2</v>
      </c>
      <c r="G24">
        <v>604</v>
      </c>
    </row>
    <row r="25" spans="1:7" x14ac:dyDescent="0.3">
      <c r="F25">
        <v>1</v>
      </c>
      <c r="G25">
        <v>572</v>
      </c>
    </row>
  </sheetData>
  <mergeCells count="7">
    <mergeCell ref="W2:Y2"/>
    <mergeCell ref="Q2:S2"/>
    <mergeCell ref="E2:G2"/>
    <mergeCell ref="H2:J2"/>
    <mergeCell ref="K2:M2"/>
    <mergeCell ref="N2:P2"/>
    <mergeCell ref="T2:V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25"/>
  <sheetViews>
    <sheetView workbookViewId="0">
      <selection activeCell="R17" sqref="R17"/>
    </sheetView>
  </sheetViews>
  <sheetFormatPr defaultRowHeight="14.4" x14ac:dyDescent="0.3"/>
  <cols>
    <col min="1" max="1" width="10.6640625" customWidth="1"/>
    <col min="5" max="5" width="5.6640625" customWidth="1"/>
    <col min="6" max="6" width="6" customWidth="1"/>
    <col min="7" max="7" width="5.44140625" customWidth="1"/>
    <col min="8" max="8" width="4.77734375" customWidth="1"/>
    <col min="9" max="9" width="7.109375" customWidth="1"/>
    <col min="10" max="10" width="6.88671875" customWidth="1"/>
    <col min="11" max="11" width="6.109375" customWidth="1"/>
    <col min="12" max="12" width="6.5546875" customWidth="1"/>
    <col min="13" max="13" width="6.109375" customWidth="1"/>
    <col min="14" max="14" width="5.44140625" customWidth="1"/>
    <col min="15" max="15" width="7" customWidth="1"/>
    <col min="16" max="17" width="6.44140625" customWidth="1"/>
    <col min="18" max="19" width="6.5546875" customWidth="1"/>
    <col min="20" max="20" width="6.77734375" customWidth="1"/>
    <col min="21" max="21" width="5.88671875" customWidth="1"/>
    <col min="22" max="22" width="7" customWidth="1"/>
    <col min="23" max="23" width="6" customWidth="1"/>
    <col min="24" max="24" width="6.77734375" customWidth="1"/>
    <col min="25" max="25" width="6.33203125" customWidth="1"/>
    <col min="26" max="26" width="5.44140625" customWidth="1"/>
    <col min="27" max="27" width="5.88671875" customWidth="1"/>
    <col min="28" max="28" width="6.88671875" customWidth="1"/>
  </cols>
  <sheetData>
    <row r="1" spans="1:28" x14ac:dyDescent="0.3">
      <c r="A1" s="11" t="s">
        <v>9</v>
      </c>
    </row>
    <row r="2" spans="1:28" x14ac:dyDescent="0.3">
      <c r="E2" s="107" t="s">
        <v>18</v>
      </c>
      <c r="F2" s="107"/>
      <c r="G2" s="108"/>
      <c r="H2" s="89" t="s">
        <v>27</v>
      </c>
      <c r="I2" s="93"/>
      <c r="J2" s="90"/>
      <c r="K2" s="94" t="s">
        <v>38</v>
      </c>
      <c r="L2" s="95"/>
      <c r="M2" s="96"/>
      <c r="N2" s="94" t="s">
        <v>42</v>
      </c>
      <c r="O2" s="95"/>
      <c r="P2" s="96"/>
      <c r="Q2" s="93" t="s">
        <v>36</v>
      </c>
      <c r="R2" s="93"/>
      <c r="S2" s="90"/>
      <c r="T2" s="94" t="s">
        <v>38</v>
      </c>
      <c r="U2" s="95"/>
      <c r="V2" s="96"/>
      <c r="W2" s="94" t="s">
        <v>40</v>
      </c>
      <c r="X2" s="95"/>
      <c r="Y2" s="96"/>
      <c r="Z2" s="89" t="s">
        <v>43</v>
      </c>
      <c r="AA2" s="93"/>
      <c r="AB2" s="90"/>
    </row>
    <row r="3" spans="1:28" x14ac:dyDescent="0.3">
      <c r="A3" s="10" t="s">
        <v>14</v>
      </c>
      <c r="B3" s="10" t="s">
        <v>15</v>
      </c>
      <c r="C3" t="s">
        <v>16</v>
      </c>
      <c r="D3" s="7" t="s">
        <v>17</v>
      </c>
      <c r="E3" s="20" t="s">
        <v>19</v>
      </c>
      <c r="F3" s="20" t="s">
        <v>20</v>
      </c>
      <c r="G3" s="20" t="s">
        <v>21</v>
      </c>
      <c r="H3" s="28" t="s">
        <v>19</v>
      </c>
      <c r="I3" s="29" t="s">
        <v>20</v>
      </c>
      <c r="J3" s="30" t="s">
        <v>21</v>
      </c>
      <c r="K3" s="28" t="s">
        <v>19</v>
      </c>
      <c r="L3" s="29" t="s">
        <v>20</v>
      </c>
      <c r="M3" s="30" t="s">
        <v>21</v>
      </c>
      <c r="N3" s="28" t="s">
        <v>19</v>
      </c>
      <c r="O3" s="29" t="s">
        <v>20</v>
      </c>
      <c r="P3" s="30" t="s">
        <v>21</v>
      </c>
      <c r="Q3" s="67" t="s">
        <v>19</v>
      </c>
      <c r="R3" s="63" t="s">
        <v>20</v>
      </c>
      <c r="S3" s="63" t="s">
        <v>21</v>
      </c>
      <c r="T3" s="63" t="s">
        <v>19</v>
      </c>
      <c r="U3" s="63" t="s">
        <v>20</v>
      </c>
      <c r="V3" s="63" t="s">
        <v>21</v>
      </c>
      <c r="W3" s="63" t="s">
        <v>19</v>
      </c>
      <c r="X3" s="63" t="s">
        <v>20</v>
      </c>
      <c r="Y3" s="68" t="s">
        <v>21</v>
      </c>
      <c r="Z3" s="76" t="s">
        <v>19</v>
      </c>
      <c r="AA3" s="77" t="s">
        <v>20</v>
      </c>
      <c r="AB3" s="78" t="s">
        <v>21</v>
      </c>
    </row>
    <row r="4" spans="1:28" x14ac:dyDescent="0.3">
      <c r="A4" s="10">
        <v>1</v>
      </c>
      <c r="B4" s="10">
        <v>1</v>
      </c>
      <c r="C4">
        <v>10.06</v>
      </c>
      <c r="D4" s="7">
        <v>20</v>
      </c>
      <c r="E4" s="20">
        <v>3377</v>
      </c>
      <c r="F4" s="20">
        <v>4242</v>
      </c>
      <c r="G4" s="20">
        <v>0</v>
      </c>
      <c r="H4" s="53">
        <v>0</v>
      </c>
      <c r="I4" s="65">
        <f t="shared" ref="I4:I15" si="0">(F4-$C$23)/$C$22</f>
        <v>0.72701436519098428</v>
      </c>
      <c r="J4" s="55">
        <v>0</v>
      </c>
      <c r="K4" s="42">
        <f>H4*D4/1000</f>
        <v>0</v>
      </c>
      <c r="L4" s="64">
        <f>I4*D4/1000</f>
        <v>1.4540287303819685E-2</v>
      </c>
      <c r="M4" s="30">
        <f t="shared" ref="M4:M12" si="1">J4*F4/1000</f>
        <v>0</v>
      </c>
      <c r="N4" s="28">
        <f>K4*C4/$G$25</f>
        <v>0</v>
      </c>
      <c r="O4" s="46">
        <f>L4*$G$25/C4</f>
        <v>0.85854181495714643</v>
      </c>
      <c r="P4" s="44">
        <f t="shared" ref="P4:P15" si="2">M4*$G$22/C4</f>
        <v>0</v>
      </c>
      <c r="Q4" s="53">
        <f>AVERAGE(H4:H6)</f>
        <v>0</v>
      </c>
      <c r="R4" s="65">
        <f>AVERAGE(I4:I6)</f>
        <v>0.6673545396841204</v>
      </c>
      <c r="S4" s="54">
        <f>AVERAGE(J4:J6)</f>
        <v>0</v>
      </c>
      <c r="T4" s="54">
        <v>0</v>
      </c>
      <c r="U4" s="64">
        <f>AVERAGE(L4:L6)</f>
        <v>1.3347090793682405E-2</v>
      </c>
      <c r="V4" s="54">
        <f>AVERAGE(M4:M6)</f>
        <v>0</v>
      </c>
      <c r="W4" s="54">
        <f>T4*G25/10</f>
        <v>0</v>
      </c>
      <c r="X4" s="46">
        <f>U4*G25/AVERAGE(C4:C6)</f>
        <v>0.78834987717408167</v>
      </c>
      <c r="Y4" s="55">
        <f>V4*G25/10</f>
        <v>0</v>
      </c>
      <c r="Z4" s="28">
        <f>W4*1000/G25</f>
        <v>0</v>
      </c>
      <c r="AA4" s="46">
        <f>X4*1000/G25</f>
        <v>1.3271883454109119</v>
      </c>
      <c r="AB4" s="47">
        <f>Y4*1000/G25</f>
        <v>0</v>
      </c>
    </row>
    <row r="5" spans="1:28" x14ac:dyDescent="0.3">
      <c r="A5" s="10"/>
      <c r="B5" s="10">
        <v>2</v>
      </c>
      <c r="C5">
        <v>10.06</v>
      </c>
      <c r="D5" s="7">
        <v>20</v>
      </c>
      <c r="E5" s="20">
        <v>0</v>
      </c>
      <c r="F5" s="20">
        <v>2393</v>
      </c>
      <c r="G5" s="20">
        <v>0</v>
      </c>
      <c r="H5" s="53">
        <v>0</v>
      </c>
      <c r="I5" s="65">
        <f t="shared" si="0"/>
        <v>0.64015529640185709</v>
      </c>
      <c r="J5" s="55">
        <v>0</v>
      </c>
      <c r="K5" s="42">
        <f t="shared" ref="K5:K15" si="3">H5*D5/1000</f>
        <v>0</v>
      </c>
      <c r="L5" s="64">
        <f t="shared" ref="L5:L14" si="4">I5*D5/1000</f>
        <v>1.2803105928037141E-2</v>
      </c>
      <c r="M5" s="30">
        <f t="shared" si="1"/>
        <v>0</v>
      </c>
      <c r="N5" s="28">
        <f>K5*C5/$G$25</f>
        <v>0</v>
      </c>
      <c r="O5" s="46">
        <f>L5*$G$25/C5</f>
        <v>0.75596868004513529</v>
      </c>
      <c r="P5" s="44">
        <f t="shared" si="2"/>
        <v>0</v>
      </c>
      <c r="Q5" s="53"/>
      <c r="R5" s="65"/>
      <c r="S5" s="54"/>
      <c r="T5" s="54"/>
      <c r="U5" s="64"/>
      <c r="V5" s="54"/>
      <c r="W5" s="54"/>
      <c r="X5" s="46"/>
      <c r="Y5" s="55"/>
      <c r="Z5" s="28"/>
      <c r="AA5" s="46"/>
      <c r="AB5" s="55"/>
    </row>
    <row r="6" spans="1:28" x14ac:dyDescent="0.3">
      <c r="A6" s="10"/>
      <c r="B6" s="10">
        <v>3</v>
      </c>
      <c r="C6">
        <v>10.050000000000001</v>
      </c>
      <c r="D6" s="7">
        <v>20</v>
      </c>
      <c r="E6" s="20">
        <v>0</v>
      </c>
      <c r="F6" s="20">
        <v>2281</v>
      </c>
      <c r="G6" s="20">
        <v>0</v>
      </c>
      <c r="H6" s="53">
        <v>0</v>
      </c>
      <c r="I6" s="65">
        <f t="shared" si="0"/>
        <v>0.63489395745951949</v>
      </c>
      <c r="J6" s="55">
        <v>0</v>
      </c>
      <c r="K6" s="42">
        <f t="shared" si="3"/>
        <v>0</v>
      </c>
      <c r="L6" s="64">
        <f t="shared" si="4"/>
        <v>1.269787914919039E-2</v>
      </c>
      <c r="M6" s="30">
        <f t="shared" si="1"/>
        <v>0</v>
      </c>
      <c r="N6" s="28">
        <f>K6*C6/$G$24</f>
        <v>0</v>
      </c>
      <c r="O6" s="46">
        <f>L6*$G$25/C6</f>
        <v>0.75050151389244679</v>
      </c>
      <c r="P6" s="44">
        <f t="shared" si="2"/>
        <v>0</v>
      </c>
      <c r="Q6" s="53"/>
      <c r="R6" s="65"/>
      <c r="S6" s="54"/>
      <c r="T6" s="54"/>
      <c r="U6" s="64"/>
      <c r="V6" s="54"/>
      <c r="W6" s="54"/>
      <c r="X6" s="46"/>
      <c r="Y6" s="55"/>
      <c r="Z6" s="28"/>
      <c r="AA6" s="46"/>
      <c r="AB6" s="55"/>
    </row>
    <row r="7" spans="1:28" x14ac:dyDescent="0.3">
      <c r="A7" s="10">
        <v>2</v>
      </c>
      <c r="B7" s="10">
        <v>1</v>
      </c>
      <c r="C7">
        <v>10.06</v>
      </c>
      <c r="D7" s="7">
        <v>20</v>
      </c>
      <c r="E7" s="20">
        <v>0</v>
      </c>
      <c r="F7" s="20">
        <v>2326</v>
      </c>
      <c r="G7" s="20">
        <v>0</v>
      </c>
      <c r="H7" s="53">
        <v>0</v>
      </c>
      <c r="I7" s="65">
        <f t="shared" si="0"/>
        <v>0.63700788828456589</v>
      </c>
      <c r="J7" s="55">
        <v>0</v>
      </c>
      <c r="K7" s="42">
        <v>0</v>
      </c>
      <c r="L7" s="64">
        <f t="shared" si="4"/>
        <v>1.2740157765691318E-2</v>
      </c>
      <c r="M7" s="30">
        <f t="shared" si="1"/>
        <v>0</v>
      </c>
      <c r="N7" s="28">
        <f>K7*C7/$G$25</f>
        <v>0</v>
      </c>
      <c r="O7" s="46">
        <f>L7*$G$24/C7</f>
        <v>0.81303988922205028</v>
      </c>
      <c r="P7" s="44">
        <f t="shared" si="2"/>
        <v>0</v>
      </c>
      <c r="Q7" s="53">
        <f t="shared" ref="Q7:V7" si="5">AVERAGE(H7:H9)</f>
        <v>0</v>
      </c>
      <c r="R7" s="65">
        <f t="shared" si="5"/>
        <v>0.61593121502151105</v>
      </c>
      <c r="S7" s="54">
        <f t="shared" si="5"/>
        <v>0</v>
      </c>
      <c r="T7" s="54">
        <f t="shared" si="5"/>
        <v>0</v>
      </c>
      <c r="U7" s="64">
        <f t="shared" si="5"/>
        <v>1.2318624300430223E-2</v>
      </c>
      <c r="V7" s="54">
        <f t="shared" si="5"/>
        <v>0</v>
      </c>
      <c r="W7" s="54">
        <f>T7*G28/10</f>
        <v>0</v>
      </c>
      <c r="X7" s="46">
        <f>U7*G24/AVERAGE(C7:C9)</f>
        <v>0.78927712583594845</v>
      </c>
      <c r="Y7" s="55">
        <f t="shared" ref="Y7:Y10" si="6">V7*G28/10</f>
        <v>0</v>
      </c>
      <c r="Z7" s="28">
        <f>W7*1000/G24</f>
        <v>0</v>
      </c>
      <c r="AA7" s="46">
        <f>X7*1000/G24</f>
        <v>1.2294036227974274</v>
      </c>
      <c r="AB7" s="47">
        <f>Y7*1000/G24</f>
        <v>0</v>
      </c>
    </row>
    <row r="8" spans="1:28" x14ac:dyDescent="0.3">
      <c r="A8" s="10"/>
      <c r="B8" s="10">
        <v>2</v>
      </c>
      <c r="C8">
        <v>9.98</v>
      </c>
      <c r="D8" s="7">
        <v>20</v>
      </c>
      <c r="E8" s="20">
        <v>0</v>
      </c>
      <c r="F8" s="20">
        <v>1724</v>
      </c>
      <c r="G8" s="20">
        <v>0</v>
      </c>
      <c r="H8" s="53">
        <v>0</v>
      </c>
      <c r="I8" s="65">
        <f t="shared" si="0"/>
        <v>0.60872819146950119</v>
      </c>
      <c r="J8" s="55">
        <v>0</v>
      </c>
      <c r="K8" s="42">
        <f t="shared" si="3"/>
        <v>0</v>
      </c>
      <c r="L8" s="64">
        <f t="shared" si="4"/>
        <v>1.2174563829390025E-2</v>
      </c>
      <c r="M8" s="30">
        <f t="shared" si="1"/>
        <v>0</v>
      </c>
      <c r="N8" s="28">
        <f>K8*C8/$G$25</f>
        <v>0</v>
      </c>
      <c r="O8" s="46">
        <f>L8*$G$24/C8</f>
        <v>0.78317334453591136</v>
      </c>
      <c r="P8" s="44">
        <f t="shared" si="2"/>
        <v>0</v>
      </c>
      <c r="Q8" s="53"/>
      <c r="R8" s="65"/>
      <c r="S8" s="54"/>
      <c r="T8" s="54"/>
      <c r="U8" s="64"/>
      <c r="V8" s="54"/>
      <c r="W8" s="54"/>
      <c r="X8" s="46"/>
      <c r="Y8" s="55"/>
      <c r="Z8" s="28"/>
      <c r="AA8" s="46"/>
      <c r="AB8" s="55"/>
    </row>
    <row r="9" spans="1:28" x14ac:dyDescent="0.3">
      <c r="A9" s="10"/>
      <c r="B9" s="10">
        <v>3</v>
      </c>
      <c r="C9">
        <v>10.02</v>
      </c>
      <c r="D9" s="7">
        <v>20</v>
      </c>
      <c r="E9" s="20">
        <v>0</v>
      </c>
      <c r="F9" s="20">
        <v>1582</v>
      </c>
      <c r="G9" s="20">
        <v>0</v>
      </c>
      <c r="H9" s="53">
        <v>0</v>
      </c>
      <c r="I9" s="65">
        <f t="shared" si="0"/>
        <v>0.60205756531046606</v>
      </c>
      <c r="J9" s="55">
        <v>0</v>
      </c>
      <c r="K9" s="42">
        <f t="shared" si="3"/>
        <v>0</v>
      </c>
      <c r="L9" s="64">
        <f t="shared" si="4"/>
        <v>1.2041151306209322E-2</v>
      </c>
      <c r="M9" s="30">
        <f t="shared" si="1"/>
        <v>0</v>
      </c>
      <c r="N9" s="28">
        <f>K9*C9/$G$25</f>
        <v>0</v>
      </c>
      <c r="O9" s="46">
        <f>L9*$G$24/C9</f>
        <v>0.77149891602658527</v>
      </c>
      <c r="P9" s="44">
        <f t="shared" si="2"/>
        <v>0</v>
      </c>
      <c r="Q9" s="53"/>
      <c r="R9" s="65"/>
      <c r="S9" s="54"/>
      <c r="T9" s="54"/>
      <c r="U9" s="64"/>
      <c r="V9" s="54"/>
      <c r="W9" s="54"/>
      <c r="X9" s="46"/>
      <c r="Y9" s="55"/>
      <c r="Z9" s="28"/>
      <c r="AA9" s="46"/>
      <c r="AB9" s="55"/>
    </row>
    <row r="10" spans="1:28" x14ac:dyDescent="0.3">
      <c r="A10" s="10">
        <v>3</v>
      </c>
      <c r="B10" s="10">
        <v>1</v>
      </c>
      <c r="C10">
        <v>9.99</v>
      </c>
      <c r="D10" s="7">
        <v>20</v>
      </c>
      <c r="E10" s="20">
        <v>0</v>
      </c>
      <c r="F10" s="20">
        <v>1905</v>
      </c>
      <c r="G10" s="20">
        <v>0</v>
      </c>
      <c r="H10" s="53">
        <v>0</v>
      </c>
      <c r="I10" s="65">
        <f t="shared" si="0"/>
        <v>0.6172308910102432</v>
      </c>
      <c r="J10" s="55">
        <v>0</v>
      </c>
      <c r="K10" s="42">
        <f t="shared" si="3"/>
        <v>0</v>
      </c>
      <c r="L10" s="64">
        <f t="shared" si="4"/>
        <v>1.2344617820204863E-2</v>
      </c>
      <c r="M10" s="30">
        <f t="shared" si="1"/>
        <v>0</v>
      </c>
      <c r="N10" s="28">
        <f>K10*C10/$G$23</f>
        <v>0</v>
      </c>
      <c r="O10" s="46">
        <f>L10*$G$23/C10</f>
        <v>0.7018761683559922</v>
      </c>
      <c r="P10" s="44">
        <f t="shared" si="2"/>
        <v>0</v>
      </c>
      <c r="Q10" s="53">
        <f t="shared" ref="Q10:V10" si="7">AVERAGE(H10:H12)</f>
        <v>0</v>
      </c>
      <c r="R10" s="65">
        <f t="shared" si="7"/>
        <v>0.64576112777494299</v>
      </c>
      <c r="S10" s="54">
        <f t="shared" si="7"/>
        <v>0</v>
      </c>
      <c r="T10" s="54">
        <f t="shared" si="7"/>
        <v>0</v>
      </c>
      <c r="U10" s="64">
        <f t="shared" si="7"/>
        <v>1.2915222555498859E-2</v>
      </c>
      <c r="V10" s="54">
        <f t="shared" si="7"/>
        <v>0</v>
      </c>
      <c r="W10" s="54">
        <f>T10*G31/10</f>
        <v>0</v>
      </c>
      <c r="X10" s="46">
        <f>U10*G23/AVERAGE(C10:C12)</f>
        <v>0.73212040035163195</v>
      </c>
      <c r="Y10" s="55">
        <f t="shared" si="6"/>
        <v>0</v>
      </c>
      <c r="Z10" s="28">
        <f>W10*1000/G23</f>
        <v>0</v>
      </c>
      <c r="AA10" s="46">
        <f>X10*1000/G23</f>
        <v>1.2889443668162535</v>
      </c>
      <c r="AB10" s="47">
        <f>Y10*1000/G23</f>
        <v>0</v>
      </c>
    </row>
    <row r="11" spans="1:28" x14ac:dyDescent="0.3">
      <c r="A11" s="10"/>
      <c r="B11" s="10">
        <v>2</v>
      </c>
      <c r="C11">
        <v>10.02</v>
      </c>
      <c r="D11" s="7">
        <v>20</v>
      </c>
      <c r="E11" s="20">
        <v>0</v>
      </c>
      <c r="F11" s="20">
        <v>2738</v>
      </c>
      <c r="G11" s="20">
        <v>0</v>
      </c>
      <c r="H11" s="53">
        <v>0</v>
      </c>
      <c r="I11" s="65">
        <f t="shared" si="0"/>
        <v>0.65636209939387924</v>
      </c>
      <c r="J11" s="55">
        <v>0</v>
      </c>
      <c r="K11" s="42">
        <f t="shared" si="3"/>
        <v>0</v>
      </c>
      <c r="L11" s="64">
        <f t="shared" si="4"/>
        <v>1.3127241987877585E-2</v>
      </c>
      <c r="M11" s="30">
        <f t="shared" si="1"/>
        <v>0</v>
      </c>
      <c r="N11" s="28">
        <f>K11*C11/$G$23</f>
        <v>0</v>
      </c>
      <c r="O11" s="46">
        <f>L11*$G$23/C11</f>
        <v>0.74413906677789099</v>
      </c>
      <c r="P11" s="44">
        <f t="shared" si="2"/>
        <v>0</v>
      </c>
      <c r="Q11" s="53"/>
      <c r="R11" s="65"/>
      <c r="S11" s="54"/>
      <c r="T11" s="54"/>
      <c r="U11" s="64"/>
      <c r="V11" s="54"/>
      <c r="W11" s="54"/>
      <c r="X11" s="46"/>
      <c r="Y11" s="55"/>
      <c r="Z11" s="28"/>
      <c r="AA11" s="29"/>
      <c r="AB11" s="55"/>
    </row>
    <row r="12" spans="1:28" x14ac:dyDescent="0.3">
      <c r="A12" s="10"/>
      <c r="B12" s="10">
        <v>3</v>
      </c>
      <c r="C12">
        <v>10.050000000000001</v>
      </c>
      <c r="D12" s="7">
        <v>20</v>
      </c>
      <c r="E12" s="20">
        <v>0</v>
      </c>
      <c r="F12" s="20">
        <v>2894</v>
      </c>
      <c r="G12" s="20">
        <v>0</v>
      </c>
      <c r="H12" s="53">
        <v>0</v>
      </c>
      <c r="I12" s="65">
        <f t="shared" si="0"/>
        <v>0.66369039292070664</v>
      </c>
      <c r="J12" s="55">
        <v>0</v>
      </c>
      <c r="K12" s="42">
        <f t="shared" si="3"/>
        <v>0</v>
      </c>
      <c r="L12" s="64">
        <f t="shared" si="4"/>
        <v>1.3273807858414132E-2</v>
      </c>
      <c r="M12" s="30">
        <f t="shared" si="1"/>
        <v>0</v>
      </c>
      <c r="N12" s="28">
        <f>K12*C12/$G$23</f>
        <v>0</v>
      </c>
      <c r="O12" s="46">
        <f>L12*$G$23/C12</f>
        <v>0.75020127995813191</v>
      </c>
      <c r="P12" s="44">
        <f t="shared" si="2"/>
        <v>0</v>
      </c>
      <c r="Q12" s="53"/>
      <c r="R12" s="65"/>
      <c r="S12" s="54"/>
      <c r="T12" s="54"/>
      <c r="U12" s="64"/>
      <c r="V12" s="54"/>
      <c r="W12" s="54"/>
      <c r="X12" s="46"/>
      <c r="Y12" s="55"/>
      <c r="Z12" s="28"/>
      <c r="AA12" s="29"/>
      <c r="AB12" s="55"/>
    </row>
    <row r="13" spans="1:28" x14ac:dyDescent="0.3">
      <c r="A13" s="10">
        <v>4</v>
      </c>
      <c r="B13" s="10">
        <v>1</v>
      </c>
      <c r="C13">
        <v>9.9700000000000006</v>
      </c>
      <c r="D13" s="7">
        <v>20</v>
      </c>
      <c r="E13" s="20">
        <v>0</v>
      </c>
      <c r="F13" s="20">
        <v>5211</v>
      </c>
      <c r="G13" s="20">
        <v>4343</v>
      </c>
      <c r="H13" s="53">
        <v>0</v>
      </c>
      <c r="I13" s="65">
        <f t="shared" si="0"/>
        <v>0.77253434229031592</v>
      </c>
      <c r="J13" s="49">
        <f>(G13-$D$23)/$D$22</f>
        <v>0.48098818990345427</v>
      </c>
      <c r="K13" s="42">
        <f t="shared" si="3"/>
        <v>0</v>
      </c>
      <c r="L13" s="64">
        <f t="shared" si="4"/>
        <v>1.5450686845806319E-2</v>
      </c>
      <c r="M13" s="70">
        <f>J13*D13/1000</f>
        <v>9.6197637980690847E-3</v>
      </c>
      <c r="N13" s="28">
        <f>K13*C13/$G$22</f>
        <v>0</v>
      </c>
      <c r="O13" s="46">
        <f>L13*$G$22/C13</f>
        <v>0.83374819689506519</v>
      </c>
      <c r="P13" s="74">
        <f t="shared" si="2"/>
        <v>0.5191005941184722</v>
      </c>
      <c r="Q13" s="53">
        <f t="shared" ref="Q13:V13" si="8">AVERAGE(H13:H15)</f>
        <v>0</v>
      </c>
      <c r="R13" s="65">
        <f t="shared" si="8"/>
        <v>0.80676436290921483</v>
      </c>
      <c r="S13" s="65">
        <f t="shared" si="8"/>
        <v>0.53361945043201053</v>
      </c>
      <c r="T13" s="54">
        <f t="shared" si="8"/>
        <v>0</v>
      </c>
      <c r="U13" s="64">
        <f t="shared" si="8"/>
        <v>1.6135287258184295E-2</v>
      </c>
      <c r="V13" s="64">
        <f t="shared" si="8"/>
        <v>1.0672389008640209E-2</v>
      </c>
      <c r="W13" s="54">
        <f>T13*G34/10</f>
        <v>0</v>
      </c>
      <c r="X13" s="46">
        <f>U13*G22/AVERAGE(C13:C15)</f>
        <v>0.869237437740636</v>
      </c>
      <c r="Y13" s="74">
        <f>V13*G22/AVERAGE(C13:C15)</f>
        <v>0.57494111682060411</v>
      </c>
      <c r="Z13" s="28">
        <f>W13*1000/G22</f>
        <v>0</v>
      </c>
      <c r="AA13" s="46">
        <f>X13*1000/G22</f>
        <v>1.6156829697781339</v>
      </c>
      <c r="AB13" s="49">
        <f>Y13*1000/G22</f>
        <v>1.0686637859119035</v>
      </c>
    </row>
    <row r="14" spans="1:28" x14ac:dyDescent="0.3">
      <c r="A14" s="10"/>
      <c r="B14" s="10">
        <v>2</v>
      </c>
      <c r="C14">
        <v>9.9600000000000009</v>
      </c>
      <c r="D14" s="7">
        <v>20</v>
      </c>
      <c r="E14" s="20">
        <v>0</v>
      </c>
      <c r="F14" s="20">
        <v>4871</v>
      </c>
      <c r="G14" s="20">
        <v>2670</v>
      </c>
      <c r="H14" s="53">
        <v>0</v>
      </c>
      <c r="I14" s="65">
        <f t="shared" si="0"/>
        <v>0.75656242050107669</v>
      </c>
      <c r="J14" s="49">
        <f>(G14-$D$23)/$D$22</f>
        <v>0.38907576937707178</v>
      </c>
      <c r="K14" s="42">
        <f t="shared" si="3"/>
        <v>0</v>
      </c>
      <c r="L14" s="64">
        <f t="shared" si="4"/>
        <v>1.5131248410021534E-2</v>
      </c>
      <c r="M14" s="70">
        <f t="shared" ref="M14:M15" si="9">J14*D14/1000</f>
        <v>7.7815153875414357E-3</v>
      </c>
      <c r="N14" s="28">
        <f>K14*C14/$G$22</f>
        <v>0</v>
      </c>
      <c r="O14" s="46">
        <f>L14*$G$22/C14</f>
        <v>0.81733048640477757</v>
      </c>
      <c r="P14" s="74">
        <f t="shared" si="2"/>
        <v>0.42032683519049119</v>
      </c>
      <c r="Q14" s="28"/>
      <c r="R14" s="29"/>
      <c r="S14" s="29"/>
      <c r="T14" s="29"/>
      <c r="U14" s="29"/>
      <c r="V14" s="29"/>
      <c r="W14" s="29"/>
      <c r="X14" s="29"/>
      <c r="Y14" s="30"/>
      <c r="Z14" s="28"/>
      <c r="AA14" s="29"/>
      <c r="AB14" s="30"/>
    </row>
    <row r="15" spans="1:28" x14ac:dyDescent="0.3">
      <c r="A15" s="10"/>
      <c r="B15" s="10">
        <v>3</v>
      </c>
      <c r="C15">
        <v>10.029999999999999</v>
      </c>
      <c r="D15" s="7">
        <v>20</v>
      </c>
      <c r="E15" s="20">
        <v>0</v>
      </c>
      <c r="F15" s="20">
        <v>7737</v>
      </c>
      <c r="G15" s="20">
        <v>8890</v>
      </c>
      <c r="H15" s="56">
        <v>0</v>
      </c>
      <c r="I15" s="69">
        <f t="shared" si="0"/>
        <v>0.89119632593625164</v>
      </c>
      <c r="J15" s="52">
        <f>(G15-$D$23)/$D$22</f>
        <v>0.73079439201550533</v>
      </c>
      <c r="K15" s="71">
        <f t="shared" si="3"/>
        <v>0</v>
      </c>
      <c r="L15" s="72">
        <f>I15*D15/1000</f>
        <v>1.7823926518725032E-2</v>
      </c>
      <c r="M15" s="73">
        <f t="shared" si="9"/>
        <v>1.4615887840310107E-2</v>
      </c>
      <c r="N15" s="32">
        <f>K15*C15/$G$22</f>
        <v>0</v>
      </c>
      <c r="O15" s="51">
        <f>L15*$G$22/C15</f>
        <v>0.95605906949891006</v>
      </c>
      <c r="P15" s="75">
        <f t="shared" si="2"/>
        <v>0.78398281735661401</v>
      </c>
      <c r="Q15" s="32"/>
      <c r="R15" s="45"/>
      <c r="S15" s="45"/>
      <c r="T15" s="45"/>
      <c r="U15" s="45"/>
      <c r="V15" s="45"/>
      <c r="W15" s="45"/>
      <c r="X15" s="45"/>
      <c r="Y15" s="33"/>
      <c r="Z15" s="32"/>
      <c r="AA15" s="45"/>
      <c r="AB15" s="33"/>
    </row>
    <row r="16" spans="1:28" x14ac:dyDescent="0.3">
      <c r="W16">
        <f>SUM(W4:W13)</f>
        <v>0</v>
      </c>
      <c r="X16">
        <f t="shared" ref="X16:Y16" si="10">SUM(X4:X13)</f>
        <v>3.1789848411022978</v>
      </c>
      <c r="Y16">
        <f t="shared" si="10"/>
        <v>0.57494111682060411</v>
      </c>
    </row>
    <row r="20" spans="1:7" x14ac:dyDescent="0.3">
      <c r="F20" t="s">
        <v>14</v>
      </c>
      <c r="G20" t="s">
        <v>37</v>
      </c>
    </row>
    <row r="21" spans="1:7" x14ac:dyDescent="0.3">
      <c r="B21" t="s">
        <v>19</v>
      </c>
      <c r="C21" t="s">
        <v>20</v>
      </c>
      <c r="D21" t="s">
        <v>21</v>
      </c>
    </row>
    <row r="22" spans="1:7" x14ac:dyDescent="0.3">
      <c r="A22" t="s">
        <v>33</v>
      </c>
      <c r="B22">
        <v>12112.85029100381</v>
      </c>
      <c r="C22">
        <v>21287.356930902926</v>
      </c>
      <c r="D22">
        <v>18202.110121991427</v>
      </c>
      <c r="F22">
        <v>4</v>
      </c>
      <c r="G22">
        <v>538</v>
      </c>
    </row>
    <row r="23" spans="1:7" x14ac:dyDescent="0.3">
      <c r="A23" t="s">
        <v>34</v>
      </c>
      <c r="B23">
        <v>-11549.32142857142</v>
      </c>
      <c r="C23">
        <v>-11234.21428571429</v>
      </c>
      <c r="D23">
        <v>-4412</v>
      </c>
      <c r="F23">
        <v>3</v>
      </c>
      <c r="G23">
        <v>568</v>
      </c>
    </row>
    <row r="24" spans="1:7" x14ac:dyDescent="0.3">
      <c r="F24">
        <v>2</v>
      </c>
      <c r="G24">
        <v>642</v>
      </c>
    </row>
    <row r="25" spans="1:7" x14ac:dyDescent="0.3">
      <c r="F25">
        <v>1</v>
      </c>
      <c r="G25">
        <v>594</v>
      </c>
    </row>
  </sheetData>
  <mergeCells count="8">
    <mergeCell ref="E2:G2"/>
    <mergeCell ref="Z2:AB2"/>
    <mergeCell ref="H2:J2"/>
    <mergeCell ref="K2:M2"/>
    <mergeCell ref="N2:P2"/>
    <mergeCell ref="Q2:S2"/>
    <mergeCell ref="T2:V2"/>
    <mergeCell ref="W2:Y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5"/>
  <sheetViews>
    <sheetView tabSelected="1" workbookViewId="0">
      <selection activeCell="P18" sqref="P18"/>
    </sheetView>
  </sheetViews>
  <sheetFormatPr defaultRowHeight="14.4" x14ac:dyDescent="0.3"/>
  <sheetData>
    <row r="1" spans="1:23" x14ac:dyDescent="0.3">
      <c r="A1" t="s">
        <v>45</v>
      </c>
    </row>
    <row r="2" spans="1:23" x14ac:dyDescent="0.3">
      <c r="B2" s="109" t="s">
        <v>46</v>
      </c>
      <c r="C2" s="88"/>
      <c r="D2" s="88"/>
      <c r="E2" t="s">
        <v>60</v>
      </c>
      <c r="H2" t="s">
        <v>66</v>
      </c>
    </row>
    <row r="3" spans="1:23" x14ac:dyDescent="0.3">
      <c r="A3" s="22" t="s">
        <v>47</v>
      </c>
      <c r="B3" s="22" t="s">
        <v>19</v>
      </c>
      <c r="C3" s="22" t="s">
        <v>20</v>
      </c>
      <c r="D3" s="22" t="s">
        <v>21</v>
      </c>
      <c r="E3" s="22" t="s">
        <v>19</v>
      </c>
      <c r="F3" s="22" t="s">
        <v>20</v>
      </c>
      <c r="G3" s="22" t="s">
        <v>21</v>
      </c>
      <c r="H3" s="80" t="s">
        <v>67</v>
      </c>
      <c r="I3" s="80" t="s">
        <v>68</v>
      </c>
      <c r="V3" s="21" t="s">
        <v>61</v>
      </c>
      <c r="W3" s="21" t="s">
        <v>65</v>
      </c>
    </row>
    <row r="4" spans="1:23" x14ac:dyDescent="0.3">
      <c r="A4" s="22" t="s">
        <v>48</v>
      </c>
      <c r="B4">
        <v>0</v>
      </c>
      <c r="C4" s="39">
        <v>1.1456643843261221</v>
      </c>
      <c r="D4">
        <v>0</v>
      </c>
      <c r="F4" s="41">
        <f>AVERAGE(C4:C6)</f>
        <v>1.2003850536996117</v>
      </c>
      <c r="H4">
        <f>_xlfn.STDEV.P(C4:C6)</f>
        <v>8.9943187417760737E-2</v>
      </c>
      <c r="V4" s="79" t="s">
        <v>47</v>
      </c>
      <c r="W4" s="4" t="s">
        <v>1</v>
      </c>
    </row>
    <row r="5" spans="1:23" x14ac:dyDescent="0.3">
      <c r="A5" s="22" t="s">
        <v>49</v>
      </c>
      <c r="B5">
        <v>0</v>
      </c>
      <c r="C5" s="39">
        <v>1.1283024313618011</v>
      </c>
      <c r="D5">
        <v>0</v>
      </c>
      <c r="F5" s="41">
        <f>_xlfn.STDEV.P(C4:C6)</f>
        <v>8.9943187417760737E-2</v>
      </c>
      <c r="V5" s="79" t="s">
        <v>62</v>
      </c>
      <c r="W5" s="3" t="s">
        <v>2</v>
      </c>
    </row>
    <row r="6" spans="1:23" x14ac:dyDescent="0.3">
      <c r="A6" s="22" t="s">
        <v>50</v>
      </c>
      <c r="B6">
        <v>0</v>
      </c>
      <c r="C6" s="39">
        <v>1.3271883454109119</v>
      </c>
      <c r="D6">
        <v>0</v>
      </c>
      <c r="V6" s="79" t="s">
        <v>63</v>
      </c>
      <c r="W6" s="1" t="s">
        <v>3</v>
      </c>
    </row>
    <row r="7" spans="1:23" x14ac:dyDescent="0.3">
      <c r="A7" s="22" t="s">
        <v>51</v>
      </c>
      <c r="B7">
        <v>0</v>
      </c>
      <c r="C7" s="39">
        <v>1.1423600767660418</v>
      </c>
      <c r="D7">
        <v>0</v>
      </c>
      <c r="F7" s="41">
        <f>AVERAGE(C7:C9)</f>
        <v>1.1826800077410766</v>
      </c>
      <c r="H7">
        <f t="shared" ref="H7:H13" si="0">_xlfn.STDEV.P(C7:C9)</f>
        <v>3.582271256981584E-2</v>
      </c>
      <c r="V7" s="79" t="s">
        <v>64</v>
      </c>
      <c r="W7" s="2" t="s">
        <v>4</v>
      </c>
    </row>
    <row r="8" spans="1:23" x14ac:dyDescent="0.3">
      <c r="A8" s="22" t="s">
        <v>52</v>
      </c>
      <c r="B8">
        <v>0</v>
      </c>
      <c r="C8" s="39">
        <v>1.1762763236597606</v>
      </c>
      <c r="D8">
        <v>0</v>
      </c>
      <c r="F8" s="41">
        <f>_xlfn.STDEV.P(C7:C9)</f>
        <v>3.582271256981584E-2</v>
      </c>
    </row>
    <row r="9" spans="1:23" x14ac:dyDescent="0.3">
      <c r="A9" s="22" t="s">
        <v>53</v>
      </c>
      <c r="B9">
        <v>0</v>
      </c>
      <c r="C9" s="39">
        <v>1.2294036227974274</v>
      </c>
      <c r="D9">
        <v>0</v>
      </c>
      <c r="F9" s="41"/>
    </row>
    <row r="10" spans="1:23" x14ac:dyDescent="0.3">
      <c r="A10" s="22" t="s">
        <v>54</v>
      </c>
      <c r="B10">
        <v>0</v>
      </c>
      <c r="C10" s="39">
        <v>0.99676286240282708</v>
      </c>
      <c r="D10">
        <v>0</v>
      </c>
      <c r="F10" s="40">
        <f t="shared" ref="F10:G13" si="1">AVERAGE(C10:C12)</f>
        <v>1.1388048401093569</v>
      </c>
      <c r="H10">
        <f t="shared" si="0"/>
        <v>0.1194199469803463</v>
      </c>
    </row>
    <row r="11" spans="1:23" x14ac:dyDescent="0.3">
      <c r="A11" s="22" t="s">
        <v>55</v>
      </c>
      <c r="B11">
        <v>0</v>
      </c>
      <c r="C11" s="39">
        <v>1.1307072911089902</v>
      </c>
      <c r="D11">
        <v>0</v>
      </c>
      <c r="F11" s="40">
        <f>_xlfn.STDEV.P(C10:C12)</f>
        <v>0.1194199469803463</v>
      </c>
    </row>
    <row r="12" spans="1:23" x14ac:dyDescent="0.3">
      <c r="A12" s="22" t="s">
        <v>56</v>
      </c>
      <c r="B12">
        <v>0</v>
      </c>
      <c r="C12" s="39">
        <v>1.2889443668162535</v>
      </c>
      <c r="D12">
        <v>0</v>
      </c>
      <c r="F12" s="41"/>
    </row>
    <row r="13" spans="1:23" x14ac:dyDescent="0.3">
      <c r="A13" s="22" t="s">
        <v>57</v>
      </c>
      <c r="B13">
        <v>0</v>
      </c>
      <c r="C13" s="39">
        <v>1.5539327988771923</v>
      </c>
      <c r="D13" s="38">
        <v>1.9799299232233878</v>
      </c>
      <c r="F13" s="40">
        <f t="shared" si="1"/>
        <v>1.4037746825405097</v>
      </c>
      <c r="G13" s="40">
        <f t="shared" si="1"/>
        <v>1.0783512938376669</v>
      </c>
      <c r="H13">
        <f t="shared" si="0"/>
        <v>0.25725775835336651</v>
      </c>
      <c r="I13" s="40">
        <v>0.3</v>
      </c>
    </row>
    <row r="14" spans="1:23" x14ac:dyDescent="0.3">
      <c r="A14" s="22" t="s">
        <v>58</v>
      </c>
      <c r="B14">
        <v>0</v>
      </c>
      <c r="C14" s="39">
        <v>1.0417082789662033</v>
      </c>
      <c r="D14" s="38">
        <v>0.1864601723777094</v>
      </c>
      <c r="F14" s="40">
        <f>_xlfn.STDEV.P(C13:C15)</f>
        <v>0.25725775835336651</v>
      </c>
      <c r="G14" s="40">
        <f>_xlfn.STDEV.P(D13:D15)</f>
        <v>0.73221300300617154</v>
      </c>
    </row>
    <row r="15" spans="1:23" x14ac:dyDescent="0.3">
      <c r="A15" s="22" t="s">
        <v>59</v>
      </c>
      <c r="B15">
        <v>0</v>
      </c>
      <c r="C15" s="39">
        <v>1.6156829697781339</v>
      </c>
      <c r="D15" s="38">
        <v>1.0686637859119035</v>
      </c>
    </row>
  </sheetData>
  <mergeCells count="1">
    <mergeCell ref="B2:D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63410-9C14-4DAA-827F-FEBB92D1E02A}">
  <dimension ref="A1:Q12"/>
  <sheetViews>
    <sheetView zoomScale="90" zoomScaleNormal="90" workbookViewId="0">
      <selection activeCell="E5" sqref="E5"/>
    </sheetView>
  </sheetViews>
  <sheetFormatPr defaultRowHeight="14.4" x14ac:dyDescent="0.3"/>
  <cols>
    <col min="1" max="1" width="18.21875" customWidth="1"/>
    <col min="5" max="5" width="8.21875" customWidth="1"/>
  </cols>
  <sheetData>
    <row r="1" spans="1:17" ht="18" x14ac:dyDescent="0.35">
      <c r="A1" s="110" t="s">
        <v>69</v>
      </c>
    </row>
    <row r="2" spans="1:17" x14ac:dyDescent="0.3">
      <c r="B2" s="111" t="s">
        <v>8</v>
      </c>
      <c r="C2" s="112"/>
      <c r="D2" s="112"/>
      <c r="E2" s="113"/>
      <c r="F2" s="114" t="s">
        <v>0</v>
      </c>
      <c r="G2" s="115"/>
      <c r="H2" s="115"/>
      <c r="I2" s="116"/>
      <c r="J2" s="117" t="s">
        <v>9</v>
      </c>
      <c r="K2" s="118"/>
      <c r="L2" s="118"/>
      <c r="M2" s="119"/>
      <c r="N2" s="120" t="s">
        <v>70</v>
      </c>
      <c r="O2" s="121"/>
      <c r="P2" s="121"/>
      <c r="Q2" s="122"/>
    </row>
    <row r="3" spans="1:17" x14ac:dyDescent="0.3">
      <c r="B3" s="85" t="s">
        <v>19</v>
      </c>
      <c r="C3" s="86" t="s">
        <v>20</v>
      </c>
      <c r="D3" s="86" t="s">
        <v>21</v>
      </c>
      <c r="E3" s="44" t="s">
        <v>10</v>
      </c>
      <c r="F3" s="85" t="s">
        <v>19</v>
      </c>
      <c r="G3" s="86" t="s">
        <v>20</v>
      </c>
      <c r="H3" s="86" t="s">
        <v>21</v>
      </c>
      <c r="I3" s="44" t="s">
        <v>10</v>
      </c>
      <c r="J3" s="85" t="s">
        <v>19</v>
      </c>
      <c r="K3" s="86" t="s">
        <v>20</v>
      </c>
      <c r="L3" s="86" t="s">
        <v>21</v>
      </c>
      <c r="M3" s="44" t="s">
        <v>10</v>
      </c>
      <c r="N3" s="82" t="s">
        <v>19</v>
      </c>
      <c r="O3" s="83" t="s">
        <v>20</v>
      </c>
      <c r="P3" s="83" t="s">
        <v>21</v>
      </c>
      <c r="Q3" s="84" t="s">
        <v>10</v>
      </c>
    </row>
    <row r="4" spans="1:17" x14ac:dyDescent="0.3">
      <c r="A4" s="25" t="s">
        <v>71</v>
      </c>
      <c r="B4" s="82">
        <v>0.53</v>
      </c>
      <c r="C4" s="83">
        <v>0.32</v>
      </c>
      <c r="D4" s="83">
        <v>0.15</v>
      </c>
      <c r="E4" s="84">
        <f>SUM(B4:D4)</f>
        <v>1</v>
      </c>
      <c r="F4" s="82">
        <v>0.53</v>
      </c>
      <c r="G4" s="83">
        <v>0.32</v>
      </c>
      <c r="H4" s="83">
        <v>0.15</v>
      </c>
      <c r="I4" s="84">
        <f>SUM(F4:H4)</f>
        <v>1</v>
      </c>
      <c r="J4" s="82">
        <v>0.53</v>
      </c>
      <c r="K4" s="83">
        <v>0.32</v>
      </c>
      <c r="L4" s="83">
        <v>0.15</v>
      </c>
      <c r="M4" s="84">
        <f>SUM(J4:L4)</f>
        <v>1</v>
      </c>
      <c r="N4" s="53"/>
      <c r="O4" s="81"/>
      <c r="P4" s="81"/>
      <c r="Q4" s="55"/>
    </row>
    <row r="5" spans="1:17" x14ac:dyDescent="0.3">
      <c r="A5" s="32" t="s">
        <v>72</v>
      </c>
      <c r="B5" s="123">
        <f>$E$5*B$4</f>
        <v>160.27199999999999</v>
      </c>
      <c r="C5" s="35">
        <f>$E$5*C$4</f>
        <v>96.768000000000001</v>
      </c>
      <c r="D5" s="35">
        <f>$E$5*D$4</f>
        <v>45.359999999999992</v>
      </c>
      <c r="E5" s="48">
        <v>302.39999999999998</v>
      </c>
      <c r="F5" s="124">
        <f>$I$5*F$4</f>
        <v>128.47200000000001</v>
      </c>
      <c r="G5" s="125">
        <f t="shared" ref="G5" si="0">$I$5*G$4</f>
        <v>77.567999999999998</v>
      </c>
      <c r="H5" s="125">
        <f>$I$5*H$4</f>
        <v>36.36</v>
      </c>
      <c r="I5" s="47">
        <v>242.4</v>
      </c>
      <c r="J5" s="124">
        <f>$I$5*J$4</f>
        <v>128.47200000000001</v>
      </c>
      <c r="K5" s="125">
        <f t="shared" ref="K5" si="1">$I$5*K$4</f>
        <v>77.567999999999998</v>
      </c>
      <c r="L5" s="125">
        <f>$I$5*L$4</f>
        <v>36.36</v>
      </c>
      <c r="M5" s="47">
        <v>303.60000000000002</v>
      </c>
      <c r="N5" s="53"/>
      <c r="O5" s="81"/>
      <c r="P5" s="81"/>
      <c r="Q5" s="55"/>
    </row>
    <row r="6" spans="1:17" x14ac:dyDescent="0.3">
      <c r="A6" s="25" t="s">
        <v>73</v>
      </c>
      <c r="B6" s="126">
        <v>90.203354035625694</v>
      </c>
      <c r="C6" s="127">
        <v>8.7856336724376884</v>
      </c>
      <c r="D6" s="127">
        <v>3.4088797400304895</v>
      </c>
      <c r="E6" s="128">
        <f>SUM(B6:D6)</f>
        <v>102.39786744809386</v>
      </c>
      <c r="F6" s="127">
        <v>74.981747106466742</v>
      </c>
      <c r="G6" s="127">
        <v>7.2958571703359141</v>
      </c>
      <c r="H6" s="127">
        <v>3.1183063329678067</v>
      </c>
      <c r="I6" s="128">
        <f>SUM(F6:H6)</f>
        <v>85.395910609770468</v>
      </c>
      <c r="J6" s="126">
        <v>76.035181324047542</v>
      </c>
      <c r="K6" s="127">
        <v>6.2862852800259779</v>
      </c>
      <c r="L6" s="127">
        <v>2.9426021262938296</v>
      </c>
      <c r="M6" s="128">
        <f>SUM(J6:L6)</f>
        <v>85.264068730367356</v>
      </c>
      <c r="N6" s="53"/>
      <c r="O6" s="81"/>
      <c r="P6" s="81"/>
      <c r="Q6" s="55"/>
    </row>
    <row r="7" spans="1:17" x14ac:dyDescent="0.3">
      <c r="A7" s="32" t="s">
        <v>74</v>
      </c>
      <c r="B7" s="31">
        <f>(B6*100/B5)</f>
        <v>56.281417861900827</v>
      </c>
      <c r="C7" s="23">
        <f t="shared" ref="C7:D7" si="2">(C6*100/C5)</f>
        <v>9.0790691886136834</v>
      </c>
      <c r="D7" s="23">
        <f t="shared" si="2"/>
        <v>7.5151669753758599</v>
      </c>
      <c r="E7" s="129">
        <f>(E6*100/E5)</f>
        <v>33.861728653470195</v>
      </c>
      <c r="F7" s="130">
        <f>(F6*100/F5)</f>
        <v>58.36427167512511</v>
      </c>
      <c r="G7" s="130">
        <f t="shared" ref="G7:H7" si="3">(G6*100/G5)</f>
        <v>9.4057564592820686</v>
      </c>
      <c r="H7" s="130">
        <f t="shared" si="3"/>
        <v>8.5762000356650354</v>
      </c>
      <c r="I7" s="131">
        <f>(I6*100/I5)</f>
        <v>35.229336060136333</v>
      </c>
      <c r="J7" s="31">
        <f>(J6*100/J5)</f>
        <v>59.18424351146362</v>
      </c>
      <c r="K7" s="23">
        <f t="shared" ref="K7:L7" si="4">(K6*100/K5)</f>
        <v>8.1042250412876164</v>
      </c>
      <c r="L7" s="23">
        <f t="shared" si="4"/>
        <v>8.0929651438224148</v>
      </c>
      <c r="M7" s="129">
        <f>(M6*100/M5)</f>
        <v>28.084344114086743</v>
      </c>
      <c r="N7" s="31">
        <f>AVERAGE(B7,F7,J7)</f>
        <v>57.943311016163186</v>
      </c>
      <c r="O7" s="23">
        <f>AVERAGE(C7,G7,K7)</f>
        <v>8.8630168963944573</v>
      </c>
      <c r="P7" s="23">
        <f>AVERAGE(D7,H7,L7)</f>
        <v>8.0614440516211037</v>
      </c>
      <c r="Q7" s="47">
        <f>AVERAGE(E7,I7,M7)</f>
        <v>32.391802942564425</v>
      </c>
    </row>
    <row r="8" spans="1:17" x14ac:dyDescent="0.3">
      <c r="A8" s="25" t="s">
        <v>75</v>
      </c>
      <c r="B8" s="132">
        <f>B5-B6-B10</f>
        <v>70.068645964374298</v>
      </c>
      <c r="C8" s="133">
        <f t="shared" ref="C8:D8" si="5">C5-C6-C10</f>
        <v>85.032366327562315</v>
      </c>
      <c r="D8" s="133">
        <f t="shared" si="5"/>
        <v>40.751120259969497</v>
      </c>
      <c r="E8" s="128">
        <v>213.7</v>
      </c>
      <c r="F8" s="133">
        <f>F5-F6-F10</f>
        <v>53.490252893533267</v>
      </c>
      <c r="G8" s="133">
        <f t="shared" ref="G8:H8" si="6">G5-G7-G10</f>
        <v>65.492286667895925</v>
      </c>
      <c r="H8" s="133">
        <f t="shared" si="6"/>
        <v>27.675280144011136</v>
      </c>
      <c r="I8" s="35">
        <v>170.2</v>
      </c>
      <c r="J8" s="132">
        <f>J5-J6</f>
        <v>52.436818675952466</v>
      </c>
      <c r="K8" s="133">
        <f t="shared" ref="K8" si="7">K5-K6</f>
        <v>71.281714719974019</v>
      </c>
      <c r="L8" s="133">
        <f>L5-L6</f>
        <v>33.417397873706172</v>
      </c>
      <c r="M8" s="84">
        <v>225.6</v>
      </c>
      <c r="N8" s="31"/>
      <c r="O8" s="23"/>
      <c r="P8" s="23"/>
      <c r="Q8" s="47"/>
    </row>
    <row r="9" spans="1:17" x14ac:dyDescent="0.3">
      <c r="A9" s="32" t="s">
        <v>76</v>
      </c>
      <c r="B9" s="134">
        <f>B8*100/B5</f>
        <v>43.718582138099173</v>
      </c>
      <c r="C9" s="135">
        <f t="shared" ref="C9:D9" si="8">C8*100/C5</f>
        <v>87.872402372232884</v>
      </c>
      <c r="D9" s="135">
        <f t="shared" si="8"/>
        <v>89.839330379121478</v>
      </c>
      <c r="E9" s="131">
        <f>E8*100/E5</f>
        <v>70.667989417989418</v>
      </c>
      <c r="F9" s="136">
        <f>F8*100/F5</f>
        <v>41.63572832487489</v>
      </c>
      <c r="G9" s="136">
        <f>G8*100/G5</f>
        <v>84.432093992233817</v>
      </c>
      <c r="H9" s="136">
        <f t="shared" ref="H9" si="9">H8*100/H5</f>
        <v>76.114631859216544</v>
      </c>
      <c r="I9" s="137">
        <f>I8*100/I5</f>
        <v>70.214521452145206</v>
      </c>
      <c r="J9" s="138">
        <f>J8*100/J5</f>
        <v>40.81575648853638</v>
      </c>
      <c r="K9" s="136">
        <f>K8*100/K5</f>
        <v>91.89577495871238</v>
      </c>
      <c r="L9" s="136">
        <f>L8*100/L5</f>
        <v>91.907034856177589</v>
      </c>
      <c r="M9" s="139">
        <f>M8*100/M5</f>
        <v>74.308300395256907</v>
      </c>
      <c r="N9" s="31">
        <f>AVERAGE(B9,F9,J9)</f>
        <v>42.056688983836814</v>
      </c>
      <c r="O9" s="23">
        <f>AVERAGE(C9,G9,K9)</f>
        <v>88.06675710772636</v>
      </c>
      <c r="P9" s="23">
        <f>AVERAGE(D9,H9,L9)</f>
        <v>85.953665698171861</v>
      </c>
      <c r="Q9" s="47">
        <f>AVERAGE(E9,I9,M9)</f>
        <v>71.730270421797186</v>
      </c>
    </row>
    <row r="10" spans="1:17" x14ac:dyDescent="0.3">
      <c r="A10" s="25" t="s">
        <v>77</v>
      </c>
      <c r="B10" s="85">
        <v>0</v>
      </c>
      <c r="C10" s="81">
        <v>2.95</v>
      </c>
      <c r="D10" s="81">
        <v>1.2</v>
      </c>
      <c r="E10" s="55">
        <f>SUM(B10:D10)</f>
        <v>4.1500000000000004</v>
      </c>
      <c r="F10" s="140">
        <v>0</v>
      </c>
      <c r="G10" s="141">
        <v>2.669956872822004</v>
      </c>
      <c r="H10" s="141">
        <v>0.10851982032382687</v>
      </c>
      <c r="I10" s="142">
        <f>SUM(F10:H10)</f>
        <v>2.7784766931458309</v>
      </c>
      <c r="J10" s="123">
        <v>0</v>
      </c>
      <c r="K10" s="15">
        <v>3.1789848411022978</v>
      </c>
      <c r="L10" s="15">
        <v>0.57494111682060411</v>
      </c>
      <c r="M10" s="143">
        <f>SUM(J10:L10)</f>
        <v>3.7539259579229021</v>
      </c>
      <c r="N10" s="31"/>
      <c r="O10" s="23"/>
      <c r="P10" s="23"/>
      <c r="Q10" s="47"/>
    </row>
    <row r="11" spans="1:17" x14ac:dyDescent="0.3">
      <c r="A11" s="32" t="s">
        <v>78</v>
      </c>
      <c r="B11" s="56">
        <v>0</v>
      </c>
      <c r="C11" s="130">
        <f>C10*100/C5</f>
        <v>3.0485284391534391</v>
      </c>
      <c r="D11" s="130">
        <f>D10*100/D5</f>
        <v>2.645502645502646</v>
      </c>
      <c r="E11" s="144">
        <f>E10*100/E5</f>
        <v>1.3723544973544977</v>
      </c>
      <c r="F11" s="56">
        <v>0</v>
      </c>
      <c r="G11" s="130">
        <f>G10*100/G5</f>
        <v>3.4420854899211064</v>
      </c>
      <c r="H11" s="145">
        <f>H10*100/H5</f>
        <v>0.29845935182570643</v>
      </c>
      <c r="I11" s="144">
        <f>I10*100/I5</f>
        <v>1.14623625954861</v>
      </c>
      <c r="J11" s="56">
        <v>0</v>
      </c>
      <c r="K11" s="130">
        <f>K10*100/K5</f>
        <v>4.098319978731304</v>
      </c>
      <c r="L11" s="145">
        <f>L10*100/L5</f>
        <v>1.5812461958762489</v>
      </c>
      <c r="M11" s="144">
        <f>M10*100/M5</f>
        <v>1.2364710006333668</v>
      </c>
      <c r="N11" s="50">
        <f>AVERAGE(B11,F11,J11)</f>
        <v>0</v>
      </c>
      <c r="O11" s="130">
        <f>AVERAGE(C11,G11,K11)</f>
        <v>3.5296446359352829</v>
      </c>
      <c r="P11" s="130">
        <f>AVERAGE(D11,H11,L11)</f>
        <v>1.5084027310682007</v>
      </c>
      <c r="Q11" s="146">
        <f>AVERAGE(E11,I11,M11)</f>
        <v>1.2516872525121583</v>
      </c>
    </row>
    <row r="12" spans="1:17" x14ac:dyDescent="0.3">
      <c r="A12" s="28" t="s">
        <v>10</v>
      </c>
      <c r="E12" s="23">
        <f>E7+E9+E11</f>
        <v>105.90207256881411</v>
      </c>
      <c r="F12" s="23"/>
      <c r="G12" s="23"/>
      <c r="H12" s="23"/>
      <c r="I12" s="23">
        <f t="shared" ref="I12" si="10">I7+I9+I11</f>
        <v>106.59009377183015</v>
      </c>
      <c r="J12" s="23"/>
      <c r="K12" s="23"/>
      <c r="L12" s="23"/>
      <c r="M12" s="23">
        <f t="shared" ref="M12" si="11">M7+M9+M11</f>
        <v>103.62911550997703</v>
      </c>
      <c r="N12" s="147">
        <f>SUM(N7:N11)</f>
        <v>100</v>
      </c>
      <c r="O12" s="147">
        <f>SUM(O7:O11)</f>
        <v>100.4594186400561</v>
      </c>
      <c r="P12" s="147">
        <f>SUM(P7:P11)</f>
        <v>95.523512480861172</v>
      </c>
      <c r="Q12" s="147">
        <f>AVERAGE(E12,I12,M12)</f>
        <v>105.37376061687375</v>
      </c>
    </row>
  </sheetData>
  <mergeCells count="4">
    <mergeCell ref="B2:E2"/>
    <mergeCell ref="F2:I2"/>
    <mergeCell ref="J2:M2"/>
    <mergeCell ref="N2:Q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Sand columns</vt:lpstr>
      <vt:lpstr>Standards</vt:lpstr>
      <vt:lpstr>Column A</vt:lpstr>
      <vt:lpstr>Column B</vt:lpstr>
      <vt:lpstr>Column C</vt:lpstr>
      <vt:lpstr>Average</vt:lpstr>
      <vt:lpstr>SAND Mass balance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2022-07-20T11:17:05Z</dcterms:modified>
</cp:coreProperties>
</file>