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omments4.xml" ContentType="application/vnd.openxmlformats-officedocument.spreadsheetml.comments+xml"/>
  <Override PartName="/xl/tables/table10.xml" ContentType="application/vnd.openxmlformats-officedocument.spreadsheetml.table+xml"/>
  <Override PartName="/xl/comments5.xml" ContentType="application/vnd.openxmlformats-officedocument.spreadsheetml.comments+xml"/>
  <Override PartName="/xl/tables/table11.xml" ContentType="application/vnd.openxmlformats-officedocument.spreadsheetml.table+xml"/>
  <Override PartName="/xl/comments6.xml" ContentType="application/vnd.openxmlformats-officedocument.spreadsheetml.comments+xml"/>
  <Override PartName="/xl/tables/table12.xml" ContentType="application/vnd.openxmlformats-officedocument.spreadsheetml.table+xml"/>
  <Override PartName="/xl/drawings/drawing3.xml" ContentType="application/vnd.openxmlformats-officedocument.drawing+xml"/>
  <Override PartName="/xl/charts/chart7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13.xml" ContentType="application/vnd.openxmlformats-officedocument.spreadsheetml.table+xml"/>
  <Override PartName="/xl/drawings/drawing4.xml" ContentType="application/vnd.openxmlformats-officedocument.drawing+xml"/>
  <Override PartName="/xl/charts/chart8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charts/chartEx1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2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3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Ex5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6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7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harts/chartEx8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charts/chart8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Ochs\OneDrive - Thames Water Utilities Limited\Documents\08-Research\Writing\Papers and puplications\Chapter 3 Comparison THP-AD dewatering liquors\Data set\"/>
    </mc:Choice>
  </mc:AlternateContent>
  <xr:revisionPtr revIDLastSave="1606" documentId="10_ncr:100000_{0C9A8664-603E-491E-A9EC-F0895984196A}" xr6:coauthVersionLast="43" xr6:coauthVersionMax="43" xr10:uidLastSave="{F3EE3CC6-0271-449E-A9AA-2B4A1A35094B}"/>
  <bookViews>
    <workbookView xWindow="-108" yWindow="-13068" windowWidth="23256" windowHeight="12576" tabRatio="676" activeTab="4" xr2:uid="{00000000-000D-0000-FFFF-FFFF00000000}"/>
  </bookViews>
  <sheets>
    <sheet name="Information" sheetId="1" r:id="rId1"/>
    <sheet name="1-Influent" sheetId="2" r:id="rId2"/>
    <sheet name="Monthly" sheetId="23" state="hidden" r:id="rId3"/>
    <sheet name="S-SBR" sheetId="3" r:id="rId4"/>
    <sheet name="1-Media" sheetId="4" r:id="rId5"/>
    <sheet name="G-SBR" sheetId="5" state="hidden" r:id="rId6"/>
    <sheet name="G-Influent" sheetId="14" state="hidden" r:id="rId7"/>
    <sheet name="1-G-SBR" sheetId="13" r:id="rId8"/>
    <sheet name="1-LTP" sheetId="7" r:id="rId9"/>
    <sheet name="DataPlots" sheetId="6" r:id="rId10"/>
    <sheet name="SSBR-A" sheetId="9" r:id="rId11"/>
    <sheet name="MED-A" sheetId="10" r:id="rId12"/>
    <sheet name="GSBR-A" sheetId="11" r:id="rId13"/>
    <sheet name="LTP-A" sheetId="15" r:id="rId14"/>
    <sheet name="ALK" sheetId="25" r:id="rId15"/>
    <sheet name="stable S-SBR" sheetId="18" r:id="rId16"/>
    <sheet name="stable MEDIA" sheetId="19" r:id="rId17"/>
    <sheet name="stable G-SBR" sheetId="20" r:id="rId18"/>
    <sheet name="stable LTP" sheetId="21" r:id="rId19"/>
    <sheet name="Publication plots" sheetId="22" r:id="rId20"/>
    <sheet name="Copy" sheetId="17" r:id="rId21"/>
    <sheet name="Sheet1" sheetId="24" state="hidden" r:id="rId22"/>
    <sheet name="Comparison" sheetId="16" r:id="rId23"/>
    <sheet name="DataAnalysing" sheetId="8" state="hidden" r:id="rId24"/>
  </sheets>
  <externalReferences>
    <externalReference r:id="rId25"/>
    <externalReference r:id="rId26"/>
    <externalReference r:id="rId27"/>
    <externalReference r:id="rId28"/>
  </externalReferences>
  <definedNames>
    <definedName name="_xlchart.v1.0" hidden="1">DataAnalysing!$G$38:$G$81</definedName>
    <definedName name="_xlchart.v1.1" hidden="1">DataAnalysing!$C$38:$C$81</definedName>
    <definedName name="_xlchart.v1.2" hidden="1">DataAnalysing!$B$38:$B$81</definedName>
    <definedName name="_xlchart.v1.3" hidden="1">DataAnalysing!$F$38:$F$81</definedName>
    <definedName name="_xlchart.v1.4" hidden="1">DataAnalysing!$H$38:$H$81</definedName>
    <definedName name="_xlchart.v1.5" hidden="1">DataAnalysing!$E$38:$E$81</definedName>
    <definedName name="_xlchart.v1.6" hidden="1">DataAnalysing!$I$38:$I$81</definedName>
    <definedName name="_xlchart.v1.7" hidden="1">DataAnalysing!$D$38:$D$81</definedName>
    <definedName name="_xlcn.WorksheetConnection_172607PilotPerformanceAnalysed007.xlsmInfluent1" hidden="1">Influent[]</definedName>
    <definedName name="_xlcn.WorksheetConnection_172607PilotPerformanceAnalysed007.xlsmSSBR1" hidden="1">SSBR[]</definedName>
    <definedName name="solver_eng" localSheetId="9" hidden="1">1</definedName>
    <definedName name="solver_neg" localSheetId="9" hidden="1">1</definedName>
    <definedName name="solver_num" localSheetId="9" hidden="1">0</definedName>
    <definedName name="solver_opt" localSheetId="9" hidden="1">DataPlots!$Y$192</definedName>
    <definedName name="solver_typ" localSheetId="9" hidden="1">1</definedName>
    <definedName name="solver_val" localSheetId="9" hidden="1">0</definedName>
    <definedName name="solver_ver" localSheetId="9" hidden="1">3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SBR" name="SSBR" connection="WorksheetConnection_172607-PilotPerformanceAnalysed-007.xlsm!SSBR"/>
          <x15:modelTable id="Influent" name="Influent" connection="WorksheetConnection_172607-PilotPerformanceAnalysed-007.xlsm!Influent"/>
        </x15:modelTables>
        <x15:extLst>
          <ext xmlns:x16="http://schemas.microsoft.com/office/spreadsheetml/2014/11/main" uri="{9835A34E-60A6-4A7C-AAB8-D5F71C897F49}">
            <x16:modelTimeGroupings>
              <x16:modelTimeGrouping tableName="SSBR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100" i="13" l="1"/>
  <c r="AE100" i="13" l="1"/>
  <c r="T235" i="16" l="1"/>
  <c r="U229" i="16"/>
  <c r="T229" i="16"/>
  <c r="U228" i="16"/>
  <c r="T228" i="16"/>
  <c r="U227" i="16"/>
  <c r="T227" i="16"/>
  <c r="Q241" i="16"/>
  <c r="J241" i="16"/>
  <c r="K241" i="16"/>
  <c r="I241" i="16"/>
  <c r="Q240" i="16"/>
  <c r="K240" i="16"/>
  <c r="J240" i="16"/>
  <c r="I240" i="16"/>
  <c r="M238" i="16"/>
  <c r="Q236" i="16"/>
  <c r="P236" i="16"/>
  <c r="O236" i="16"/>
  <c r="N236" i="16"/>
  <c r="M236" i="16"/>
  <c r="L236" i="16"/>
  <c r="J236" i="16"/>
  <c r="K236" i="16"/>
  <c r="I236" i="16"/>
  <c r="Q235" i="16"/>
  <c r="P235" i="16"/>
  <c r="M235" i="16"/>
  <c r="L235" i="16"/>
  <c r="K235" i="16"/>
  <c r="J235" i="16"/>
  <c r="I235" i="16"/>
  <c r="L231" i="16"/>
  <c r="K231" i="16"/>
  <c r="K230" i="16"/>
  <c r="J230" i="16"/>
  <c r="I230" i="16"/>
  <c r="K229" i="16"/>
  <c r="J229" i="16"/>
  <c r="I229" i="16"/>
  <c r="H230" i="16"/>
  <c r="H229" i="16"/>
  <c r="T216" i="16"/>
  <c r="U210" i="16"/>
  <c r="T210" i="16"/>
  <c r="U209" i="16"/>
  <c r="T209" i="16"/>
  <c r="U208" i="16"/>
  <c r="T208" i="16"/>
  <c r="Q222" i="16"/>
  <c r="J222" i="16"/>
  <c r="K222" i="16"/>
  <c r="I222" i="16"/>
  <c r="Q221" i="16"/>
  <c r="K221" i="16"/>
  <c r="J221" i="16"/>
  <c r="I221" i="16"/>
  <c r="M219" i="16"/>
  <c r="Q217" i="16"/>
  <c r="P217" i="16"/>
  <c r="O217" i="16"/>
  <c r="N217" i="16"/>
  <c r="M217" i="16"/>
  <c r="L217" i="16"/>
  <c r="J217" i="16"/>
  <c r="K217" i="16"/>
  <c r="I217" i="16"/>
  <c r="Q216" i="16"/>
  <c r="P216" i="16"/>
  <c r="M216" i="16"/>
  <c r="L216" i="16"/>
  <c r="K216" i="16"/>
  <c r="J216" i="16"/>
  <c r="I216" i="16"/>
  <c r="L212" i="16"/>
  <c r="K212" i="16"/>
  <c r="K211" i="16"/>
  <c r="J211" i="16"/>
  <c r="I211" i="16"/>
  <c r="K210" i="16"/>
  <c r="J210" i="16"/>
  <c r="I210" i="16"/>
  <c r="H211" i="16"/>
  <c r="H210" i="16"/>
  <c r="V201" i="16"/>
  <c r="AA201" i="16"/>
  <c r="V202" i="16"/>
  <c r="AA202" i="16"/>
  <c r="V203" i="16"/>
  <c r="AA203" i="16"/>
  <c r="V204" i="16"/>
  <c r="AA204" i="16"/>
  <c r="V205" i="16"/>
  <c r="AA205" i="16"/>
  <c r="AA200" i="16"/>
  <c r="V200" i="16"/>
  <c r="U205" i="16"/>
  <c r="T205" i="16"/>
  <c r="S205" i="16"/>
  <c r="R205" i="16"/>
  <c r="U204" i="16"/>
  <c r="T204" i="16"/>
  <c r="S204" i="16"/>
  <c r="R204" i="16"/>
  <c r="U203" i="16"/>
  <c r="T203" i="16"/>
  <c r="S203" i="16"/>
  <c r="R203" i="16"/>
  <c r="U202" i="16"/>
  <c r="T202" i="16"/>
  <c r="S202" i="16"/>
  <c r="R202" i="16"/>
  <c r="U201" i="16"/>
  <c r="T201" i="16"/>
  <c r="S201" i="16"/>
  <c r="R201" i="16"/>
  <c r="U200" i="16"/>
  <c r="T200" i="16"/>
  <c r="S200" i="16"/>
  <c r="R200" i="16"/>
  <c r="V197" i="16"/>
  <c r="U197" i="16"/>
  <c r="T197" i="16"/>
  <c r="U196" i="16"/>
  <c r="T196" i="16"/>
  <c r="S196" i="16"/>
  <c r="R196" i="16"/>
  <c r="U195" i="16"/>
  <c r="T195" i="16"/>
  <c r="S195" i="16"/>
  <c r="R195" i="16"/>
  <c r="U194" i="16"/>
  <c r="T194" i="16"/>
  <c r="S194" i="16"/>
  <c r="R194" i="16"/>
  <c r="U193" i="16"/>
  <c r="T193" i="16"/>
  <c r="S193" i="16"/>
  <c r="R193" i="16"/>
  <c r="K204" i="16"/>
  <c r="J204" i="16"/>
  <c r="I204" i="16"/>
  <c r="I202" i="16" s="1"/>
  <c r="K202" i="16" s="1"/>
  <c r="J203" i="16"/>
  <c r="K203" i="16" s="1"/>
  <c r="I203" i="16"/>
  <c r="N202" i="16"/>
  <c r="J202" i="16"/>
  <c r="M198" i="16"/>
  <c r="L198" i="16"/>
  <c r="K198" i="16"/>
  <c r="J198" i="16"/>
  <c r="I198" i="16"/>
  <c r="H198" i="16"/>
  <c r="M197" i="16"/>
  <c r="L197" i="16"/>
  <c r="K197" i="16"/>
  <c r="J197" i="16"/>
  <c r="I197" i="16"/>
  <c r="H197" i="16"/>
  <c r="M196" i="16"/>
  <c r="L196" i="16"/>
  <c r="K196" i="16"/>
  <c r="J196" i="16"/>
  <c r="I196" i="16"/>
  <c r="H196" i="16"/>
  <c r="M195" i="16"/>
  <c r="L195" i="16"/>
  <c r="K195" i="16"/>
  <c r="J195" i="16"/>
  <c r="I195" i="16"/>
  <c r="H195" i="16"/>
  <c r="AN4" i="20"/>
  <c r="AI14" i="16"/>
  <c r="AJ8" i="16"/>
  <c r="AI8" i="16"/>
  <c r="AJ7" i="16"/>
  <c r="AI7" i="16"/>
  <c r="AJ6" i="16"/>
  <c r="AI6" i="16"/>
  <c r="Y203" i="16"/>
  <c r="T236" i="16"/>
  <c r="T211" i="16"/>
  <c r="Y200" i="16"/>
  <c r="AI15" i="16"/>
  <c r="T217" i="16"/>
  <c r="M240" i="16"/>
  <c r="Y204" i="16"/>
  <c r="L241" i="16"/>
  <c r="U230" i="16"/>
  <c r="AJ9" i="16"/>
  <c r="L222" i="16"/>
  <c r="W197" i="16"/>
  <c r="L240" i="16"/>
  <c r="U211" i="16"/>
  <c r="T230" i="16"/>
  <c r="L221" i="16"/>
  <c r="M241" i="16"/>
  <c r="M221" i="16"/>
  <c r="Y201" i="16"/>
  <c r="Y205" i="16"/>
  <c r="M222" i="16"/>
  <c r="Y202" i="16"/>
  <c r="AI9" i="16"/>
  <c r="U212" i="16" l="1"/>
  <c r="U231" i="16"/>
  <c r="AI10" i="16"/>
  <c r="AJ10" i="16"/>
  <c r="P221" i="16"/>
  <c r="P240" i="16"/>
  <c r="X203" i="16"/>
  <c r="W200" i="16"/>
  <c r="X200" i="16"/>
  <c r="Z203" i="16"/>
  <c r="W205" i="16"/>
  <c r="W202" i="16"/>
  <c r="X205" i="16"/>
  <c r="X202" i="16"/>
  <c r="Z205" i="16"/>
  <c r="W203" i="16"/>
  <c r="Z202" i="16"/>
  <c r="W204" i="16"/>
  <c r="Z201" i="16"/>
  <c r="W201" i="16"/>
  <c r="X204" i="16"/>
  <c r="X201" i="16"/>
  <c r="Z204" i="16"/>
  <c r="Z200" i="16"/>
  <c r="T212" i="16"/>
  <c r="T215" i="16" s="1"/>
  <c r="P222" i="16"/>
  <c r="P241" i="16"/>
  <c r="T231" i="16"/>
  <c r="T234" i="16" s="1"/>
  <c r="N222" i="16"/>
  <c r="O222" i="16"/>
  <c r="O241" i="16"/>
  <c r="N241" i="16"/>
  <c r="N198" i="16"/>
  <c r="P198" i="16" s="1"/>
  <c r="N195" i="16"/>
  <c r="P195" i="16" s="1"/>
  <c r="O202" i="16"/>
  <c r="N196" i="16"/>
  <c r="P196" i="16" s="1"/>
  <c r="N197" i="16"/>
  <c r="P197" i="16" s="1"/>
  <c r="L202" i="16"/>
  <c r="M202" i="16" s="1"/>
  <c r="P202" i="16"/>
  <c r="O196" i="16"/>
  <c r="O197" i="16"/>
  <c r="O195" i="16"/>
  <c r="AF16" i="21"/>
  <c r="AG46" i="21"/>
  <c r="AG48" i="21"/>
  <c r="AG49" i="21"/>
  <c r="AG50" i="21"/>
  <c r="AG51" i="21"/>
  <c r="AG52" i="21"/>
  <c r="AG53" i="21"/>
  <c r="AG54" i="21"/>
  <c r="AG55" i="21"/>
  <c r="AG56" i="21"/>
  <c r="AG58" i="21"/>
  <c r="AG59" i="21"/>
  <c r="AG60" i="21"/>
  <c r="AG61" i="21"/>
  <c r="AG66" i="21"/>
  <c r="AG69" i="21"/>
  <c r="AG70" i="21"/>
  <c r="AG71" i="21"/>
  <c r="AG72" i="21"/>
  <c r="AG73" i="21"/>
  <c r="AG74" i="21"/>
  <c r="AG75" i="21"/>
  <c r="AG76" i="21"/>
  <c r="AG77" i="21"/>
  <c r="AG78" i="21"/>
  <c r="AG79" i="21"/>
  <c r="AG80" i="21"/>
  <c r="AG81" i="21"/>
  <c r="AG85" i="21"/>
  <c r="AG86" i="21"/>
  <c r="AG87" i="21"/>
  <c r="AG88" i="21"/>
  <c r="AG89" i="21"/>
  <c r="AG90" i="21"/>
  <c r="AG91" i="21"/>
  <c r="AG92" i="21"/>
  <c r="AG43" i="21"/>
  <c r="AG44" i="21"/>
  <c r="AG4" i="21"/>
  <c r="AG5" i="21"/>
  <c r="AG16" i="21"/>
  <c r="AG17" i="21"/>
  <c r="AG31" i="21"/>
  <c r="AG32" i="21"/>
  <c r="AG33" i="21"/>
  <c r="AG37" i="21"/>
  <c r="AG38" i="21"/>
  <c r="AG39" i="21"/>
  <c r="AG40" i="21"/>
  <c r="AG41" i="21"/>
  <c r="AG42" i="21"/>
  <c r="T221" i="16"/>
  <c r="T240" i="16"/>
  <c r="AI13" i="16" l="1"/>
  <c r="AI16" i="16" s="1"/>
  <c r="U240" i="16"/>
  <c r="U221" i="16"/>
  <c r="T237" i="16"/>
  <c r="T218" i="16"/>
  <c r="O198" i="16"/>
  <c r="J37" i="22"/>
  <c r="J36" i="22"/>
  <c r="J35" i="22"/>
  <c r="J34" i="22"/>
  <c r="J32" i="22"/>
  <c r="I32" i="22"/>
  <c r="H32" i="22"/>
  <c r="D53" i="22"/>
  <c r="C52" i="22"/>
  <c r="B52" i="22"/>
  <c r="AI19" i="16"/>
  <c r="AJ19" i="16" l="1"/>
  <c r="T239" i="16"/>
  <c r="U239" i="16" s="1"/>
  <c r="T238" i="16"/>
  <c r="T220" i="16"/>
  <c r="U220" i="16" s="1"/>
  <c r="T219" i="16"/>
  <c r="AI17" i="16"/>
  <c r="AI18" i="16"/>
  <c r="AJ18" i="16" s="1"/>
  <c r="AD81" i="13"/>
  <c r="AD91" i="13" l="1"/>
  <c r="AG321" i="10" l="1"/>
  <c r="AG320" i="10"/>
  <c r="AG319" i="10"/>
  <c r="AG318" i="10"/>
  <c r="AG317" i="10"/>
  <c r="AG316" i="10"/>
  <c r="U158" i="16"/>
  <c r="U157" i="16"/>
  <c r="T157" i="16"/>
  <c r="T156" i="16"/>
  <c r="T155" i="16"/>
  <c r="T153" i="16"/>
  <c r="T152" i="16"/>
  <c r="U149" i="16"/>
  <c r="T149" i="16"/>
  <c r="U147" i="16"/>
  <c r="T147" i="16"/>
  <c r="U146" i="16"/>
  <c r="T146" i="16"/>
  <c r="U145" i="16"/>
  <c r="T145" i="16"/>
  <c r="Q159" i="16"/>
  <c r="P159" i="16"/>
  <c r="O159" i="16"/>
  <c r="N159" i="16"/>
  <c r="J159" i="16"/>
  <c r="K159" i="16"/>
  <c r="I159" i="16"/>
  <c r="Q158" i="16"/>
  <c r="P158" i="16"/>
  <c r="K158" i="16"/>
  <c r="J158" i="16"/>
  <c r="I158" i="16"/>
  <c r="M156" i="16"/>
  <c r="Q154" i="16"/>
  <c r="P154" i="16"/>
  <c r="O154" i="16"/>
  <c r="N154" i="16"/>
  <c r="M154" i="16"/>
  <c r="L154" i="16"/>
  <c r="J154" i="16"/>
  <c r="K154" i="16"/>
  <c r="I154" i="16"/>
  <c r="Q153" i="16"/>
  <c r="P153" i="16"/>
  <c r="M153" i="16"/>
  <c r="L153" i="16"/>
  <c r="K153" i="16"/>
  <c r="J153" i="16"/>
  <c r="I153" i="16"/>
  <c r="L149" i="16"/>
  <c r="K149" i="16"/>
  <c r="K148" i="16"/>
  <c r="J148" i="16"/>
  <c r="I148" i="16"/>
  <c r="K147" i="16"/>
  <c r="J147" i="16"/>
  <c r="I147" i="16"/>
  <c r="H148" i="16"/>
  <c r="H147" i="16"/>
  <c r="U140" i="16"/>
  <c r="U139" i="16"/>
  <c r="T139" i="16"/>
  <c r="T138" i="16"/>
  <c r="T137" i="16"/>
  <c r="T135" i="16"/>
  <c r="T134" i="16"/>
  <c r="U131" i="16"/>
  <c r="T131" i="16"/>
  <c r="U129" i="16"/>
  <c r="T129" i="16"/>
  <c r="U128" i="16"/>
  <c r="T128" i="16"/>
  <c r="U127" i="16"/>
  <c r="T127" i="16"/>
  <c r="Q141" i="16"/>
  <c r="P141" i="16"/>
  <c r="O141" i="16"/>
  <c r="N141" i="16"/>
  <c r="J141" i="16"/>
  <c r="K141" i="16"/>
  <c r="I141" i="16"/>
  <c r="Q140" i="16"/>
  <c r="P140" i="16"/>
  <c r="K140" i="16"/>
  <c r="J140" i="16"/>
  <c r="I140" i="16"/>
  <c r="M138" i="16"/>
  <c r="Q136" i="16"/>
  <c r="P136" i="16"/>
  <c r="O136" i="16"/>
  <c r="N136" i="16"/>
  <c r="M136" i="16"/>
  <c r="L136" i="16"/>
  <c r="J136" i="16"/>
  <c r="K136" i="16"/>
  <c r="I136" i="16"/>
  <c r="Q135" i="16"/>
  <c r="P135" i="16"/>
  <c r="M135" i="16"/>
  <c r="L135" i="16"/>
  <c r="K135" i="16"/>
  <c r="J135" i="16"/>
  <c r="I135" i="16"/>
  <c r="L131" i="16"/>
  <c r="K131" i="16"/>
  <c r="K130" i="16"/>
  <c r="J130" i="16"/>
  <c r="I130" i="16"/>
  <c r="K129" i="16"/>
  <c r="J129" i="16"/>
  <c r="I129" i="16"/>
  <c r="H130" i="16"/>
  <c r="H129" i="16"/>
  <c r="U103" i="16"/>
  <c r="U102" i="16"/>
  <c r="T102" i="16"/>
  <c r="T101" i="16"/>
  <c r="T100" i="16"/>
  <c r="T98" i="16"/>
  <c r="T97" i="16"/>
  <c r="U94" i="16"/>
  <c r="T94" i="16"/>
  <c r="U92" i="16"/>
  <c r="T92" i="16"/>
  <c r="U91" i="16"/>
  <c r="T91" i="16"/>
  <c r="U90" i="16"/>
  <c r="T90" i="16"/>
  <c r="Q104" i="16"/>
  <c r="P104" i="16"/>
  <c r="O104" i="16"/>
  <c r="N104" i="16"/>
  <c r="J104" i="16"/>
  <c r="K104" i="16"/>
  <c r="I104" i="16"/>
  <c r="Q103" i="16"/>
  <c r="P103" i="16"/>
  <c r="K103" i="16"/>
  <c r="J103" i="16"/>
  <c r="I103" i="16"/>
  <c r="M101" i="16"/>
  <c r="Q99" i="16"/>
  <c r="P99" i="16"/>
  <c r="O99" i="16"/>
  <c r="N99" i="16"/>
  <c r="M99" i="16"/>
  <c r="L99" i="16"/>
  <c r="J99" i="16"/>
  <c r="K99" i="16"/>
  <c r="I99" i="16"/>
  <c r="Q98" i="16"/>
  <c r="P98" i="16"/>
  <c r="M98" i="16"/>
  <c r="L98" i="16"/>
  <c r="K98" i="16"/>
  <c r="J98" i="16"/>
  <c r="I98" i="16"/>
  <c r="L94" i="16"/>
  <c r="K94" i="16"/>
  <c r="K93" i="16"/>
  <c r="J93" i="16"/>
  <c r="I93" i="16"/>
  <c r="K92" i="16"/>
  <c r="J92" i="16"/>
  <c r="I92" i="16"/>
  <c r="H93" i="16"/>
  <c r="H92" i="16"/>
  <c r="U84" i="16"/>
  <c r="U83" i="16"/>
  <c r="T83" i="16"/>
  <c r="T82" i="16"/>
  <c r="T81" i="16"/>
  <c r="T79" i="16"/>
  <c r="T78" i="16"/>
  <c r="U75" i="16"/>
  <c r="T75" i="16"/>
  <c r="U73" i="16"/>
  <c r="T73" i="16"/>
  <c r="U72" i="16"/>
  <c r="T72" i="16"/>
  <c r="U71" i="16"/>
  <c r="T71" i="16"/>
  <c r="Q85" i="16"/>
  <c r="P85" i="16"/>
  <c r="O85" i="16"/>
  <c r="N85" i="16"/>
  <c r="J85" i="16"/>
  <c r="K85" i="16"/>
  <c r="I85" i="16"/>
  <c r="Q84" i="16"/>
  <c r="P84" i="16"/>
  <c r="K84" i="16"/>
  <c r="J84" i="16"/>
  <c r="I84" i="16"/>
  <c r="M82" i="16"/>
  <c r="Q80" i="16"/>
  <c r="P80" i="16"/>
  <c r="O80" i="16"/>
  <c r="N80" i="16"/>
  <c r="M80" i="16"/>
  <c r="L80" i="16"/>
  <c r="J80" i="16"/>
  <c r="K80" i="16"/>
  <c r="I80" i="16"/>
  <c r="Q79" i="16"/>
  <c r="P79" i="16"/>
  <c r="M79" i="16"/>
  <c r="L79" i="16"/>
  <c r="K79" i="16"/>
  <c r="J79" i="16"/>
  <c r="I79" i="16"/>
  <c r="L75" i="16"/>
  <c r="K75" i="16"/>
  <c r="K74" i="16"/>
  <c r="J74" i="16"/>
  <c r="I74" i="16"/>
  <c r="K73" i="16"/>
  <c r="J73" i="16"/>
  <c r="I73" i="16"/>
  <c r="H74" i="16"/>
  <c r="H73" i="16"/>
  <c r="V14" i="16"/>
  <c r="W14" i="16"/>
  <c r="X14" i="16"/>
  <c r="Z14" i="16"/>
  <c r="AA14" i="16"/>
  <c r="V15" i="16"/>
  <c r="W15" i="16"/>
  <c r="X15" i="16"/>
  <c r="Z15" i="16"/>
  <c r="AA15" i="16"/>
  <c r="V16" i="16"/>
  <c r="W16" i="16"/>
  <c r="X16" i="16"/>
  <c r="Z16" i="16"/>
  <c r="AA16" i="16"/>
  <c r="V17" i="16"/>
  <c r="W17" i="16"/>
  <c r="X17" i="16"/>
  <c r="Z17" i="16"/>
  <c r="AA17" i="16"/>
  <c r="V18" i="16"/>
  <c r="W18" i="16"/>
  <c r="X18" i="16"/>
  <c r="Z18" i="16"/>
  <c r="AA18" i="16"/>
  <c r="AA13" i="16"/>
  <c r="Z13" i="16"/>
  <c r="X13" i="16"/>
  <c r="W13" i="16"/>
  <c r="V13" i="16"/>
  <c r="U18" i="16"/>
  <c r="T18" i="16"/>
  <c r="R18" i="16"/>
  <c r="U17" i="16"/>
  <c r="T17" i="16"/>
  <c r="R17" i="16"/>
  <c r="U16" i="16"/>
  <c r="T16" i="16"/>
  <c r="S16" i="16"/>
  <c r="R16" i="16"/>
  <c r="U15" i="16"/>
  <c r="T15" i="16"/>
  <c r="R15" i="16"/>
  <c r="U14" i="16"/>
  <c r="T14" i="16"/>
  <c r="S14" i="16"/>
  <c r="R14" i="16"/>
  <c r="U13" i="16"/>
  <c r="T13" i="16"/>
  <c r="S13" i="16"/>
  <c r="R13" i="16"/>
  <c r="V10" i="16"/>
  <c r="U10" i="16"/>
  <c r="T10" i="16"/>
  <c r="U9" i="16"/>
  <c r="T9" i="16"/>
  <c r="S9" i="16"/>
  <c r="R9" i="16"/>
  <c r="S18" i="16" s="1"/>
  <c r="U8" i="16"/>
  <c r="T8" i="16"/>
  <c r="S8" i="16"/>
  <c r="R8" i="16"/>
  <c r="U7" i="16"/>
  <c r="T7" i="16"/>
  <c r="S7" i="16"/>
  <c r="R7" i="16"/>
  <c r="U6" i="16"/>
  <c r="T6" i="16"/>
  <c r="S6" i="16"/>
  <c r="R6" i="16"/>
  <c r="K17" i="16"/>
  <c r="J17" i="16"/>
  <c r="I17" i="16"/>
  <c r="I15" i="16" s="1"/>
  <c r="I16" i="16"/>
  <c r="J15" i="16"/>
  <c r="M11" i="16"/>
  <c r="L11" i="16"/>
  <c r="K11" i="16"/>
  <c r="J11" i="16"/>
  <c r="I11" i="16"/>
  <c r="H11" i="16"/>
  <c r="M10" i="16"/>
  <c r="L10" i="16"/>
  <c r="K10" i="16"/>
  <c r="J10" i="16"/>
  <c r="I10" i="16"/>
  <c r="H10" i="16"/>
  <c r="M9" i="16"/>
  <c r="L9" i="16"/>
  <c r="K9" i="16"/>
  <c r="J9" i="16"/>
  <c r="I9" i="16"/>
  <c r="H9" i="16"/>
  <c r="M8" i="16"/>
  <c r="L8" i="16"/>
  <c r="K8" i="16"/>
  <c r="J8" i="16"/>
  <c r="I8" i="16"/>
  <c r="H8" i="16"/>
  <c r="T158" i="16"/>
  <c r="T154" i="16"/>
  <c r="U148" i="16"/>
  <c r="T148" i="16"/>
  <c r="M159" i="16"/>
  <c r="L159" i="16"/>
  <c r="M158" i="16"/>
  <c r="L158" i="16"/>
  <c r="T140" i="16"/>
  <c r="T136" i="16"/>
  <c r="U130" i="16"/>
  <c r="T130" i="16"/>
  <c r="M141" i="16"/>
  <c r="L141" i="16"/>
  <c r="M140" i="16"/>
  <c r="L140" i="16"/>
  <c r="T103" i="16"/>
  <c r="T99" i="16"/>
  <c r="U93" i="16"/>
  <c r="T93" i="16"/>
  <c r="M104" i="16"/>
  <c r="L104" i="16"/>
  <c r="M103" i="16"/>
  <c r="L103" i="16"/>
  <c r="T84" i="16"/>
  <c r="T80" i="16"/>
  <c r="U74" i="16"/>
  <c r="T74" i="16"/>
  <c r="M85" i="16"/>
  <c r="L85" i="16"/>
  <c r="M84" i="16"/>
  <c r="L84" i="16"/>
  <c r="Y15" i="16"/>
  <c r="Y18" i="16"/>
  <c r="Y14" i="16"/>
  <c r="Y17" i="16"/>
  <c r="Y16" i="16"/>
  <c r="Y13" i="16"/>
  <c r="W10" i="16"/>
  <c r="S17" i="16" l="1"/>
  <c r="J16" i="16"/>
  <c r="K16" i="16" s="1"/>
  <c r="S15" i="16"/>
  <c r="K15" i="16"/>
  <c r="N15" i="16"/>
  <c r="H4" i="21" l="1"/>
  <c r="H5" i="21"/>
  <c r="H16" i="21"/>
  <c r="H17" i="21"/>
  <c r="H18" i="21"/>
  <c r="H19" i="21"/>
  <c r="H31" i="21"/>
  <c r="H32" i="21"/>
  <c r="H33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8" i="21"/>
  <c r="H59" i="21"/>
  <c r="H60" i="21"/>
  <c r="H61" i="21"/>
  <c r="H62" i="21"/>
  <c r="H63" i="21"/>
  <c r="H64" i="21"/>
  <c r="H65" i="21"/>
  <c r="H66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5" i="21"/>
  <c r="H86" i="21"/>
  <c r="H87" i="21"/>
  <c r="H88" i="21"/>
  <c r="G4" i="21" l="1"/>
  <c r="G5" i="21"/>
  <c r="G16" i="21"/>
  <c r="G17" i="21"/>
  <c r="G18" i="21"/>
  <c r="G19" i="21"/>
  <c r="G31" i="21"/>
  <c r="G32" i="21"/>
  <c r="G33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8" i="21"/>
  <c r="G59" i="21"/>
  <c r="G60" i="21"/>
  <c r="G61" i="21"/>
  <c r="G62" i="21"/>
  <c r="G63" i="21"/>
  <c r="G64" i="21"/>
  <c r="G65" i="21"/>
  <c r="G66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5" i="21"/>
  <c r="G86" i="21"/>
  <c r="G87" i="21"/>
  <c r="G88" i="21"/>
  <c r="G89" i="21"/>
  <c r="G90" i="21"/>
  <c r="G91" i="21"/>
  <c r="G92" i="21"/>
  <c r="AQ10" i="20" l="1"/>
  <c r="AQ38" i="20"/>
  <c r="AQ45" i="20"/>
  <c r="AQ54" i="20"/>
  <c r="AQ59" i="20"/>
  <c r="AQ62" i="20"/>
  <c r="AQ81" i="20"/>
  <c r="AW10" i="19"/>
  <c r="AW34" i="19"/>
  <c r="AW41" i="19"/>
  <c r="AW48" i="19"/>
  <c r="AW54" i="19"/>
  <c r="AW62" i="19"/>
  <c r="AW69" i="19"/>
  <c r="AW76" i="19"/>
  <c r="AW81" i="19"/>
  <c r="AX10" i="19"/>
  <c r="AX34" i="19"/>
  <c r="AX41" i="19"/>
  <c r="AX48" i="19"/>
  <c r="AX54" i="19"/>
  <c r="AX62" i="19"/>
  <c r="AX69" i="19"/>
  <c r="AX76" i="19"/>
  <c r="AX81" i="19"/>
  <c r="AQ10" i="18"/>
  <c r="AQ34" i="18"/>
  <c r="AQ41" i="18"/>
  <c r="AQ48" i="18"/>
  <c r="AQ54" i="18"/>
  <c r="AQ62" i="18"/>
  <c r="AQ69" i="18"/>
  <c r="Z4" i="4"/>
  <c r="J4" i="25" l="1"/>
  <c r="K4" i="25"/>
  <c r="I4" i="25"/>
  <c r="J2" i="25"/>
  <c r="K2" i="25"/>
  <c r="I2" i="25"/>
  <c r="AS4" i="20"/>
  <c r="AT4" i="20" s="1"/>
  <c r="AS36" i="20"/>
  <c r="AT36" i="20" s="1"/>
  <c r="AS37" i="20"/>
  <c r="AT37" i="20" s="1"/>
  <c r="AS82" i="20"/>
  <c r="AT82" i="20" s="1"/>
  <c r="AS83" i="20"/>
  <c r="AT83" i="20" s="1"/>
  <c r="AS84" i="20"/>
  <c r="AT84" i="20" s="1"/>
  <c r="AS89" i="20"/>
  <c r="AT89" i="20" s="1"/>
  <c r="AR4" i="20"/>
  <c r="AR18" i="20"/>
  <c r="AS18" i="20" s="1"/>
  <c r="AT18" i="20" s="1"/>
  <c r="AR19" i="20"/>
  <c r="AS19" i="20" s="1"/>
  <c r="AT19" i="20" s="1"/>
  <c r="AR31" i="20"/>
  <c r="AS31" i="20" s="1"/>
  <c r="AT31" i="20" s="1"/>
  <c r="AR32" i="20"/>
  <c r="AS32" i="20" s="1"/>
  <c r="AT32" i="20" s="1"/>
  <c r="AR33" i="20"/>
  <c r="AS33" i="20" s="1"/>
  <c r="AT33" i="20" s="1"/>
  <c r="AR34" i="20"/>
  <c r="AS34" i="20" s="1"/>
  <c r="AT34" i="20" s="1"/>
  <c r="AR35" i="20"/>
  <c r="AS35" i="20" s="1"/>
  <c r="AT35" i="20" s="1"/>
  <c r="AR36" i="20"/>
  <c r="AR37" i="20"/>
  <c r="AR38" i="20"/>
  <c r="AS38" i="20" s="1"/>
  <c r="AT38" i="20" s="1"/>
  <c r="AR39" i="20"/>
  <c r="AS39" i="20" s="1"/>
  <c r="AT39" i="20" s="1"/>
  <c r="AR40" i="20"/>
  <c r="AS40" i="20" s="1"/>
  <c r="AT40" i="20" s="1"/>
  <c r="AR41" i="20"/>
  <c r="AS41" i="20" s="1"/>
  <c r="AT41" i="20" s="1"/>
  <c r="AR57" i="20"/>
  <c r="AS57" i="20" s="1"/>
  <c r="AT57" i="20" s="1"/>
  <c r="AR58" i="20"/>
  <c r="AS58" i="20" s="1"/>
  <c r="AT58" i="20" s="1"/>
  <c r="AR59" i="20"/>
  <c r="AS59" i="20" s="1"/>
  <c r="AT59" i="20" s="1"/>
  <c r="AR60" i="20"/>
  <c r="AS60" i="20" s="1"/>
  <c r="AT60" i="20" s="1"/>
  <c r="AR61" i="20"/>
  <c r="AS61" i="20" s="1"/>
  <c r="AT61" i="20" s="1"/>
  <c r="AR76" i="20"/>
  <c r="AS76" i="20" s="1"/>
  <c r="AT76" i="20" s="1"/>
  <c r="AR77" i="20"/>
  <c r="AS77" i="20" s="1"/>
  <c r="AT77" i="20" s="1"/>
  <c r="AR81" i="20"/>
  <c r="AS81" i="20" s="1"/>
  <c r="AT81" i="20" s="1"/>
  <c r="AR82" i="20"/>
  <c r="AR83" i="20"/>
  <c r="AR84" i="20"/>
  <c r="AR89" i="20"/>
  <c r="AR90" i="20"/>
  <c r="AS90" i="20" s="1"/>
  <c r="AT90" i="20" s="1"/>
  <c r="AR91" i="20"/>
  <c r="AS91" i="20" s="1"/>
  <c r="AT91" i="20" s="1"/>
  <c r="AR92" i="20"/>
  <c r="AS92" i="20" s="1"/>
  <c r="AT92" i="20" s="1"/>
  <c r="AR93" i="20"/>
  <c r="AS93" i="20" s="1"/>
  <c r="AT93" i="20" s="1"/>
  <c r="AZ32" i="19"/>
  <c r="BA32" i="19" s="1"/>
  <c r="AZ64" i="19"/>
  <c r="BA64" i="19" s="1"/>
  <c r="AY4" i="19"/>
  <c r="AZ4" i="19" s="1"/>
  <c r="BA4" i="19" s="1"/>
  <c r="AY10" i="19"/>
  <c r="AZ10" i="19" s="1"/>
  <c r="BA10" i="19" s="1"/>
  <c r="AY11" i="19"/>
  <c r="AZ11" i="19" s="1"/>
  <c r="BA11" i="19" s="1"/>
  <c r="AY12" i="19"/>
  <c r="AZ12" i="19" s="1"/>
  <c r="BA12" i="19" s="1"/>
  <c r="AY18" i="19"/>
  <c r="AZ18" i="19" s="1"/>
  <c r="BA18" i="19" s="1"/>
  <c r="AY19" i="19"/>
  <c r="AZ19" i="19" s="1"/>
  <c r="BA19" i="19" s="1"/>
  <c r="AY32" i="19"/>
  <c r="AY34" i="19"/>
  <c r="AZ34" i="19" s="1"/>
  <c r="BA34" i="19" s="1"/>
  <c r="AY35" i="19"/>
  <c r="AZ35" i="19" s="1"/>
  <c r="BA35" i="19" s="1"/>
  <c r="AY37" i="19"/>
  <c r="AZ37" i="19" s="1"/>
  <c r="BA37" i="19" s="1"/>
  <c r="AY38" i="19"/>
  <c r="AZ38" i="19" s="1"/>
  <c r="BA38" i="19" s="1"/>
  <c r="AY39" i="19"/>
  <c r="AZ39" i="19" s="1"/>
  <c r="BA39" i="19" s="1"/>
  <c r="AY40" i="19"/>
  <c r="AZ40" i="19" s="1"/>
  <c r="BA40" i="19" s="1"/>
  <c r="AY41" i="19"/>
  <c r="AZ41" i="19" s="1"/>
  <c r="BA41" i="19" s="1"/>
  <c r="AY44" i="19"/>
  <c r="AZ44" i="19" s="1"/>
  <c r="BA44" i="19" s="1"/>
  <c r="AY45" i="19"/>
  <c r="AZ45" i="19" s="1"/>
  <c r="BA45" i="19" s="1"/>
  <c r="AY47" i="19"/>
  <c r="AZ47" i="19" s="1"/>
  <c r="BA47" i="19" s="1"/>
  <c r="AY48" i="19"/>
  <c r="AZ48" i="19" s="1"/>
  <c r="BA48" i="19" s="1"/>
  <c r="AY49" i="19"/>
  <c r="AZ49" i="19" s="1"/>
  <c r="BA49" i="19" s="1"/>
  <c r="AY51" i="19"/>
  <c r="AZ51" i="19" s="1"/>
  <c r="BA51" i="19" s="1"/>
  <c r="AY52" i="19"/>
  <c r="AZ52" i="19" s="1"/>
  <c r="BA52" i="19" s="1"/>
  <c r="AY55" i="19"/>
  <c r="AZ55" i="19" s="1"/>
  <c r="BA55" i="19" s="1"/>
  <c r="AY56" i="19"/>
  <c r="AZ56" i="19" s="1"/>
  <c r="BA56" i="19" s="1"/>
  <c r="AY57" i="19"/>
  <c r="AZ57" i="19" s="1"/>
  <c r="BA57" i="19" s="1"/>
  <c r="AY58" i="19"/>
  <c r="AZ58" i="19" s="1"/>
  <c r="BA58" i="19" s="1"/>
  <c r="AY59" i="19"/>
  <c r="AZ59" i="19" s="1"/>
  <c r="BA59" i="19" s="1"/>
  <c r="AY60" i="19"/>
  <c r="AZ60" i="19" s="1"/>
  <c r="BA60" i="19" s="1"/>
  <c r="AY61" i="19"/>
  <c r="AZ61" i="19" s="1"/>
  <c r="BA61" i="19" s="1"/>
  <c r="AY62" i="19"/>
  <c r="AZ62" i="19" s="1"/>
  <c r="BA62" i="19" s="1"/>
  <c r="AY63" i="19"/>
  <c r="AZ63" i="19" s="1"/>
  <c r="BA63" i="19" s="1"/>
  <c r="AY64" i="19"/>
  <c r="AY65" i="19"/>
  <c r="AZ65" i="19" s="1"/>
  <c r="BA65" i="19" s="1"/>
  <c r="AY66" i="19"/>
  <c r="AZ66" i="19" s="1"/>
  <c r="BA66" i="19" s="1"/>
  <c r="AY67" i="19"/>
  <c r="AZ67" i="19" s="1"/>
  <c r="BA67" i="19" s="1"/>
  <c r="AY68" i="19"/>
  <c r="AZ68" i="19" s="1"/>
  <c r="BA68" i="19" s="1"/>
  <c r="AY69" i="19"/>
  <c r="AZ69" i="19" s="1"/>
  <c r="BA69" i="19" s="1"/>
  <c r="AY70" i="19"/>
  <c r="AZ70" i="19" s="1"/>
  <c r="BA70" i="19" s="1"/>
  <c r="AY71" i="19"/>
  <c r="AZ71" i="19" s="1"/>
  <c r="BA71" i="19" s="1"/>
  <c r="AY72" i="19"/>
  <c r="AZ72" i="19" s="1"/>
  <c r="BA72" i="19" s="1"/>
  <c r="AY73" i="19"/>
  <c r="AZ73" i="19" s="1"/>
  <c r="BA73" i="19" s="1"/>
  <c r="AY74" i="19"/>
  <c r="AZ74" i="19" s="1"/>
  <c r="BA74" i="19" s="1"/>
  <c r="AY77" i="19"/>
  <c r="AZ77" i="19" s="1"/>
  <c r="BA77" i="19" s="1"/>
  <c r="AY78" i="19"/>
  <c r="AZ78" i="19" s="1"/>
  <c r="BA78" i="19" s="1"/>
  <c r="AY81" i="19"/>
  <c r="AZ81" i="19" s="1"/>
  <c r="BA81" i="19" s="1"/>
  <c r="AY82" i="19"/>
  <c r="AZ82" i="19" s="1"/>
  <c r="BA82" i="19" s="1"/>
  <c r="AY83" i="19"/>
  <c r="AZ83" i="19" s="1"/>
  <c r="BA83" i="19" s="1"/>
  <c r="AY84" i="19"/>
  <c r="AZ84" i="19" s="1"/>
  <c r="BA84" i="19" s="1"/>
  <c r="AY85" i="19"/>
  <c r="AZ85" i="19" s="1"/>
  <c r="BA85" i="19" s="1"/>
  <c r="AY86" i="19"/>
  <c r="AZ86" i="19" s="1"/>
  <c r="BA86" i="19" s="1"/>
  <c r="AY87" i="19"/>
  <c r="AZ87" i="19" s="1"/>
  <c r="BA87" i="19" s="1"/>
  <c r="AS41" i="18"/>
  <c r="AT41" i="18" s="1"/>
  <c r="AR4" i="18"/>
  <c r="AS4" i="18" s="1"/>
  <c r="AT4" i="18" s="1"/>
  <c r="AR10" i="18"/>
  <c r="AS10" i="18" s="1"/>
  <c r="AT10" i="18" s="1"/>
  <c r="AR11" i="18"/>
  <c r="AS11" i="18" s="1"/>
  <c r="AT11" i="18" s="1"/>
  <c r="AR12" i="18"/>
  <c r="AS12" i="18" s="1"/>
  <c r="AT12" i="18" s="1"/>
  <c r="AR14" i="18"/>
  <c r="AS14" i="18" s="1"/>
  <c r="AT14" i="18" s="1"/>
  <c r="AR15" i="18"/>
  <c r="AS15" i="18" s="1"/>
  <c r="AT15" i="18" s="1"/>
  <c r="AR18" i="18"/>
  <c r="AS18" i="18" s="1"/>
  <c r="AT18" i="18" s="1"/>
  <c r="AR19" i="18"/>
  <c r="AS19" i="18" s="1"/>
  <c r="AT19" i="18" s="1"/>
  <c r="AR31" i="18"/>
  <c r="AS31" i="18" s="1"/>
  <c r="AT31" i="18" s="1"/>
  <c r="AR32" i="18"/>
  <c r="AS32" i="18" s="1"/>
  <c r="AT32" i="18" s="1"/>
  <c r="AR33" i="18"/>
  <c r="AS33" i="18" s="1"/>
  <c r="AT33" i="18" s="1"/>
  <c r="AR34" i="18"/>
  <c r="AS34" i="18" s="1"/>
  <c r="AT34" i="18" s="1"/>
  <c r="AR35" i="18"/>
  <c r="AS35" i="18" s="1"/>
  <c r="AT35" i="18" s="1"/>
  <c r="AR36" i="18"/>
  <c r="AS36" i="18" s="1"/>
  <c r="AT36" i="18" s="1"/>
  <c r="AR37" i="18"/>
  <c r="AS37" i="18" s="1"/>
  <c r="AT37" i="18" s="1"/>
  <c r="AR38" i="18"/>
  <c r="AS38" i="18" s="1"/>
  <c r="AT38" i="18" s="1"/>
  <c r="AR39" i="18"/>
  <c r="AS39" i="18" s="1"/>
  <c r="AT39" i="18" s="1"/>
  <c r="AR40" i="18"/>
  <c r="AS40" i="18" s="1"/>
  <c r="AT40" i="18" s="1"/>
  <c r="AR41" i="18"/>
  <c r="AR42" i="18"/>
  <c r="AS42" i="18" s="1"/>
  <c r="AT42" i="18" s="1"/>
  <c r="AR43" i="18"/>
  <c r="AS43" i="18" s="1"/>
  <c r="AT43" i="18" s="1"/>
  <c r="AR45" i="18"/>
  <c r="AS45" i="18" s="1"/>
  <c r="AT45" i="18" s="1"/>
  <c r="AR46" i="18"/>
  <c r="AS46" i="18" s="1"/>
  <c r="AT46" i="18" s="1"/>
  <c r="AR47" i="18"/>
  <c r="AS47" i="18" s="1"/>
  <c r="AT47" i="18" s="1"/>
  <c r="AR48" i="18"/>
  <c r="AS48" i="18" s="1"/>
  <c r="AT48" i="18" s="1"/>
  <c r="AR49" i="18"/>
  <c r="AS49" i="18" s="1"/>
  <c r="AT49" i="18" s="1"/>
  <c r="AR50" i="18"/>
  <c r="AS50" i="18" s="1"/>
  <c r="AT50" i="18" s="1"/>
  <c r="AR51" i="18"/>
  <c r="AS51" i="18" s="1"/>
  <c r="AT51" i="18" s="1"/>
  <c r="AR52" i="18"/>
  <c r="AS52" i="18" s="1"/>
  <c r="AT52" i="18" s="1"/>
  <c r="AR54" i="18"/>
  <c r="AS54" i="18" s="1"/>
  <c r="AT54" i="18" s="1"/>
  <c r="AR55" i="18"/>
  <c r="AS55" i="18" s="1"/>
  <c r="AT55" i="18" s="1"/>
  <c r="AR56" i="18"/>
  <c r="AS56" i="18" s="1"/>
  <c r="AT56" i="18" s="1"/>
  <c r="AR57" i="18"/>
  <c r="AS57" i="18" s="1"/>
  <c r="AT57" i="18" s="1"/>
  <c r="AR58" i="18"/>
  <c r="AS58" i="18" s="1"/>
  <c r="AT58" i="18" s="1"/>
  <c r="AR59" i="18"/>
  <c r="AS59" i="18" s="1"/>
  <c r="AT59" i="18" s="1"/>
  <c r="AR60" i="18"/>
  <c r="AS60" i="18" s="1"/>
  <c r="AT60" i="18" s="1"/>
  <c r="AR61" i="18"/>
  <c r="AS61" i="18" s="1"/>
  <c r="AT61" i="18" s="1"/>
  <c r="AR62" i="18"/>
  <c r="AS62" i="18" s="1"/>
  <c r="AT62" i="18" s="1"/>
  <c r="AR63" i="18"/>
  <c r="AS63" i="18" s="1"/>
  <c r="AT63" i="18" s="1"/>
  <c r="AR64" i="18"/>
  <c r="AS64" i="18" s="1"/>
  <c r="AT64" i="18" s="1"/>
  <c r="AR65" i="18"/>
  <c r="AS65" i="18" s="1"/>
  <c r="AT65" i="18" s="1"/>
  <c r="AR66" i="18"/>
  <c r="AS66" i="18" s="1"/>
  <c r="AT66" i="18" s="1"/>
  <c r="AR67" i="18"/>
  <c r="AS67" i="18" s="1"/>
  <c r="AT67" i="18" s="1"/>
  <c r="AR73" i="18"/>
  <c r="AS73" i="18" s="1"/>
  <c r="AT73" i="18" s="1"/>
  <c r="K43" i="22" l="1"/>
  <c r="J43" i="22"/>
  <c r="I43" i="22"/>
  <c r="H43" i="22"/>
  <c r="D38" i="22"/>
  <c r="J38" i="22" s="1"/>
  <c r="J57" i="22" l="1"/>
  <c r="I57" i="22"/>
  <c r="H57" i="22"/>
  <c r="D56" i="22"/>
  <c r="D55" i="22"/>
  <c r="D54" i="22"/>
  <c r="D52" i="22"/>
  <c r="C56" i="22"/>
  <c r="C55" i="22"/>
  <c r="C54" i="22"/>
  <c r="C53" i="22"/>
  <c r="B56" i="22"/>
  <c r="B55" i="22"/>
  <c r="B54" i="22"/>
  <c r="B53" i="22"/>
  <c r="J56" i="22" l="1"/>
  <c r="I56" i="22"/>
  <c r="H56" i="22"/>
  <c r="J55" i="22"/>
  <c r="I55" i="22"/>
  <c r="H55" i="22"/>
  <c r="J54" i="22"/>
  <c r="I54" i="22"/>
  <c r="H54" i="22"/>
  <c r="J53" i="22"/>
  <c r="I53" i="22"/>
  <c r="H53" i="22"/>
  <c r="J52" i="22"/>
  <c r="I52" i="22"/>
  <c r="H52" i="22"/>
  <c r="AG326" i="11" l="1"/>
  <c r="AG325" i="11"/>
  <c r="AG324" i="11"/>
  <c r="AG323" i="11"/>
  <c r="AG322" i="11"/>
  <c r="AG321" i="11"/>
  <c r="AG332" i="9"/>
  <c r="AG331" i="9"/>
  <c r="AG330" i="9"/>
  <c r="AG329" i="9"/>
  <c r="AG328" i="9"/>
  <c r="AG327" i="9"/>
  <c r="AJ329" i="10"/>
  <c r="AJ328" i="10"/>
  <c r="AJ327" i="10"/>
  <c r="AJ326" i="10"/>
  <c r="AJ325" i="10"/>
  <c r="AJ324" i="10"/>
  <c r="AG329" i="10"/>
  <c r="AG328" i="10"/>
  <c r="AG327" i="10"/>
  <c r="AG326" i="10"/>
  <c r="AG325" i="10"/>
  <c r="AG324" i="10"/>
  <c r="J3" i="23" l="1"/>
  <c r="J4" i="23"/>
  <c r="J5" i="23"/>
  <c r="J6" i="23"/>
  <c r="J7" i="23"/>
  <c r="J8" i="23"/>
  <c r="J9" i="23"/>
  <c r="J10" i="23"/>
  <c r="J11" i="23"/>
  <c r="J12" i="23"/>
  <c r="J13" i="23"/>
  <c r="J14" i="23"/>
  <c r="J15" i="23"/>
  <c r="J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2" i="23"/>
  <c r="E42" i="22" l="1"/>
  <c r="E41" i="22"/>
  <c r="E40" i="22"/>
  <c r="E39" i="22"/>
  <c r="E38" i="22"/>
  <c r="D42" i="22"/>
  <c r="D41" i="22"/>
  <c r="D40" i="22"/>
  <c r="D39" i="22"/>
  <c r="C42" i="22"/>
  <c r="C41" i="22"/>
  <c r="C40" i="22"/>
  <c r="C39" i="22"/>
  <c r="C38" i="22"/>
  <c r="I38" i="22" s="1"/>
  <c r="B42" i="22"/>
  <c r="B41" i="22"/>
  <c r="B40" i="22"/>
  <c r="B39" i="22"/>
  <c r="B38" i="22"/>
  <c r="J40" i="22" l="1"/>
  <c r="I41" i="22"/>
  <c r="H39" i="22"/>
  <c r="H38" i="22"/>
  <c r="H40" i="22"/>
  <c r="I39" i="22"/>
  <c r="J42" i="22"/>
  <c r="K41" i="22"/>
  <c r="K40" i="22"/>
  <c r="H41" i="22"/>
  <c r="I40" i="22"/>
  <c r="J39" i="22"/>
  <c r="K39" i="22"/>
  <c r="K42" i="22"/>
  <c r="H42" i="22"/>
  <c r="I42" i="22"/>
  <c r="J41" i="22"/>
  <c r="K38" i="22"/>
  <c r="G3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2" i="23"/>
  <c r="E3" i="23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2" i="23"/>
  <c r="D3" i="23"/>
  <c r="D4" i="23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2" i="23"/>
  <c r="C3" i="23"/>
  <c r="C4" i="23"/>
  <c r="C5" i="23"/>
  <c r="C6" i="23"/>
  <c r="C7" i="23"/>
  <c r="C8" i="23"/>
  <c r="C9" i="23"/>
  <c r="C10" i="23"/>
  <c r="C11" i="23"/>
  <c r="C12" i="23"/>
  <c r="C13" i="23"/>
  <c r="C14" i="23"/>
  <c r="C15" i="23"/>
  <c r="C2" i="23"/>
  <c r="B3" i="23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2" i="23"/>
  <c r="B2" i="2"/>
  <c r="AJ284" i="16" l="1"/>
  <c r="AI284" i="16"/>
  <c r="AJ283" i="16"/>
  <c r="AI283" i="16"/>
  <c r="AI290" i="16" s="1"/>
  <c r="AJ282" i="16"/>
  <c r="AI282" i="16"/>
  <c r="AJ258" i="16"/>
  <c r="AI258" i="16"/>
  <c r="AJ257" i="16"/>
  <c r="AI257" i="16"/>
  <c r="K81" i="13"/>
  <c r="K59" i="13"/>
  <c r="K38" i="13"/>
  <c r="K81" i="20"/>
  <c r="J81" i="13" s="1"/>
  <c r="J81" i="20"/>
  <c r="K62" i="20"/>
  <c r="J62" i="20" s="1"/>
  <c r="K59" i="20"/>
  <c r="J59" i="20" s="1"/>
  <c r="K38" i="20"/>
  <c r="J38" i="20" s="1"/>
  <c r="J45" i="20"/>
  <c r="K45" i="20"/>
  <c r="L69" i="3"/>
  <c r="L62" i="3"/>
  <c r="L55" i="3"/>
  <c r="L54" i="3"/>
  <c r="L48" i="3"/>
  <c r="L41" i="3"/>
  <c r="L37" i="3"/>
  <c r="L34" i="3"/>
  <c r="L10" i="3"/>
  <c r="J81" i="4"/>
  <c r="J76" i="4"/>
  <c r="J69" i="4"/>
  <c r="J62" i="4"/>
  <c r="J54" i="4"/>
  <c r="J53" i="4"/>
  <c r="J48" i="4"/>
  <c r="J41" i="4"/>
  <c r="J33" i="4"/>
  <c r="J10" i="4"/>
  <c r="AV81" i="4"/>
  <c r="AS81" i="4"/>
  <c r="AV76" i="4"/>
  <c r="AS76" i="4"/>
  <c r="AV69" i="4"/>
  <c r="AS69" i="4"/>
  <c r="AV62" i="4"/>
  <c r="AS62" i="4"/>
  <c r="AV54" i="4"/>
  <c r="AS54" i="4"/>
  <c r="AV48" i="4"/>
  <c r="AS48" i="4"/>
  <c r="AV41" i="4"/>
  <c r="AS41" i="4"/>
  <c r="AV34" i="4"/>
  <c r="AS34" i="4"/>
  <c r="AV10" i="4"/>
  <c r="AS10" i="4"/>
  <c r="J53" i="19"/>
  <c r="J81" i="19"/>
  <c r="I81" i="19" s="1"/>
  <c r="AV81" i="19"/>
  <c r="AS81" i="19"/>
  <c r="J76" i="19"/>
  <c r="I76" i="19" s="1"/>
  <c r="AV76" i="19"/>
  <c r="AS76" i="19"/>
  <c r="J69" i="19"/>
  <c r="I69" i="19" s="1"/>
  <c r="AS69" i="19"/>
  <c r="AV69" i="19"/>
  <c r="J62" i="19"/>
  <c r="I62" i="19" s="1"/>
  <c r="AS62" i="19"/>
  <c r="AV62" i="19"/>
  <c r="J54" i="19"/>
  <c r="I54" i="19" s="1"/>
  <c r="AV54" i="19"/>
  <c r="AS54" i="19"/>
  <c r="J48" i="19"/>
  <c r="I48" i="4" s="1"/>
  <c r="AS48" i="19"/>
  <c r="AV48" i="19"/>
  <c r="J41" i="19"/>
  <c r="I41" i="19" s="1"/>
  <c r="AS41" i="19"/>
  <c r="AV41" i="19"/>
  <c r="J33" i="19"/>
  <c r="I33" i="19" s="1"/>
  <c r="AS34" i="19"/>
  <c r="AV34" i="19"/>
  <c r="J10" i="19"/>
  <c r="I10" i="19" s="1"/>
  <c r="AV10" i="19"/>
  <c r="AS10" i="19"/>
  <c r="AJ285" i="16"/>
  <c r="AI291" i="16"/>
  <c r="AI285" i="16"/>
  <c r="I48" i="19" l="1"/>
  <c r="I10" i="4"/>
  <c r="I41" i="4"/>
  <c r="I54" i="4"/>
  <c r="I69" i="4"/>
  <c r="I81" i="4"/>
  <c r="I33" i="4"/>
  <c r="I62" i="4"/>
  <c r="I76" i="4"/>
  <c r="J38" i="13"/>
  <c r="J59" i="13"/>
  <c r="AI286" i="16"/>
  <c r="AJ286" i="16"/>
  <c r="L37" i="18"/>
  <c r="L55" i="18"/>
  <c r="L69" i="18"/>
  <c r="K69" i="3" s="1"/>
  <c r="L62" i="18"/>
  <c r="L54" i="18"/>
  <c r="L48" i="18"/>
  <c r="L41" i="18"/>
  <c r="L34" i="18"/>
  <c r="L10" i="18"/>
  <c r="K10" i="3" s="1"/>
  <c r="AI289" i="16" l="1"/>
  <c r="AI292" i="16" s="1"/>
  <c r="K34" i="18"/>
  <c r="K34" i="3"/>
  <c r="K54" i="18"/>
  <c r="K54" i="3"/>
  <c r="K41" i="18"/>
  <c r="K41" i="3"/>
  <c r="K48" i="18"/>
  <c r="K48" i="3"/>
  <c r="K69" i="18"/>
  <c r="K10" i="18"/>
  <c r="K62" i="18"/>
  <c r="K62" i="3"/>
  <c r="AI264" i="16"/>
  <c r="AI265" i="16" s="1"/>
  <c r="AJ256" i="16"/>
  <c r="AI256" i="16"/>
  <c r="AJ208" i="16"/>
  <c r="AI208" i="16"/>
  <c r="AJ207" i="16"/>
  <c r="AI207" i="16"/>
  <c r="AJ206" i="16"/>
  <c r="AI206" i="16"/>
  <c r="AJ158" i="16"/>
  <c r="AI158" i="16"/>
  <c r="AJ157" i="16"/>
  <c r="AI157" i="16"/>
  <c r="AJ156" i="16"/>
  <c r="AI156" i="16"/>
  <c r="AJ108" i="16"/>
  <c r="AI108" i="16"/>
  <c r="AJ107" i="16"/>
  <c r="AI107" i="16"/>
  <c r="AJ106" i="16"/>
  <c r="AI106" i="16"/>
  <c r="AJ58" i="16"/>
  <c r="AI58" i="16"/>
  <c r="AJ57" i="16"/>
  <c r="AI57" i="16"/>
  <c r="AI64" i="16" s="1"/>
  <c r="AJ56" i="16"/>
  <c r="AI56" i="16"/>
  <c r="AJ209" i="16"/>
  <c r="AJ109" i="16"/>
  <c r="AJ159" i="16"/>
  <c r="AI259" i="16"/>
  <c r="AI159" i="16"/>
  <c r="AJ59" i="16"/>
  <c r="AI295" i="16"/>
  <c r="AI65" i="16"/>
  <c r="AJ259" i="16"/>
  <c r="AI209" i="16"/>
  <c r="AI109" i="16"/>
  <c r="AI59" i="16"/>
  <c r="AJ295" i="16" l="1"/>
  <c r="AI294" i="16"/>
  <c r="AJ294" i="16" s="1"/>
  <c r="AI293" i="16"/>
  <c r="AI160" i="16"/>
  <c r="AJ160" i="16"/>
  <c r="AI110" i="16"/>
  <c r="AI210" i="16"/>
  <c r="AJ110" i="16"/>
  <c r="AJ210" i="16"/>
  <c r="AI214" i="16"/>
  <c r="AI260" i="16"/>
  <c r="AI60" i="16"/>
  <c r="AJ60" i="16"/>
  <c r="AI164" i="16"/>
  <c r="AJ260" i="16"/>
  <c r="AI114" i="16"/>
  <c r="AI215" i="16"/>
  <c r="AI115" i="16"/>
  <c r="AI165" i="16"/>
  <c r="AI163" i="16" l="1"/>
  <c r="AI166" i="16" s="1"/>
  <c r="AI63" i="16"/>
  <c r="AI113" i="16"/>
  <c r="AI263" i="16"/>
  <c r="AI213" i="16"/>
  <c r="AG296" i="11"/>
  <c r="AI169" i="16"/>
  <c r="AI219" i="16"/>
  <c r="AI69" i="16"/>
  <c r="AI269" i="16"/>
  <c r="AI119" i="16"/>
  <c r="AJ119" i="16" l="1"/>
  <c r="AJ69" i="16"/>
  <c r="AJ169" i="16"/>
  <c r="AI116" i="16"/>
  <c r="AI118" i="16" s="1"/>
  <c r="AJ118" i="16" s="1"/>
  <c r="AI66" i="16"/>
  <c r="AI68" i="16" s="1"/>
  <c r="AJ68" i="16" s="1"/>
  <c r="AJ269" i="16"/>
  <c r="AJ219" i="16"/>
  <c r="AI266" i="16"/>
  <c r="AI167" i="16"/>
  <c r="AI168" i="16"/>
  <c r="AJ168" i="16" s="1"/>
  <c r="AI216" i="16"/>
  <c r="AG296" i="15"/>
  <c r="AG295" i="15"/>
  <c r="AG294" i="15"/>
  <c r="AG293" i="15"/>
  <c r="AG292" i="15"/>
  <c r="AG291" i="15"/>
  <c r="AG298" i="11"/>
  <c r="AG297" i="11"/>
  <c r="AG295" i="11"/>
  <c r="AG294" i="11"/>
  <c r="AG293" i="11"/>
  <c r="AG301" i="10"/>
  <c r="AG300" i="10"/>
  <c r="AG299" i="10"/>
  <c r="AG298" i="10"/>
  <c r="AG297" i="10"/>
  <c r="AG296" i="10"/>
  <c r="AG304" i="9"/>
  <c r="AG303" i="9"/>
  <c r="AG302" i="9"/>
  <c r="AG301" i="9"/>
  <c r="AG300" i="9"/>
  <c r="AG299" i="9"/>
  <c r="AI117" i="16" l="1"/>
  <c r="AI67" i="16"/>
  <c r="AI268" i="16"/>
  <c r="AJ268" i="16" s="1"/>
  <c r="AI267" i="16"/>
  <c r="AI218" i="16"/>
  <c r="AJ218" i="16" s="1"/>
  <c r="AI217" i="16"/>
  <c r="D83" i="1"/>
  <c r="D84" i="1"/>
  <c r="D85" i="1"/>
  <c r="D86" i="1"/>
  <c r="D87" i="1"/>
  <c r="D88" i="1"/>
  <c r="D89" i="1"/>
  <c r="G83" i="1"/>
  <c r="G84" i="1"/>
  <c r="G85" i="1"/>
  <c r="G86" i="1"/>
  <c r="G87" i="1"/>
  <c r="G88" i="1"/>
  <c r="G89" i="1"/>
  <c r="J83" i="1"/>
  <c r="J85" i="1"/>
  <c r="J86" i="1"/>
  <c r="J87" i="1"/>
  <c r="J88" i="1"/>
  <c r="J89" i="1"/>
  <c r="I84" i="1"/>
  <c r="AC4" i="7"/>
  <c r="AC5" i="7"/>
  <c r="AC16" i="7"/>
  <c r="AC17" i="7"/>
  <c r="AC31" i="7"/>
  <c r="AC32" i="7"/>
  <c r="AC33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8" i="7"/>
  <c r="AC59" i="7"/>
  <c r="AC60" i="7"/>
  <c r="AC61" i="7"/>
  <c r="AC65" i="7"/>
  <c r="AC66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5" i="7"/>
  <c r="AC86" i="7"/>
  <c r="AC87" i="7"/>
  <c r="AC88" i="7"/>
  <c r="AC89" i="7"/>
  <c r="AC90" i="7"/>
  <c r="AC91" i="7"/>
  <c r="AC92" i="7"/>
  <c r="AE4" i="21"/>
  <c r="AE5" i="21"/>
  <c r="AE16" i="21"/>
  <c r="AE17" i="21"/>
  <c r="AE31" i="21"/>
  <c r="AE32" i="21"/>
  <c r="AE33" i="21"/>
  <c r="AE37" i="21"/>
  <c r="AE38" i="21"/>
  <c r="AE39" i="21"/>
  <c r="AE40" i="21"/>
  <c r="AE41" i="21"/>
  <c r="AE42" i="21"/>
  <c r="AE43" i="21"/>
  <c r="AE44" i="21"/>
  <c r="AE46" i="21"/>
  <c r="AE48" i="21"/>
  <c r="AE49" i="21"/>
  <c r="AE50" i="21"/>
  <c r="AE51" i="21"/>
  <c r="AE52" i="21"/>
  <c r="AE53" i="21"/>
  <c r="AE54" i="21"/>
  <c r="AE55" i="21"/>
  <c r="AE56" i="21"/>
  <c r="AE58" i="21"/>
  <c r="AE59" i="21"/>
  <c r="AE60" i="21"/>
  <c r="AE61" i="21"/>
  <c r="AE66" i="21"/>
  <c r="AE69" i="21"/>
  <c r="AE70" i="21"/>
  <c r="AE71" i="21"/>
  <c r="AE72" i="21"/>
  <c r="AE73" i="21"/>
  <c r="AE74" i="21"/>
  <c r="AE75" i="21"/>
  <c r="AE76" i="21"/>
  <c r="AE77" i="21"/>
  <c r="AE78" i="21"/>
  <c r="AE79" i="21"/>
  <c r="AE80" i="21"/>
  <c r="AE81" i="21"/>
  <c r="AE85" i="21"/>
  <c r="AE86" i="21"/>
  <c r="AE87" i="21"/>
  <c r="AE88" i="21"/>
  <c r="AE89" i="21"/>
  <c r="AE90" i="21"/>
  <c r="AE91" i="21"/>
  <c r="AE92" i="21"/>
  <c r="J31" i="1"/>
  <c r="Y29" i="1"/>
  <c r="AE29" i="1" s="1"/>
  <c r="AE31" i="1" s="1"/>
  <c r="M29" i="1"/>
  <c r="AG45" i="11"/>
  <c r="AG65" i="11"/>
  <c r="AG64" i="11"/>
  <c r="AG63" i="11"/>
  <c r="AG62" i="11"/>
  <c r="AG61" i="11"/>
  <c r="AG60" i="11"/>
  <c r="AG46" i="11"/>
  <c r="AG44" i="11"/>
  <c r="AG43" i="11"/>
  <c r="AG42" i="11"/>
  <c r="AG41" i="11"/>
  <c r="AG236" i="15"/>
  <c r="AG235" i="15"/>
  <c r="AG234" i="15"/>
  <c r="AG233" i="15"/>
  <c r="AG232" i="15"/>
  <c r="AG231" i="15"/>
  <c r="AG217" i="15"/>
  <c r="AG216" i="15"/>
  <c r="AG215" i="15"/>
  <c r="AG214" i="15"/>
  <c r="AG213" i="15"/>
  <c r="AG212" i="15"/>
  <c r="AG198" i="15"/>
  <c r="AG197" i="15"/>
  <c r="AG196" i="15"/>
  <c r="AG195" i="15"/>
  <c r="AG194" i="15"/>
  <c r="AG193" i="15"/>
  <c r="AG179" i="15"/>
  <c r="AG178" i="15"/>
  <c r="AG177" i="15"/>
  <c r="AG176" i="15"/>
  <c r="AG175" i="15"/>
  <c r="AG174" i="15"/>
  <c r="AG141" i="15"/>
  <c r="AG140" i="15"/>
  <c r="AG139" i="15"/>
  <c r="AG138" i="15"/>
  <c r="AG137" i="15"/>
  <c r="AG136" i="15"/>
  <c r="AG65" i="15"/>
  <c r="AG64" i="15"/>
  <c r="AG63" i="15"/>
  <c r="AG62" i="15"/>
  <c r="AG61" i="15"/>
  <c r="AG60" i="15"/>
  <c r="AG46" i="15"/>
  <c r="AG45" i="15"/>
  <c r="AG44" i="15"/>
  <c r="AG43" i="15"/>
  <c r="AG42" i="15"/>
  <c r="AG41" i="15"/>
  <c r="AG217" i="11"/>
  <c r="AG216" i="11"/>
  <c r="AG215" i="11"/>
  <c r="AG214" i="11"/>
  <c r="AG213" i="11"/>
  <c r="AG212" i="11"/>
  <c r="AG198" i="11"/>
  <c r="AG197" i="11"/>
  <c r="AG196" i="11"/>
  <c r="AG195" i="11"/>
  <c r="AG194" i="11"/>
  <c r="AG193" i="11"/>
  <c r="AG179" i="11"/>
  <c r="AG178" i="11"/>
  <c r="AG177" i="11"/>
  <c r="AG176" i="11"/>
  <c r="AG175" i="11"/>
  <c r="AG174" i="11"/>
  <c r="AG141" i="11"/>
  <c r="AG140" i="11"/>
  <c r="AG139" i="11"/>
  <c r="AG138" i="11"/>
  <c r="AG137" i="11"/>
  <c r="AG136" i="11"/>
  <c r="AG27" i="11"/>
  <c r="AG26" i="11"/>
  <c r="AG25" i="11"/>
  <c r="AG24" i="11"/>
  <c r="AG23" i="11"/>
  <c r="AG22" i="11"/>
  <c r="AG236" i="10"/>
  <c r="AG235" i="10"/>
  <c r="AG234" i="10"/>
  <c r="AG233" i="10"/>
  <c r="AG232" i="10"/>
  <c r="AG231" i="10"/>
  <c r="AG217" i="10"/>
  <c r="AG216" i="10"/>
  <c r="AG215" i="10"/>
  <c r="AG214" i="10"/>
  <c r="AG213" i="10"/>
  <c r="AG212" i="10"/>
  <c r="AG198" i="10"/>
  <c r="AG197" i="10"/>
  <c r="AG196" i="10"/>
  <c r="AG195" i="10"/>
  <c r="AG194" i="10"/>
  <c r="AG193" i="10"/>
  <c r="AG179" i="10"/>
  <c r="AG178" i="10"/>
  <c r="AG177" i="10"/>
  <c r="AG176" i="10"/>
  <c r="AG175" i="10"/>
  <c r="AG174" i="10"/>
  <c r="AG141" i="10"/>
  <c r="AG140" i="10"/>
  <c r="AG139" i="10"/>
  <c r="AG138" i="10"/>
  <c r="AG137" i="10"/>
  <c r="AG136" i="10"/>
  <c r="AG65" i="10"/>
  <c r="AG64" i="10"/>
  <c r="AG63" i="10"/>
  <c r="AG62" i="10"/>
  <c r="AG61" i="10"/>
  <c r="AG60" i="10"/>
  <c r="AG46" i="10"/>
  <c r="AG45" i="10"/>
  <c r="AG44" i="10"/>
  <c r="AG43" i="10"/>
  <c r="AG42" i="10"/>
  <c r="AG41" i="10"/>
  <c r="AG236" i="9"/>
  <c r="AG235" i="9"/>
  <c r="AG234" i="9"/>
  <c r="AG233" i="9"/>
  <c r="AG232" i="9"/>
  <c r="AG231" i="9"/>
  <c r="AG217" i="9"/>
  <c r="AG216" i="9"/>
  <c r="AG215" i="9"/>
  <c r="AG214" i="9"/>
  <c r="AG213" i="9"/>
  <c r="AG212" i="9"/>
  <c r="AG198" i="9"/>
  <c r="AG197" i="9"/>
  <c r="AG196" i="9"/>
  <c r="AG195" i="9"/>
  <c r="AG194" i="9"/>
  <c r="AG193" i="9"/>
  <c r="AG179" i="9"/>
  <c r="AG178" i="9"/>
  <c r="AG177" i="9"/>
  <c r="AG176" i="9"/>
  <c r="AG175" i="9"/>
  <c r="AG174" i="9"/>
  <c r="AG141" i="9"/>
  <c r="AG140" i="9"/>
  <c r="AG139" i="9"/>
  <c r="AG138" i="9"/>
  <c r="AG137" i="9"/>
  <c r="AG136" i="9"/>
  <c r="AG65" i="9"/>
  <c r="AG64" i="9"/>
  <c r="AG63" i="9"/>
  <c r="AG62" i="9"/>
  <c r="AG61" i="9"/>
  <c r="AG60" i="9"/>
  <c r="AG46" i="9"/>
  <c r="AG45" i="9"/>
  <c r="AG44" i="9"/>
  <c r="AG43" i="9"/>
  <c r="AG42" i="9"/>
  <c r="AG41" i="9"/>
  <c r="AB4" i="20"/>
  <c r="AB32" i="20"/>
  <c r="AB33" i="20"/>
  <c r="AB34" i="20"/>
  <c r="AB60" i="20"/>
  <c r="AB61" i="20"/>
  <c r="AB76" i="20"/>
  <c r="AB77" i="20"/>
  <c r="AB89" i="20"/>
  <c r="AB90" i="20"/>
  <c r="AB91" i="20"/>
  <c r="AB92" i="20"/>
  <c r="L41" i="19"/>
  <c r="S41" i="19"/>
  <c r="T41" i="19"/>
  <c r="U41" i="19"/>
  <c r="R41" i="2"/>
  <c r="AG121" i="15" l="1"/>
  <c r="AG119" i="15"/>
  <c r="AE95" i="21"/>
  <c r="AG117" i="15"/>
  <c r="AG122" i="15"/>
  <c r="AG118" i="15"/>
  <c r="AG120" i="11"/>
  <c r="AG120" i="15"/>
  <c r="AG118" i="11"/>
  <c r="AG122" i="11"/>
  <c r="AG117" i="11"/>
  <c r="AG121" i="11"/>
  <c r="AG119" i="11"/>
  <c r="AK52" i="1"/>
  <c r="J30" i="1"/>
  <c r="AB29" i="1"/>
  <c r="AB31" i="1" s="1"/>
  <c r="Y30" i="1" l="1"/>
  <c r="Y31" i="1" s="1"/>
  <c r="AK53" i="1" s="1"/>
  <c r="M30" i="1"/>
  <c r="M31" i="1" s="1"/>
  <c r="AM92" i="21"/>
  <c r="AF92" i="21"/>
  <c r="AB92" i="21"/>
  <c r="P92" i="21"/>
  <c r="D92" i="21"/>
  <c r="F92" i="21" s="1"/>
  <c r="AM91" i="21"/>
  <c r="AF91" i="21"/>
  <c r="AB91" i="21"/>
  <c r="AD91" i="21" s="1"/>
  <c r="P91" i="21"/>
  <c r="D91" i="21"/>
  <c r="F91" i="21" s="1"/>
  <c r="AM90" i="21"/>
  <c r="AF90" i="21"/>
  <c r="AB90" i="21"/>
  <c r="AC90" i="21" s="1"/>
  <c r="P90" i="21"/>
  <c r="D90" i="21"/>
  <c r="F90" i="21" s="1"/>
  <c r="AM89" i="21"/>
  <c r="AF89" i="21"/>
  <c r="AB89" i="21"/>
  <c r="AD89" i="21" s="1"/>
  <c r="P89" i="21"/>
  <c r="D89" i="21"/>
  <c r="F89" i="21" s="1"/>
  <c r="AM88" i="21"/>
  <c r="AF88" i="21"/>
  <c r="AB88" i="21"/>
  <c r="P88" i="21"/>
  <c r="D88" i="21"/>
  <c r="F88" i="21" s="1"/>
  <c r="AM87" i="21"/>
  <c r="AF87" i="21"/>
  <c r="AB87" i="21"/>
  <c r="AD87" i="21" s="1"/>
  <c r="P87" i="21"/>
  <c r="D87" i="21"/>
  <c r="F87" i="21" s="1"/>
  <c r="AM86" i="21"/>
  <c r="AF86" i="21"/>
  <c r="AB86" i="21"/>
  <c r="AC86" i="21" s="1"/>
  <c r="P86" i="21"/>
  <c r="D86" i="21"/>
  <c r="F86" i="21" s="1"/>
  <c r="AM85" i="21"/>
  <c r="AF85" i="21"/>
  <c r="AB85" i="21"/>
  <c r="AD85" i="21" s="1"/>
  <c r="P85" i="21"/>
  <c r="D85" i="21"/>
  <c r="F85" i="21" s="1"/>
  <c r="AM81" i="21"/>
  <c r="AF81" i="21"/>
  <c r="AB81" i="21"/>
  <c r="P81" i="21"/>
  <c r="D81" i="21"/>
  <c r="F81" i="21" s="1"/>
  <c r="AM80" i="21"/>
  <c r="AF80" i="21"/>
  <c r="AB80" i="21"/>
  <c r="AD80" i="21" s="1"/>
  <c r="P80" i="21"/>
  <c r="D80" i="21"/>
  <c r="F80" i="21" s="1"/>
  <c r="AM79" i="21"/>
  <c r="AF79" i="21"/>
  <c r="AB79" i="21"/>
  <c r="AC79" i="21" s="1"/>
  <c r="P79" i="21"/>
  <c r="D79" i="21"/>
  <c r="F79" i="21" s="1"/>
  <c r="AM78" i="21"/>
  <c r="AF78" i="21"/>
  <c r="AB78" i="21"/>
  <c r="AD78" i="21" s="1"/>
  <c r="P78" i="21"/>
  <c r="N78" i="21"/>
  <c r="M78" i="21"/>
  <c r="D78" i="21"/>
  <c r="F78" i="21" s="1"/>
  <c r="AM77" i="21"/>
  <c r="AF77" i="21"/>
  <c r="AB77" i="21"/>
  <c r="AC77" i="21" s="1"/>
  <c r="P77" i="21"/>
  <c r="N77" i="21"/>
  <c r="M77" i="21"/>
  <c r="D77" i="21"/>
  <c r="F77" i="21" s="1"/>
  <c r="AM76" i="21"/>
  <c r="AF76" i="21"/>
  <c r="AB76" i="21"/>
  <c r="AD76" i="21" s="1"/>
  <c r="P76" i="21"/>
  <c r="N76" i="21"/>
  <c r="M76" i="21"/>
  <c r="D76" i="21"/>
  <c r="F76" i="21" s="1"/>
  <c r="AM75" i="21"/>
  <c r="AF75" i="21"/>
  <c r="AB75" i="21"/>
  <c r="P75" i="21"/>
  <c r="D75" i="21"/>
  <c r="F75" i="21" s="1"/>
  <c r="AM74" i="21"/>
  <c r="AF74" i="21"/>
  <c r="AB74" i="21"/>
  <c r="AD74" i="21" s="1"/>
  <c r="P74" i="21"/>
  <c r="D74" i="21"/>
  <c r="F74" i="21" s="1"/>
  <c r="AM73" i="21"/>
  <c r="AF73" i="21"/>
  <c r="AB73" i="21"/>
  <c r="AC73" i="21" s="1"/>
  <c r="P73" i="21"/>
  <c r="N73" i="21"/>
  <c r="M73" i="21"/>
  <c r="D73" i="21"/>
  <c r="F73" i="21" s="1"/>
  <c r="AM72" i="21"/>
  <c r="AF72" i="21"/>
  <c r="AB72" i="21"/>
  <c r="AD72" i="21" s="1"/>
  <c r="P72" i="21"/>
  <c r="N72" i="21"/>
  <c r="M72" i="21"/>
  <c r="D72" i="21"/>
  <c r="F72" i="21" s="1"/>
  <c r="AM71" i="21"/>
  <c r="AF71" i="21"/>
  <c r="AB71" i="21"/>
  <c r="P71" i="21"/>
  <c r="D71" i="21"/>
  <c r="F71" i="21" s="1"/>
  <c r="AM70" i="21"/>
  <c r="AF70" i="21"/>
  <c r="AB70" i="21"/>
  <c r="AD70" i="21" s="1"/>
  <c r="P70" i="21"/>
  <c r="D70" i="21"/>
  <c r="F70" i="21" s="1"/>
  <c r="AM69" i="21"/>
  <c r="AF69" i="21"/>
  <c r="AB69" i="21"/>
  <c r="AC69" i="21" s="1"/>
  <c r="P69" i="21"/>
  <c r="D69" i="21"/>
  <c r="F69" i="21" s="1"/>
  <c r="AM66" i="21"/>
  <c r="AF66" i="21"/>
  <c r="AB66" i="21"/>
  <c r="AD66" i="21" s="1"/>
  <c r="P66" i="21"/>
  <c r="N66" i="21"/>
  <c r="M66" i="21"/>
  <c r="D66" i="21"/>
  <c r="F66" i="21" s="1"/>
  <c r="AM65" i="21"/>
  <c r="P65" i="21"/>
  <c r="N65" i="21"/>
  <c r="M65" i="21"/>
  <c r="D65" i="21"/>
  <c r="F65" i="21" s="1"/>
  <c r="AM64" i="21"/>
  <c r="P64" i="21"/>
  <c r="N64" i="21"/>
  <c r="M64" i="21"/>
  <c r="D64" i="21"/>
  <c r="F64" i="21" s="1"/>
  <c r="AM63" i="21"/>
  <c r="P63" i="21"/>
  <c r="N63" i="21"/>
  <c r="M63" i="21"/>
  <c r="D63" i="21"/>
  <c r="F63" i="21" s="1"/>
  <c r="AM62" i="21"/>
  <c r="P62" i="21"/>
  <c r="N62" i="21"/>
  <c r="M62" i="21"/>
  <c r="D62" i="21"/>
  <c r="F62" i="21" s="1"/>
  <c r="AM61" i="21"/>
  <c r="AF61" i="21"/>
  <c r="AB61" i="21"/>
  <c r="AD61" i="21" s="1"/>
  <c r="P61" i="21"/>
  <c r="N61" i="21"/>
  <c r="M61" i="21"/>
  <c r="D61" i="21"/>
  <c r="F61" i="21" s="1"/>
  <c r="AM60" i="21"/>
  <c r="AF60" i="21"/>
  <c r="AB60" i="21"/>
  <c r="P60" i="21"/>
  <c r="N60" i="21"/>
  <c r="M60" i="21"/>
  <c r="D60" i="21"/>
  <c r="F60" i="21" s="1"/>
  <c r="AM59" i="21"/>
  <c r="AF59" i="21"/>
  <c r="AB59" i="21"/>
  <c r="AC59" i="21" s="1"/>
  <c r="P59" i="21"/>
  <c r="N59" i="21"/>
  <c r="M59" i="21"/>
  <c r="D59" i="21"/>
  <c r="F59" i="21" s="1"/>
  <c r="AM58" i="21"/>
  <c r="AF58" i="21"/>
  <c r="AB58" i="21"/>
  <c r="AC58" i="21" s="1"/>
  <c r="P58" i="21"/>
  <c r="N58" i="21"/>
  <c r="M58" i="21"/>
  <c r="D58" i="21"/>
  <c r="F58" i="21" s="1"/>
  <c r="AM56" i="21"/>
  <c r="AF56" i="21"/>
  <c r="AB56" i="21"/>
  <c r="AD56" i="21" s="1"/>
  <c r="P56" i="21"/>
  <c r="N56" i="21"/>
  <c r="M56" i="21"/>
  <c r="D56" i="21"/>
  <c r="F56" i="21" s="1"/>
  <c r="AM55" i="21"/>
  <c r="AF55" i="21"/>
  <c r="AB55" i="21"/>
  <c r="AC55" i="21" s="1"/>
  <c r="P55" i="21"/>
  <c r="N55" i="21"/>
  <c r="M55" i="21"/>
  <c r="D55" i="21"/>
  <c r="F55" i="21" s="1"/>
  <c r="AM54" i="21"/>
  <c r="AF54" i="21"/>
  <c r="AB54" i="21"/>
  <c r="AD54" i="21" s="1"/>
  <c r="P54" i="21"/>
  <c r="N54" i="21"/>
  <c r="M54" i="21"/>
  <c r="D54" i="21"/>
  <c r="F54" i="21" s="1"/>
  <c r="AM53" i="21"/>
  <c r="AF53" i="21"/>
  <c r="AB53" i="21"/>
  <c r="AC53" i="21" s="1"/>
  <c r="P53" i="21"/>
  <c r="D53" i="21"/>
  <c r="F53" i="21" s="1"/>
  <c r="AM52" i="21"/>
  <c r="AF52" i="21"/>
  <c r="AB52" i="21"/>
  <c r="AD52" i="21" s="1"/>
  <c r="P52" i="21"/>
  <c r="D52" i="21"/>
  <c r="F52" i="21" s="1"/>
  <c r="AM51" i="21"/>
  <c r="AF51" i="21"/>
  <c r="AB51" i="21"/>
  <c r="AC51" i="21" s="1"/>
  <c r="P51" i="21"/>
  <c r="N51" i="21"/>
  <c r="M51" i="21"/>
  <c r="D51" i="21"/>
  <c r="F51" i="21" s="1"/>
  <c r="AM50" i="21"/>
  <c r="AF50" i="21"/>
  <c r="AB50" i="21"/>
  <c r="AD50" i="21" s="1"/>
  <c r="P50" i="21"/>
  <c r="N50" i="21"/>
  <c r="M50" i="21"/>
  <c r="D50" i="21"/>
  <c r="F50" i="21" s="1"/>
  <c r="AM49" i="21"/>
  <c r="AF49" i="21"/>
  <c r="AB49" i="21"/>
  <c r="AC49" i="21" s="1"/>
  <c r="P49" i="21"/>
  <c r="N49" i="21"/>
  <c r="M49" i="21"/>
  <c r="D49" i="21"/>
  <c r="F49" i="21" s="1"/>
  <c r="AM48" i="21"/>
  <c r="AF48" i="21"/>
  <c r="AB48" i="21"/>
  <c r="AC48" i="21" s="1"/>
  <c r="P48" i="21"/>
  <c r="N48" i="21"/>
  <c r="M48" i="21"/>
  <c r="D48" i="21"/>
  <c r="F48" i="21" s="1"/>
  <c r="AM47" i="21"/>
  <c r="P47" i="21"/>
  <c r="N47" i="21"/>
  <c r="M47" i="21"/>
  <c r="D47" i="21"/>
  <c r="F47" i="21" s="1"/>
  <c r="AM46" i="21"/>
  <c r="AF46" i="21"/>
  <c r="AB46" i="21"/>
  <c r="AD46" i="21" s="1"/>
  <c r="P46" i="21"/>
  <c r="N46" i="21"/>
  <c r="M46" i="21"/>
  <c r="D46" i="21"/>
  <c r="F46" i="21" s="1"/>
  <c r="AM45" i="21"/>
  <c r="P45" i="21"/>
  <c r="N45" i="21"/>
  <c r="M45" i="21"/>
  <c r="D45" i="21"/>
  <c r="F45" i="21" s="1"/>
  <c r="AM44" i="21"/>
  <c r="AF44" i="21"/>
  <c r="AB44" i="21"/>
  <c r="AD44" i="21" s="1"/>
  <c r="P44" i="21"/>
  <c r="N44" i="21"/>
  <c r="M44" i="21"/>
  <c r="D44" i="21"/>
  <c r="F44" i="21" s="1"/>
  <c r="AM43" i="21"/>
  <c r="AF43" i="21"/>
  <c r="AB43" i="21"/>
  <c r="AC43" i="21" s="1"/>
  <c r="P43" i="21"/>
  <c r="N43" i="21"/>
  <c r="M43" i="21"/>
  <c r="D43" i="21"/>
  <c r="F43" i="21" s="1"/>
  <c r="AM42" i="21"/>
  <c r="AF42" i="21"/>
  <c r="AB42" i="21"/>
  <c r="AD42" i="21" s="1"/>
  <c r="P42" i="21"/>
  <c r="N42" i="21"/>
  <c r="M42" i="21"/>
  <c r="D42" i="21"/>
  <c r="F42" i="21" s="1"/>
  <c r="AM41" i="21"/>
  <c r="AF41" i="21"/>
  <c r="AB41" i="21"/>
  <c r="AC41" i="21" s="1"/>
  <c r="P41" i="21"/>
  <c r="N41" i="21"/>
  <c r="M41" i="21"/>
  <c r="D41" i="21"/>
  <c r="F41" i="21" s="1"/>
  <c r="AM40" i="21"/>
  <c r="AF40" i="21"/>
  <c r="AB40" i="21"/>
  <c r="AD40" i="21" s="1"/>
  <c r="P40" i="21"/>
  <c r="N40" i="21"/>
  <c r="M40" i="21"/>
  <c r="D40" i="21"/>
  <c r="F40" i="21" s="1"/>
  <c r="AM39" i="21"/>
  <c r="AF39" i="21"/>
  <c r="AB39" i="21"/>
  <c r="AC39" i="21" s="1"/>
  <c r="P39" i="21"/>
  <c r="N39" i="21"/>
  <c r="M39" i="21"/>
  <c r="D39" i="21"/>
  <c r="F39" i="21" s="1"/>
  <c r="AM38" i="21"/>
  <c r="AF38" i="21"/>
  <c r="AB38" i="21"/>
  <c r="AD38" i="21" s="1"/>
  <c r="P38" i="21"/>
  <c r="N38" i="21"/>
  <c r="M38" i="21"/>
  <c r="D38" i="21"/>
  <c r="F38" i="21" s="1"/>
  <c r="AM37" i="21"/>
  <c r="AF37" i="21"/>
  <c r="AB37" i="21"/>
  <c r="AC37" i="21" s="1"/>
  <c r="P37" i="21"/>
  <c r="N37" i="21"/>
  <c r="M37" i="21"/>
  <c r="D37" i="21"/>
  <c r="F37" i="21" s="1"/>
  <c r="AM33" i="21"/>
  <c r="AF33" i="21"/>
  <c r="AB33" i="21"/>
  <c r="AC33" i="21" s="1"/>
  <c r="P33" i="21"/>
  <c r="D33" i="21"/>
  <c r="F33" i="21" s="1"/>
  <c r="AM32" i="21"/>
  <c r="AF32" i="21"/>
  <c r="AB32" i="21"/>
  <c r="AD32" i="21" s="1"/>
  <c r="P32" i="21"/>
  <c r="D32" i="21"/>
  <c r="F32" i="21" s="1"/>
  <c r="AM31" i="21"/>
  <c r="AF31" i="21"/>
  <c r="AB31" i="21"/>
  <c r="AC31" i="21" s="1"/>
  <c r="P31" i="21"/>
  <c r="D31" i="21"/>
  <c r="F31" i="21" s="1"/>
  <c r="AM19" i="21"/>
  <c r="D19" i="21"/>
  <c r="F19" i="21" s="1"/>
  <c r="AM18" i="21"/>
  <c r="D18" i="21"/>
  <c r="F18" i="21" s="1"/>
  <c r="AM17" i="21"/>
  <c r="AF17" i="21"/>
  <c r="AB17" i="21"/>
  <c r="AD17" i="21" s="1"/>
  <c r="P17" i="21"/>
  <c r="N17" i="21"/>
  <c r="M17" i="21"/>
  <c r="D17" i="21"/>
  <c r="F17" i="21" s="1"/>
  <c r="AM16" i="21"/>
  <c r="AB16" i="21"/>
  <c r="AD16" i="21" s="1"/>
  <c r="P16" i="21"/>
  <c r="N16" i="21"/>
  <c r="M16" i="21"/>
  <c r="F16" i="21"/>
  <c r="D16" i="21"/>
  <c r="AM5" i="21"/>
  <c r="AF5" i="21"/>
  <c r="AB5" i="21"/>
  <c r="AC5" i="21" s="1"/>
  <c r="P5" i="21"/>
  <c r="N5" i="21"/>
  <c r="M5" i="21"/>
  <c r="D5" i="21"/>
  <c r="F5" i="21" s="1"/>
  <c r="AM4" i="21"/>
  <c r="AF4" i="21"/>
  <c r="AB4" i="21"/>
  <c r="P4" i="21"/>
  <c r="N4" i="21"/>
  <c r="M4" i="21"/>
  <c r="D4" i="21"/>
  <c r="F4" i="21" s="1"/>
  <c r="AN93" i="20"/>
  <c r="AK93" i="20" s="1"/>
  <c r="AH93" i="20"/>
  <c r="AG93" i="20"/>
  <c r="AF93" i="20"/>
  <c r="U93" i="20"/>
  <c r="T93" i="20"/>
  <c r="M93" i="20"/>
  <c r="C93" i="20"/>
  <c r="AN92" i="20"/>
  <c r="AK92" i="20" s="1"/>
  <c r="AH92" i="20"/>
  <c r="AG92" i="20"/>
  <c r="AD92" i="20"/>
  <c r="Y92" i="20"/>
  <c r="AC92" i="20" s="1"/>
  <c r="U92" i="20"/>
  <c r="T92" i="20"/>
  <c r="AE92" i="20" s="1"/>
  <c r="M92" i="20"/>
  <c r="C92" i="20"/>
  <c r="AN91" i="20"/>
  <c r="AK91" i="20" s="1"/>
  <c r="AH91" i="20"/>
  <c r="AG91" i="20"/>
  <c r="AD91" i="20"/>
  <c r="Y91" i="20"/>
  <c r="AC91" i="20" s="1"/>
  <c r="U91" i="20"/>
  <c r="T91" i="20"/>
  <c r="AE91" i="20" s="1"/>
  <c r="M91" i="20"/>
  <c r="C91" i="20"/>
  <c r="AN90" i="20"/>
  <c r="AK90" i="20" s="1"/>
  <c r="AH90" i="20"/>
  <c r="AG90" i="20"/>
  <c r="AD90" i="20"/>
  <c r="Y90" i="20"/>
  <c r="Z90" i="20" s="1"/>
  <c r="U90" i="20"/>
  <c r="T90" i="20"/>
  <c r="AE90" i="20" s="1"/>
  <c r="M90" i="20"/>
  <c r="C90" i="20"/>
  <c r="AN89" i="20"/>
  <c r="AK89" i="20" s="1"/>
  <c r="AH89" i="20"/>
  <c r="AG89" i="20"/>
  <c r="AD89" i="20"/>
  <c r="Y89" i="20"/>
  <c r="AF89" i="20" s="1"/>
  <c r="U89" i="20"/>
  <c r="T89" i="20"/>
  <c r="AE89" i="20" s="1"/>
  <c r="M89" i="20"/>
  <c r="C89" i="20"/>
  <c r="AN84" i="20"/>
  <c r="AK84" i="20" s="1"/>
  <c r="AI84" i="20"/>
  <c r="AH84" i="20"/>
  <c r="AG84" i="20"/>
  <c r="AJ84" i="20" s="1"/>
  <c r="U84" i="20"/>
  <c r="T84" i="20"/>
  <c r="M84" i="20"/>
  <c r="C84" i="20"/>
  <c r="AN83" i="20"/>
  <c r="AK83" i="20" s="1"/>
  <c r="AI83" i="20"/>
  <c r="AH83" i="20"/>
  <c r="AG83" i="20"/>
  <c r="AJ83" i="20" s="1"/>
  <c r="AF83" i="20"/>
  <c r="U83" i="20"/>
  <c r="T83" i="20"/>
  <c r="M83" i="20"/>
  <c r="C83" i="20"/>
  <c r="AN82" i="20"/>
  <c r="AK82" i="20" s="1"/>
  <c r="AI82" i="20"/>
  <c r="AH82" i="20"/>
  <c r="AG82" i="20"/>
  <c r="AJ82" i="20" s="1"/>
  <c r="V82" i="20"/>
  <c r="U82" i="20"/>
  <c r="T82" i="20"/>
  <c r="M82" i="20"/>
  <c r="C82" i="20"/>
  <c r="AN81" i="20"/>
  <c r="AK81" i="20" s="1"/>
  <c r="AH81" i="20"/>
  <c r="AG81" i="20"/>
  <c r="U81" i="20"/>
  <c r="T81" i="20"/>
  <c r="M81" i="20"/>
  <c r="C81" i="20"/>
  <c r="AN77" i="20"/>
  <c r="AK77" i="20" s="1"/>
  <c r="AI77" i="20"/>
  <c r="AH77" i="20"/>
  <c r="AG77" i="20"/>
  <c r="AJ77" i="20" s="1"/>
  <c r="AD77" i="20"/>
  <c r="Y77" i="20"/>
  <c r="AC77" i="20" s="1"/>
  <c r="U77" i="20"/>
  <c r="T77" i="20"/>
  <c r="AE77" i="20" s="1"/>
  <c r="M77" i="20"/>
  <c r="C77" i="20"/>
  <c r="AN76" i="20"/>
  <c r="AK76" i="20" s="1"/>
  <c r="AI76" i="20"/>
  <c r="AH76" i="20"/>
  <c r="AG76" i="20"/>
  <c r="AJ76" i="20" s="1"/>
  <c r="AD76" i="20"/>
  <c r="Y76" i="20"/>
  <c r="AC76" i="20" s="1"/>
  <c r="U76" i="20"/>
  <c r="T76" i="20"/>
  <c r="AE76" i="20" s="1"/>
  <c r="M76" i="20"/>
  <c r="C76" i="20"/>
  <c r="AN61" i="20"/>
  <c r="AK61" i="20" s="1"/>
  <c r="AI61" i="20"/>
  <c r="AH61" i="20"/>
  <c r="AG61" i="20"/>
  <c r="AJ61" i="20" s="1"/>
  <c r="Y61" i="20"/>
  <c r="AC61" i="20" s="1"/>
  <c r="U61" i="20"/>
  <c r="T61" i="20"/>
  <c r="M61" i="20"/>
  <c r="F61" i="20"/>
  <c r="AD61" i="20" s="1"/>
  <c r="C61" i="20"/>
  <c r="AN60" i="20"/>
  <c r="AK60" i="20" s="1"/>
  <c r="AI60" i="20"/>
  <c r="AH60" i="20"/>
  <c r="AG60" i="20"/>
  <c r="AJ60" i="20" s="1"/>
  <c r="Y60" i="20"/>
  <c r="AF60" i="20" s="1"/>
  <c r="U60" i="20"/>
  <c r="T60" i="20"/>
  <c r="M60" i="20"/>
  <c r="F60" i="20"/>
  <c r="C60" i="20"/>
  <c r="AN59" i="20"/>
  <c r="AK59" i="20" s="1"/>
  <c r="AH59" i="20"/>
  <c r="AG59" i="20"/>
  <c r="U59" i="20"/>
  <c r="T59" i="20"/>
  <c r="M59" i="20"/>
  <c r="C59" i="20"/>
  <c r="AN58" i="20"/>
  <c r="AK58" i="20" s="1"/>
  <c r="AH58" i="20"/>
  <c r="AG58" i="20"/>
  <c r="U58" i="20"/>
  <c r="T58" i="20"/>
  <c r="M58" i="20"/>
  <c r="C58" i="20"/>
  <c r="AN57" i="20"/>
  <c r="AK57" i="20" s="1"/>
  <c r="AI57" i="20"/>
  <c r="AH57" i="20"/>
  <c r="AG57" i="20"/>
  <c r="AJ57" i="20" s="1"/>
  <c r="V57" i="20"/>
  <c r="U57" i="20"/>
  <c r="T57" i="20"/>
  <c r="M57" i="20"/>
  <c r="C57" i="20"/>
  <c r="AN41" i="20"/>
  <c r="AK41" i="20" s="1"/>
  <c r="AI41" i="20"/>
  <c r="AH41" i="20"/>
  <c r="AG41" i="20"/>
  <c r="AJ41" i="20" s="1"/>
  <c r="AF41" i="20"/>
  <c r="V41" i="20"/>
  <c r="U41" i="20"/>
  <c r="T41" i="20"/>
  <c r="M41" i="20"/>
  <c r="C41" i="20"/>
  <c r="AN40" i="20"/>
  <c r="AK40" i="20" s="1"/>
  <c r="AI40" i="20"/>
  <c r="AH40" i="20"/>
  <c r="AG40" i="20"/>
  <c r="AJ40" i="20" s="1"/>
  <c r="V40" i="20"/>
  <c r="U40" i="20"/>
  <c r="T40" i="20"/>
  <c r="M40" i="20"/>
  <c r="C40" i="20"/>
  <c r="AN39" i="20"/>
  <c r="AK39" i="20" s="1"/>
  <c r="AI39" i="20"/>
  <c r="AH39" i="20"/>
  <c r="AG39" i="20"/>
  <c r="AJ39" i="20" s="1"/>
  <c r="AF39" i="20"/>
  <c r="U39" i="20"/>
  <c r="T39" i="20"/>
  <c r="M39" i="20"/>
  <c r="C39" i="20"/>
  <c r="AN38" i="20"/>
  <c r="AK38" i="20" s="1"/>
  <c r="AI38" i="20"/>
  <c r="AH38" i="20"/>
  <c r="AG38" i="20"/>
  <c r="AJ38" i="20" s="1"/>
  <c r="AF38" i="20"/>
  <c r="V38" i="20"/>
  <c r="U38" i="20"/>
  <c r="T38" i="20"/>
  <c r="M38" i="20"/>
  <c r="C38" i="20"/>
  <c r="AN37" i="20"/>
  <c r="AK37" i="20" s="1"/>
  <c r="AH37" i="20"/>
  <c r="AG37" i="20"/>
  <c r="U37" i="20"/>
  <c r="T37" i="20"/>
  <c r="M37" i="20"/>
  <c r="C37" i="20"/>
  <c r="AN36" i="20"/>
  <c r="AK36" i="20" s="1"/>
  <c r="AI36" i="20"/>
  <c r="AH36" i="20"/>
  <c r="AG36" i="20"/>
  <c r="AJ36" i="20" s="1"/>
  <c r="V36" i="20"/>
  <c r="U36" i="20"/>
  <c r="T36" i="20"/>
  <c r="M36" i="20"/>
  <c r="C36" i="20"/>
  <c r="AN35" i="20"/>
  <c r="AK35" i="20" s="1"/>
  <c r="AH35" i="20"/>
  <c r="AG35" i="20"/>
  <c r="U35" i="20"/>
  <c r="T35" i="20"/>
  <c r="M35" i="20"/>
  <c r="C35" i="20"/>
  <c r="AN34" i="20"/>
  <c r="AK34" i="20" s="1"/>
  <c r="AH34" i="20"/>
  <c r="AG34" i="20"/>
  <c r="AD34" i="20"/>
  <c r="Y34" i="20"/>
  <c r="AC34" i="20" s="1"/>
  <c r="U34" i="20"/>
  <c r="T34" i="20"/>
  <c r="AE34" i="20" s="1"/>
  <c r="M34" i="20"/>
  <c r="C34" i="20"/>
  <c r="AN33" i="20"/>
  <c r="AK33" i="20" s="1"/>
  <c r="AH33" i="20"/>
  <c r="AG33" i="20"/>
  <c r="AD33" i="20"/>
  <c r="Y33" i="20"/>
  <c r="AC33" i="20" s="1"/>
  <c r="U33" i="20"/>
  <c r="T33" i="20"/>
  <c r="AE33" i="20" s="1"/>
  <c r="M33" i="20"/>
  <c r="C33" i="20"/>
  <c r="AN32" i="20"/>
  <c r="AK32" i="20" s="1"/>
  <c r="AH32" i="20"/>
  <c r="AG32" i="20"/>
  <c r="AD32" i="20"/>
  <c r="Y32" i="20"/>
  <c r="AC32" i="20" s="1"/>
  <c r="U32" i="20"/>
  <c r="T32" i="20"/>
  <c r="AE32" i="20" s="1"/>
  <c r="M32" i="20"/>
  <c r="C32" i="20"/>
  <c r="AN31" i="20"/>
  <c r="AK31" i="20" s="1"/>
  <c r="AI31" i="20"/>
  <c r="AH31" i="20"/>
  <c r="AG31" i="20"/>
  <c r="AJ31" i="20" s="1"/>
  <c r="AF31" i="20"/>
  <c r="V31" i="20"/>
  <c r="U31" i="20"/>
  <c r="T31" i="20"/>
  <c r="M31" i="20"/>
  <c r="C31" i="20"/>
  <c r="V30" i="20"/>
  <c r="U30" i="20"/>
  <c r="T30" i="20"/>
  <c r="V29" i="20"/>
  <c r="U29" i="20"/>
  <c r="T29" i="20"/>
  <c r="V28" i="20"/>
  <c r="U28" i="20"/>
  <c r="T28" i="20"/>
  <c r="V27" i="20"/>
  <c r="U27" i="20"/>
  <c r="T27" i="20"/>
  <c r="V26" i="20"/>
  <c r="U26" i="20"/>
  <c r="T26" i="20"/>
  <c r="V25" i="20"/>
  <c r="U25" i="20"/>
  <c r="T25" i="20"/>
  <c r="V24" i="20"/>
  <c r="U24" i="20"/>
  <c r="T24" i="20"/>
  <c r="V23" i="20"/>
  <c r="U23" i="20"/>
  <c r="T23" i="20"/>
  <c r="V22" i="20"/>
  <c r="U22" i="20"/>
  <c r="T22" i="20"/>
  <c r="V21" i="20"/>
  <c r="U21" i="20"/>
  <c r="T21" i="20"/>
  <c r="V20" i="20"/>
  <c r="U20" i="20"/>
  <c r="T20" i="20"/>
  <c r="AN19" i="20"/>
  <c r="AK19" i="20" s="1"/>
  <c r="AI19" i="20"/>
  <c r="AH19" i="20"/>
  <c r="AG19" i="20"/>
  <c r="AJ19" i="20" s="1"/>
  <c r="AF19" i="20"/>
  <c r="U19" i="20"/>
  <c r="T19" i="20"/>
  <c r="M19" i="20"/>
  <c r="C19" i="20"/>
  <c r="AN18" i="20"/>
  <c r="AK18" i="20" s="1"/>
  <c r="AH18" i="20"/>
  <c r="AG18" i="20"/>
  <c r="U18" i="20"/>
  <c r="T18" i="20"/>
  <c r="M18" i="20"/>
  <c r="C18" i="20"/>
  <c r="V16" i="20"/>
  <c r="U16" i="20"/>
  <c r="T16" i="20"/>
  <c r="V15" i="20"/>
  <c r="U15" i="20"/>
  <c r="T15" i="20"/>
  <c r="V14" i="20"/>
  <c r="U14" i="20"/>
  <c r="T14" i="20"/>
  <c r="V13" i="20"/>
  <c r="U13" i="20"/>
  <c r="T13" i="20"/>
  <c r="V12" i="20"/>
  <c r="U12" i="20"/>
  <c r="T12" i="20"/>
  <c r="V11" i="20"/>
  <c r="U11" i="20"/>
  <c r="T11" i="20"/>
  <c r="V10" i="20"/>
  <c r="U10" i="20"/>
  <c r="T10" i="20"/>
  <c r="V9" i="20"/>
  <c r="U9" i="20"/>
  <c r="T9" i="20"/>
  <c r="V8" i="20"/>
  <c r="U8" i="20"/>
  <c r="T8" i="20"/>
  <c r="V7" i="20"/>
  <c r="U7" i="20"/>
  <c r="T7" i="20"/>
  <c r="V6" i="20"/>
  <c r="U6" i="20"/>
  <c r="T6" i="20"/>
  <c r="V5" i="20"/>
  <c r="U5" i="20"/>
  <c r="T5" i="20"/>
  <c r="AH4" i="20"/>
  <c r="AG4" i="20"/>
  <c r="AD4" i="20"/>
  <c r="Y4" i="20"/>
  <c r="U4" i="20"/>
  <c r="T4" i="20"/>
  <c r="AE4" i="20" s="1"/>
  <c r="M4" i="20"/>
  <c r="C4" i="20"/>
  <c r="AQ87" i="19"/>
  <c r="AK87" i="19"/>
  <c r="AJ87" i="19"/>
  <c r="AD87" i="19"/>
  <c r="AC87" i="19"/>
  <c r="AA87" i="19"/>
  <c r="X87" i="19"/>
  <c r="AB87" i="19" s="1"/>
  <c r="L87" i="19"/>
  <c r="D87" i="19"/>
  <c r="AQ86" i="19"/>
  <c r="AK86" i="19"/>
  <c r="AJ86" i="19"/>
  <c r="AD86" i="19"/>
  <c r="AC86" i="19"/>
  <c r="AA86" i="19"/>
  <c r="X86" i="19"/>
  <c r="AB86" i="19" s="1"/>
  <c r="T86" i="19"/>
  <c r="S86" i="19"/>
  <c r="L86" i="19"/>
  <c r="D86" i="19"/>
  <c r="AF86" i="19" s="1"/>
  <c r="AQ85" i="19"/>
  <c r="AK85" i="19"/>
  <c r="AJ85" i="19"/>
  <c r="AD85" i="19"/>
  <c r="AC85" i="19"/>
  <c r="AA85" i="19"/>
  <c r="X85" i="19"/>
  <c r="T85" i="19"/>
  <c r="S85" i="19"/>
  <c r="L85" i="19"/>
  <c r="D85" i="19"/>
  <c r="AE85" i="19" s="1"/>
  <c r="AQ84" i="19"/>
  <c r="AK84" i="19"/>
  <c r="AJ84" i="19"/>
  <c r="AD84" i="19"/>
  <c r="AC84" i="19"/>
  <c r="AA84" i="19"/>
  <c r="X84" i="19"/>
  <c r="Z84" i="19" s="1"/>
  <c r="T84" i="19"/>
  <c r="S84" i="19"/>
  <c r="L84" i="19"/>
  <c r="D84" i="19"/>
  <c r="AH84" i="19" s="1"/>
  <c r="AQ83" i="19"/>
  <c r="AK83" i="19"/>
  <c r="AJ83" i="19"/>
  <c r="AD83" i="19"/>
  <c r="AC83" i="19"/>
  <c r="AA83" i="19"/>
  <c r="X83" i="19"/>
  <c r="Y83" i="19" s="1"/>
  <c r="T83" i="19"/>
  <c r="S83" i="19"/>
  <c r="L83" i="19"/>
  <c r="D83" i="19"/>
  <c r="AQ82" i="19"/>
  <c r="AK82" i="19"/>
  <c r="AJ82" i="19"/>
  <c r="AD82" i="19"/>
  <c r="AC82" i="19"/>
  <c r="AA82" i="19"/>
  <c r="X82" i="19"/>
  <c r="Y82" i="19" s="1"/>
  <c r="T82" i="19"/>
  <c r="S82" i="19"/>
  <c r="L82" i="19"/>
  <c r="D82" i="19"/>
  <c r="AF82" i="19" s="1"/>
  <c r="AQ81" i="19"/>
  <c r="AK81" i="19"/>
  <c r="AJ81" i="19"/>
  <c r="AD81" i="19"/>
  <c r="AC81" i="19"/>
  <c r="AA81" i="19"/>
  <c r="X81" i="19"/>
  <c r="Z81" i="19" s="1"/>
  <c r="T81" i="19"/>
  <c r="S81" i="19"/>
  <c r="L81" i="19"/>
  <c r="D81" i="19"/>
  <c r="AH81" i="19" s="1"/>
  <c r="AQ78" i="19"/>
  <c r="AK78" i="19"/>
  <c r="AJ78" i="19"/>
  <c r="AD78" i="19"/>
  <c r="AC78" i="19"/>
  <c r="AA78" i="19"/>
  <c r="X78" i="19"/>
  <c r="Y78" i="19" s="1"/>
  <c r="T78" i="19"/>
  <c r="S78" i="19"/>
  <c r="L78" i="19"/>
  <c r="D78" i="19"/>
  <c r="AQ77" i="19"/>
  <c r="AK77" i="19"/>
  <c r="AJ77" i="19"/>
  <c r="AD77" i="19"/>
  <c r="AC77" i="19"/>
  <c r="AA77" i="19"/>
  <c r="X77" i="19"/>
  <c r="AB77" i="19" s="1"/>
  <c r="T77" i="19"/>
  <c r="S77" i="19"/>
  <c r="L77" i="19"/>
  <c r="D77" i="19"/>
  <c r="AF77" i="19" s="1"/>
  <c r="AQ74" i="19"/>
  <c r="AK74" i="19"/>
  <c r="AJ74" i="19"/>
  <c r="AD74" i="19"/>
  <c r="AC74" i="19"/>
  <c r="AA74" i="19"/>
  <c r="X74" i="19"/>
  <c r="AB74" i="19" s="1"/>
  <c r="T74" i="19"/>
  <c r="S74" i="19"/>
  <c r="L74" i="19"/>
  <c r="D74" i="19"/>
  <c r="AH74" i="19" s="1"/>
  <c r="AQ73" i="19"/>
  <c r="AK73" i="19"/>
  <c r="AJ73" i="19"/>
  <c r="AD73" i="19"/>
  <c r="AC73" i="19"/>
  <c r="AA73" i="19"/>
  <c r="X73" i="19"/>
  <c r="Z73" i="19" s="1"/>
  <c r="T73" i="19"/>
  <c r="S73" i="19"/>
  <c r="L73" i="19"/>
  <c r="D73" i="19"/>
  <c r="AH73" i="19" s="1"/>
  <c r="AQ72" i="19"/>
  <c r="AK72" i="19"/>
  <c r="AJ72" i="19"/>
  <c r="AD72" i="19"/>
  <c r="AC72" i="19"/>
  <c r="AA72" i="19"/>
  <c r="X72" i="19"/>
  <c r="AB72" i="19" s="1"/>
  <c r="T72" i="19"/>
  <c r="S72" i="19"/>
  <c r="L72" i="19"/>
  <c r="D72" i="19"/>
  <c r="AH72" i="19" s="1"/>
  <c r="AQ71" i="19"/>
  <c r="AK71" i="19"/>
  <c r="AJ71" i="19"/>
  <c r="AD71" i="19"/>
  <c r="AC71" i="19"/>
  <c r="AA71" i="19"/>
  <c r="X71" i="19"/>
  <c r="AB71" i="19" s="1"/>
  <c r="T71" i="19"/>
  <c r="S71" i="19"/>
  <c r="L71" i="19"/>
  <c r="D71" i="19"/>
  <c r="AF71" i="19" s="1"/>
  <c r="AQ70" i="19"/>
  <c r="AK70" i="19"/>
  <c r="AJ70" i="19"/>
  <c r="AD70" i="19"/>
  <c r="AC70" i="19"/>
  <c r="AA70" i="19"/>
  <c r="X70" i="19"/>
  <c r="AB70" i="19" s="1"/>
  <c r="T70" i="19"/>
  <c r="S70" i="19"/>
  <c r="L70" i="19"/>
  <c r="D70" i="19"/>
  <c r="AF70" i="19" s="1"/>
  <c r="AQ69" i="19"/>
  <c r="AK69" i="19"/>
  <c r="AJ69" i="19"/>
  <c r="AD69" i="19"/>
  <c r="AC69" i="19"/>
  <c r="AA69" i="19"/>
  <c r="X69" i="19"/>
  <c r="Z69" i="19" s="1"/>
  <c r="T69" i="19"/>
  <c r="S69" i="19"/>
  <c r="L69" i="19"/>
  <c r="D69" i="19"/>
  <c r="AH69" i="19" s="1"/>
  <c r="AQ68" i="19"/>
  <c r="AK68" i="19"/>
  <c r="AJ68" i="19"/>
  <c r="AD68" i="19"/>
  <c r="AC68" i="19"/>
  <c r="AA68" i="19"/>
  <c r="X68" i="19"/>
  <c r="AB68" i="19" s="1"/>
  <c r="T68" i="19"/>
  <c r="S68" i="19"/>
  <c r="L68" i="19"/>
  <c r="D68" i="19"/>
  <c r="AH68" i="19" s="1"/>
  <c r="AQ67" i="19"/>
  <c r="AK67" i="19"/>
  <c r="AJ67" i="19"/>
  <c r="AD67" i="19"/>
  <c r="AC67" i="19"/>
  <c r="AA67" i="19"/>
  <c r="X67" i="19"/>
  <c r="AB67" i="19" s="1"/>
  <c r="T67" i="19"/>
  <c r="S67" i="19"/>
  <c r="L67" i="19"/>
  <c r="D67" i="19"/>
  <c r="AH67" i="19" s="1"/>
  <c r="AQ66" i="19"/>
  <c r="AK66" i="19"/>
  <c r="AJ66" i="19"/>
  <c r="AD66" i="19"/>
  <c r="AC66" i="19"/>
  <c r="AA66" i="19"/>
  <c r="X66" i="19"/>
  <c r="AB66" i="19" s="1"/>
  <c r="T66" i="19"/>
  <c r="S66" i="19"/>
  <c r="L66" i="19"/>
  <c r="D66" i="19"/>
  <c r="AF66" i="19" s="1"/>
  <c r="AQ65" i="19"/>
  <c r="AK65" i="19"/>
  <c r="AJ65" i="19"/>
  <c r="T65" i="19"/>
  <c r="S65" i="19"/>
  <c r="L65" i="19"/>
  <c r="D65" i="19"/>
  <c r="AH65" i="19" s="1"/>
  <c r="AQ64" i="19"/>
  <c r="AK64" i="19"/>
  <c r="AJ64" i="19"/>
  <c r="T64" i="19"/>
  <c r="S64" i="19"/>
  <c r="L64" i="19"/>
  <c r="D64" i="19"/>
  <c r="AH64" i="19" s="1"/>
  <c r="AQ63" i="19"/>
  <c r="AK63" i="19"/>
  <c r="AJ63" i="19"/>
  <c r="AI63" i="19"/>
  <c r="U63" i="19"/>
  <c r="T63" i="19"/>
  <c r="S63" i="19"/>
  <c r="L63" i="19"/>
  <c r="D63" i="19"/>
  <c r="AE63" i="19" s="1"/>
  <c r="AQ62" i="19"/>
  <c r="AK62" i="19"/>
  <c r="AJ62" i="19"/>
  <c r="AI62" i="19"/>
  <c r="U62" i="19"/>
  <c r="T62" i="19"/>
  <c r="S62" i="19"/>
  <c r="L62" i="19"/>
  <c r="D62" i="19"/>
  <c r="AQ61" i="19"/>
  <c r="AK61" i="19"/>
  <c r="AJ61" i="19"/>
  <c r="AD61" i="19"/>
  <c r="AC61" i="19"/>
  <c r="AA61" i="19"/>
  <c r="X61" i="19"/>
  <c r="T61" i="19"/>
  <c r="S61" i="19"/>
  <c r="L61" i="19"/>
  <c r="D61" i="19"/>
  <c r="AE61" i="19" s="1"/>
  <c r="AQ60" i="19"/>
  <c r="AK60" i="19"/>
  <c r="AJ60" i="19"/>
  <c r="AD60" i="19"/>
  <c r="AC60" i="19"/>
  <c r="AA60" i="19"/>
  <c r="X60" i="19"/>
  <c r="AB60" i="19" s="1"/>
  <c r="T60" i="19"/>
  <c r="S60" i="19"/>
  <c r="L60" i="19"/>
  <c r="D60" i="19"/>
  <c r="AH60" i="19" s="1"/>
  <c r="AQ59" i="19"/>
  <c r="AK59" i="19"/>
  <c r="AJ59" i="19"/>
  <c r="AD59" i="19"/>
  <c r="AC59" i="19"/>
  <c r="AA59" i="19"/>
  <c r="X59" i="19"/>
  <c r="AB59" i="19" s="1"/>
  <c r="T59" i="19"/>
  <c r="S59" i="19"/>
  <c r="L59" i="19"/>
  <c r="D59" i="19"/>
  <c r="E59" i="19" s="1"/>
  <c r="AQ58" i="19"/>
  <c r="AK58" i="19"/>
  <c r="AJ58" i="19"/>
  <c r="AD58" i="19"/>
  <c r="AC58" i="19"/>
  <c r="AA58" i="19"/>
  <c r="X58" i="19"/>
  <c r="AB58" i="19" s="1"/>
  <c r="T58" i="19"/>
  <c r="S58" i="19"/>
  <c r="L58" i="19"/>
  <c r="D58" i="19"/>
  <c r="AG58" i="19" s="1"/>
  <c r="AQ57" i="19"/>
  <c r="AK57" i="19"/>
  <c r="AJ57" i="19"/>
  <c r="AD57" i="19"/>
  <c r="AC57" i="19"/>
  <c r="AA57" i="19"/>
  <c r="X57" i="19"/>
  <c r="AB57" i="19" s="1"/>
  <c r="T57" i="19"/>
  <c r="S57" i="19"/>
  <c r="L57" i="19"/>
  <c r="D57" i="19"/>
  <c r="AE57" i="19" s="1"/>
  <c r="AQ56" i="19"/>
  <c r="AK56" i="19"/>
  <c r="AJ56" i="19"/>
  <c r="AD56" i="19"/>
  <c r="AC56" i="19"/>
  <c r="AA56" i="19"/>
  <c r="X56" i="19"/>
  <c r="T56" i="19"/>
  <c r="S56" i="19"/>
  <c r="L56" i="19"/>
  <c r="D56" i="19"/>
  <c r="AH56" i="19" s="1"/>
  <c r="AQ55" i="19"/>
  <c r="AK55" i="19"/>
  <c r="AJ55" i="19"/>
  <c r="AD55" i="19"/>
  <c r="AC55" i="19"/>
  <c r="AA55" i="19"/>
  <c r="X55" i="19"/>
  <c r="Y55" i="19" s="1"/>
  <c r="T55" i="19"/>
  <c r="S55" i="19"/>
  <c r="L55" i="19"/>
  <c r="D55" i="19"/>
  <c r="AE55" i="19" s="1"/>
  <c r="AQ52" i="19"/>
  <c r="AK52" i="19"/>
  <c r="AJ52" i="19"/>
  <c r="AD52" i="19"/>
  <c r="AC52" i="19"/>
  <c r="AA52" i="19"/>
  <c r="X52" i="19"/>
  <c r="AB52" i="19" s="1"/>
  <c r="T52" i="19"/>
  <c r="S52" i="19"/>
  <c r="L52" i="19"/>
  <c r="D52" i="19"/>
  <c r="AQ51" i="19"/>
  <c r="AK51" i="19"/>
  <c r="AJ51" i="19"/>
  <c r="AD51" i="19"/>
  <c r="AC51" i="19"/>
  <c r="AA51" i="19"/>
  <c r="X51" i="19"/>
  <c r="AB51" i="19" s="1"/>
  <c r="T51" i="19"/>
  <c r="S51" i="19"/>
  <c r="L51" i="19"/>
  <c r="D51" i="19"/>
  <c r="AE51" i="19" s="1"/>
  <c r="AQ49" i="19"/>
  <c r="AK49" i="19"/>
  <c r="AJ49" i="19"/>
  <c r="AD49" i="19"/>
  <c r="AC49" i="19"/>
  <c r="AA49" i="19"/>
  <c r="X49" i="19"/>
  <c r="AI49" i="19" s="1"/>
  <c r="T49" i="19"/>
  <c r="S49" i="19"/>
  <c r="L49" i="19"/>
  <c r="D49" i="19"/>
  <c r="AH49" i="19" s="1"/>
  <c r="AQ48" i="19"/>
  <c r="AK48" i="19"/>
  <c r="AJ48" i="19"/>
  <c r="T48" i="19"/>
  <c r="S48" i="19"/>
  <c r="L48" i="19"/>
  <c r="D48" i="19"/>
  <c r="AE48" i="19" s="1"/>
  <c r="AQ47" i="19"/>
  <c r="AK47" i="19"/>
  <c r="AJ47" i="19"/>
  <c r="AD47" i="19"/>
  <c r="AC47" i="19"/>
  <c r="AA47" i="19"/>
  <c r="X47" i="19"/>
  <c r="AB47" i="19" s="1"/>
  <c r="T47" i="19"/>
  <c r="S47" i="19"/>
  <c r="L47" i="19"/>
  <c r="D47" i="19"/>
  <c r="AG47" i="19" s="1"/>
  <c r="AQ45" i="19"/>
  <c r="AK45" i="19"/>
  <c r="AJ45" i="19"/>
  <c r="AD45" i="19"/>
  <c r="AC45" i="19"/>
  <c r="AA45" i="19"/>
  <c r="X45" i="19"/>
  <c r="T45" i="19"/>
  <c r="S45" i="19"/>
  <c r="L45" i="19"/>
  <c r="D45" i="19"/>
  <c r="AE45" i="19" s="1"/>
  <c r="AQ44" i="19"/>
  <c r="AK44" i="19"/>
  <c r="AJ44" i="19"/>
  <c r="AD44" i="19"/>
  <c r="AC44" i="19"/>
  <c r="AA44" i="19"/>
  <c r="X44" i="19"/>
  <c r="U44" i="19" s="1"/>
  <c r="T44" i="19"/>
  <c r="S44" i="19"/>
  <c r="L44" i="19"/>
  <c r="D44" i="19"/>
  <c r="AH44" i="19" s="1"/>
  <c r="AQ41" i="19"/>
  <c r="AK41" i="19"/>
  <c r="AJ41" i="19"/>
  <c r="D41" i="19"/>
  <c r="AH41" i="19" s="1"/>
  <c r="AQ40" i="19"/>
  <c r="AK40" i="19"/>
  <c r="AJ40" i="19"/>
  <c r="T40" i="19"/>
  <c r="S40" i="19"/>
  <c r="L40" i="19"/>
  <c r="D40" i="19"/>
  <c r="AE40" i="19" s="1"/>
  <c r="AQ39" i="19"/>
  <c r="AK39" i="19"/>
  <c r="AJ39" i="19"/>
  <c r="AD39" i="19"/>
  <c r="AC39" i="19"/>
  <c r="AA39" i="19"/>
  <c r="X39" i="19"/>
  <c r="AI39" i="19" s="1"/>
  <c r="T39" i="19"/>
  <c r="S39" i="19"/>
  <c r="L39" i="19"/>
  <c r="D39" i="19"/>
  <c r="AE39" i="19" s="1"/>
  <c r="AQ38" i="19"/>
  <c r="AK38" i="19"/>
  <c r="AJ38" i="19"/>
  <c r="AD38" i="19"/>
  <c r="AC38" i="19"/>
  <c r="AA38" i="19"/>
  <c r="X38" i="19"/>
  <c r="Z38" i="19" s="1"/>
  <c r="T38" i="19"/>
  <c r="S38" i="19"/>
  <c r="L38" i="19"/>
  <c r="D38" i="19"/>
  <c r="AH38" i="19" s="1"/>
  <c r="AQ37" i="19"/>
  <c r="AK37" i="19"/>
  <c r="AJ37" i="19"/>
  <c r="AD37" i="19"/>
  <c r="AC37" i="19"/>
  <c r="AA37" i="19"/>
  <c r="X37" i="19"/>
  <c r="AI37" i="19" s="1"/>
  <c r="T37" i="19"/>
  <c r="S37" i="19"/>
  <c r="D37" i="19"/>
  <c r="AE37" i="19" s="1"/>
  <c r="AQ35" i="19"/>
  <c r="AK35" i="19"/>
  <c r="AJ35" i="19"/>
  <c r="AD35" i="19"/>
  <c r="AC35" i="19"/>
  <c r="AA35" i="19"/>
  <c r="X35" i="19"/>
  <c r="AB35" i="19" s="1"/>
  <c r="T35" i="19"/>
  <c r="S35" i="19"/>
  <c r="D35" i="19"/>
  <c r="AF35" i="19" s="1"/>
  <c r="AQ34" i="19"/>
  <c r="AK34" i="19"/>
  <c r="AJ34" i="19"/>
  <c r="AD34" i="19"/>
  <c r="AC34" i="19"/>
  <c r="AA34" i="19"/>
  <c r="X34" i="19"/>
  <c r="Z34" i="19" s="1"/>
  <c r="T34" i="19"/>
  <c r="S34" i="19"/>
  <c r="D34" i="19"/>
  <c r="AH34" i="19" s="1"/>
  <c r="AQ33" i="19"/>
  <c r="AK33" i="19"/>
  <c r="AJ33" i="19"/>
  <c r="AI33" i="19"/>
  <c r="T33" i="19"/>
  <c r="S33" i="19"/>
  <c r="D33" i="19"/>
  <c r="AE33" i="19" s="1"/>
  <c r="AQ32" i="19"/>
  <c r="AK32" i="19"/>
  <c r="AJ32" i="19"/>
  <c r="T32" i="19"/>
  <c r="S32" i="19"/>
  <c r="L32" i="19"/>
  <c r="D32" i="19"/>
  <c r="AH32" i="19" s="1"/>
  <c r="U30" i="19"/>
  <c r="T30" i="19"/>
  <c r="S30" i="19"/>
  <c r="U29" i="19"/>
  <c r="T29" i="19"/>
  <c r="S29" i="19"/>
  <c r="U28" i="19"/>
  <c r="T28" i="19"/>
  <c r="S28" i="19"/>
  <c r="U27" i="19"/>
  <c r="T27" i="19"/>
  <c r="S27" i="19"/>
  <c r="U26" i="19"/>
  <c r="T26" i="19"/>
  <c r="S26" i="19"/>
  <c r="U25" i="19"/>
  <c r="T25" i="19"/>
  <c r="S25" i="19"/>
  <c r="U24" i="19"/>
  <c r="T24" i="19"/>
  <c r="S24" i="19"/>
  <c r="U23" i="19"/>
  <c r="T23" i="19"/>
  <c r="S23" i="19"/>
  <c r="U22" i="19"/>
  <c r="T22" i="19"/>
  <c r="S22" i="19"/>
  <c r="U21" i="19"/>
  <c r="T21" i="19"/>
  <c r="S21" i="19"/>
  <c r="U20" i="19"/>
  <c r="T20" i="19"/>
  <c r="S20" i="19"/>
  <c r="AQ19" i="19"/>
  <c r="AK19" i="19"/>
  <c r="AJ19" i="19"/>
  <c r="AD19" i="19"/>
  <c r="AC19" i="19"/>
  <c r="AA19" i="19"/>
  <c r="X19" i="19"/>
  <c r="Z19" i="19" s="1"/>
  <c r="T19" i="19"/>
  <c r="S19" i="19"/>
  <c r="L19" i="19"/>
  <c r="D19" i="19"/>
  <c r="AH19" i="19" s="1"/>
  <c r="AQ18" i="19"/>
  <c r="AK18" i="19"/>
  <c r="AJ18" i="19"/>
  <c r="AD18" i="19"/>
  <c r="AC18" i="19"/>
  <c r="AA18" i="19"/>
  <c r="X18" i="19"/>
  <c r="Y18" i="19" s="1"/>
  <c r="T18" i="19"/>
  <c r="S18" i="19"/>
  <c r="L18" i="19"/>
  <c r="D18" i="19"/>
  <c r="AG18" i="19" s="1"/>
  <c r="U17" i="19"/>
  <c r="T17" i="19"/>
  <c r="S17" i="19"/>
  <c r="U16" i="19"/>
  <c r="T16" i="19"/>
  <c r="S16" i="19"/>
  <c r="U15" i="19"/>
  <c r="T15" i="19"/>
  <c r="S15" i="19"/>
  <c r="U14" i="19"/>
  <c r="T14" i="19"/>
  <c r="S14" i="19"/>
  <c r="U13" i="19"/>
  <c r="T13" i="19"/>
  <c r="S13" i="19"/>
  <c r="AQ12" i="19"/>
  <c r="AK12" i="19"/>
  <c r="AJ12" i="19"/>
  <c r="AD12" i="19"/>
  <c r="AC12" i="19"/>
  <c r="AA12" i="19"/>
  <c r="X12" i="19"/>
  <c r="AI12" i="19" s="1"/>
  <c r="T12" i="19"/>
  <c r="S12" i="19"/>
  <c r="L12" i="19"/>
  <c r="D12" i="19"/>
  <c r="AE12" i="19" s="1"/>
  <c r="AQ11" i="19"/>
  <c r="AK11" i="19"/>
  <c r="AJ11" i="19"/>
  <c r="AD11" i="19"/>
  <c r="AC11" i="19"/>
  <c r="AA11" i="19"/>
  <c r="X11" i="19"/>
  <c r="AB11" i="19" s="1"/>
  <c r="T11" i="19"/>
  <c r="S11" i="19"/>
  <c r="D11" i="19"/>
  <c r="AF11" i="19" s="1"/>
  <c r="AQ10" i="19"/>
  <c r="AK10" i="19"/>
  <c r="AJ10" i="19"/>
  <c r="AD10" i="19"/>
  <c r="AC10" i="19"/>
  <c r="AA10" i="19"/>
  <c r="X10" i="19"/>
  <c r="Z10" i="19" s="1"/>
  <c r="T10" i="19"/>
  <c r="S10" i="19"/>
  <c r="D10" i="19"/>
  <c r="AH10" i="19" s="1"/>
  <c r="U7" i="19"/>
  <c r="T7" i="19"/>
  <c r="S7" i="19"/>
  <c r="U6" i="19"/>
  <c r="T6" i="19"/>
  <c r="S6" i="19"/>
  <c r="U5" i="19"/>
  <c r="T5" i="19"/>
  <c r="S5" i="19"/>
  <c r="AQ4" i="19"/>
  <c r="AK4" i="19"/>
  <c r="AJ4" i="19"/>
  <c r="AD4" i="19"/>
  <c r="AC4" i="19"/>
  <c r="AA4" i="19"/>
  <c r="X4" i="19"/>
  <c r="T4" i="19"/>
  <c r="S4" i="19"/>
  <c r="L4" i="19"/>
  <c r="D4" i="19"/>
  <c r="AH4" i="19" s="1"/>
  <c r="AN73" i="18"/>
  <c r="AH73" i="18"/>
  <c r="AF73" i="18"/>
  <c r="AE73" i="18"/>
  <c r="AC73" i="18"/>
  <c r="Z73" i="18"/>
  <c r="W73" i="18"/>
  <c r="U73" i="18"/>
  <c r="N73" i="18"/>
  <c r="G73" i="18"/>
  <c r="AI73" i="18" s="1"/>
  <c r="D73" i="18"/>
  <c r="AN67" i="18"/>
  <c r="AH67" i="18"/>
  <c r="AF67" i="18"/>
  <c r="AE67" i="18"/>
  <c r="AC67" i="18"/>
  <c r="Z67" i="18"/>
  <c r="AA67" i="18" s="1"/>
  <c r="W67" i="18"/>
  <c r="U67" i="18"/>
  <c r="N67" i="18"/>
  <c r="G67" i="18"/>
  <c r="AI67" i="18" s="1"/>
  <c r="D67" i="18"/>
  <c r="AN66" i="18"/>
  <c r="AH66" i="18"/>
  <c r="AF66" i="18"/>
  <c r="AE66" i="18"/>
  <c r="AC66" i="18"/>
  <c r="Z66" i="18"/>
  <c r="W66" i="18"/>
  <c r="U66" i="18"/>
  <c r="N66" i="18"/>
  <c r="G66" i="18"/>
  <c r="AI66" i="18" s="1"/>
  <c r="D66" i="18"/>
  <c r="AN65" i="18"/>
  <c r="AH65" i="18"/>
  <c r="AF65" i="18"/>
  <c r="AE65" i="18"/>
  <c r="AC65" i="18"/>
  <c r="Z65" i="18"/>
  <c r="AA65" i="18" s="1"/>
  <c r="W65" i="18"/>
  <c r="U65" i="18"/>
  <c r="N65" i="18"/>
  <c r="G65" i="18"/>
  <c r="AI65" i="18" s="1"/>
  <c r="D65" i="18"/>
  <c r="AN64" i="18"/>
  <c r="AH64" i="18"/>
  <c r="AF64" i="18"/>
  <c r="AE64" i="18"/>
  <c r="AC64" i="18"/>
  <c r="Z64" i="18"/>
  <c r="W64" i="18"/>
  <c r="U64" i="18"/>
  <c r="N64" i="18"/>
  <c r="G64" i="18"/>
  <c r="AI64" i="18" s="1"/>
  <c r="D64" i="18"/>
  <c r="AN63" i="18"/>
  <c r="AH63" i="18"/>
  <c r="AF63" i="18"/>
  <c r="AE63" i="18"/>
  <c r="AC63" i="18"/>
  <c r="Z63" i="18"/>
  <c r="AA63" i="18" s="1"/>
  <c r="W63" i="18"/>
  <c r="U63" i="18"/>
  <c r="N63" i="18"/>
  <c r="G63" i="18"/>
  <c r="AI63" i="18" s="1"/>
  <c r="D63" i="18"/>
  <c r="AN62" i="18"/>
  <c r="AH62" i="18"/>
  <c r="AF62" i="18"/>
  <c r="AE62" i="18"/>
  <c r="AC62" i="18"/>
  <c r="Z62" i="18"/>
  <c r="AD62" i="18" s="1"/>
  <c r="W62" i="18"/>
  <c r="U62" i="18"/>
  <c r="N62" i="18"/>
  <c r="G62" i="18"/>
  <c r="AI62" i="18" s="1"/>
  <c r="D62" i="18"/>
  <c r="AN61" i="18"/>
  <c r="AH61" i="18"/>
  <c r="AF61" i="18"/>
  <c r="AE61" i="18"/>
  <c r="AC61" i="18"/>
  <c r="Z61" i="18"/>
  <c r="AA61" i="18" s="1"/>
  <c r="W61" i="18"/>
  <c r="U61" i="18"/>
  <c r="N61" i="18"/>
  <c r="G61" i="18"/>
  <c r="AI61" i="18" s="1"/>
  <c r="D61" i="18"/>
  <c r="AN60" i="18"/>
  <c r="AH60" i="18"/>
  <c r="AF60" i="18"/>
  <c r="AE60" i="18"/>
  <c r="AC60" i="18"/>
  <c r="Z60" i="18"/>
  <c r="AD60" i="18" s="1"/>
  <c r="W60" i="18"/>
  <c r="U60" i="18"/>
  <c r="N60" i="18"/>
  <c r="G60" i="18"/>
  <c r="D60" i="18"/>
  <c r="AN59" i="18"/>
  <c r="AH59" i="18"/>
  <c r="AF59" i="18"/>
  <c r="AE59" i="18"/>
  <c r="AC59" i="18"/>
  <c r="Z59" i="18"/>
  <c r="AA59" i="18" s="1"/>
  <c r="W59" i="18"/>
  <c r="U59" i="18"/>
  <c r="N59" i="18"/>
  <c r="G59" i="18"/>
  <c r="AI59" i="18" s="1"/>
  <c r="D59" i="18"/>
  <c r="AN58" i="18"/>
  <c r="AH58" i="18"/>
  <c r="AF58" i="18"/>
  <c r="AE58" i="18"/>
  <c r="AC58" i="18"/>
  <c r="Z58" i="18"/>
  <c r="AD58" i="18" s="1"/>
  <c r="W58" i="18"/>
  <c r="U58" i="18"/>
  <c r="N58" i="18"/>
  <c r="G58" i="18"/>
  <c r="AI58" i="18" s="1"/>
  <c r="D58" i="18"/>
  <c r="AN57" i="18"/>
  <c r="AH57" i="18"/>
  <c r="AF57" i="18"/>
  <c r="AE57" i="18"/>
  <c r="AC57" i="18"/>
  <c r="Z57" i="18"/>
  <c r="AA57" i="18" s="1"/>
  <c r="W57" i="18"/>
  <c r="U57" i="18"/>
  <c r="N57" i="18"/>
  <c r="G57" i="18"/>
  <c r="AI57" i="18" s="1"/>
  <c r="D57" i="18"/>
  <c r="AN56" i="18"/>
  <c r="AH56" i="18"/>
  <c r="AF56" i="18"/>
  <c r="AE56" i="18"/>
  <c r="AC56" i="18"/>
  <c r="Z56" i="18"/>
  <c r="AD56" i="18" s="1"/>
  <c r="W56" i="18"/>
  <c r="U56" i="18"/>
  <c r="N56" i="18"/>
  <c r="G56" i="18"/>
  <c r="AI56" i="18" s="1"/>
  <c r="D56" i="18"/>
  <c r="AN55" i="18"/>
  <c r="AH55" i="18"/>
  <c r="AF55" i="18"/>
  <c r="AE55" i="18"/>
  <c r="AC55" i="18"/>
  <c r="Z55" i="18"/>
  <c r="AD55" i="18" s="1"/>
  <c r="W55" i="18"/>
  <c r="U55" i="18"/>
  <c r="N55" i="18"/>
  <c r="G55" i="18"/>
  <c r="AI55" i="18" s="1"/>
  <c r="D55" i="18"/>
  <c r="AN54" i="18"/>
  <c r="AH54" i="18"/>
  <c r="AF54" i="18"/>
  <c r="AE54" i="18"/>
  <c r="AC54" i="18"/>
  <c r="Z54" i="18"/>
  <c r="AD54" i="18" s="1"/>
  <c r="W54" i="18"/>
  <c r="U54" i="18"/>
  <c r="N54" i="18"/>
  <c r="G54" i="18"/>
  <c r="AI54" i="18" s="1"/>
  <c r="D54" i="18"/>
  <c r="AN52" i="18"/>
  <c r="AH52" i="18"/>
  <c r="AF52" i="18"/>
  <c r="AE52" i="18"/>
  <c r="AC52" i="18"/>
  <c r="Z52" i="18"/>
  <c r="AD52" i="18" s="1"/>
  <c r="W52" i="18"/>
  <c r="U52" i="18"/>
  <c r="N52" i="18"/>
  <c r="G52" i="18"/>
  <c r="AI52" i="18" s="1"/>
  <c r="D52" i="18"/>
  <c r="AN51" i="18"/>
  <c r="AH51" i="18"/>
  <c r="AF51" i="18"/>
  <c r="AE51" i="18"/>
  <c r="AC51" i="18"/>
  <c r="Z51" i="18"/>
  <c r="AD51" i="18" s="1"/>
  <c r="W51" i="18"/>
  <c r="U51" i="18"/>
  <c r="N51" i="18"/>
  <c r="G51" i="18"/>
  <c r="AI51" i="18" s="1"/>
  <c r="D51" i="18"/>
  <c r="AN50" i="18"/>
  <c r="AH50" i="18"/>
  <c r="AF50" i="18"/>
  <c r="AE50" i="18"/>
  <c r="AC50" i="18"/>
  <c r="Z50" i="18"/>
  <c r="AD50" i="18" s="1"/>
  <c r="W50" i="18"/>
  <c r="U50" i="18"/>
  <c r="N50" i="18"/>
  <c r="G50" i="18"/>
  <c r="AI50" i="18" s="1"/>
  <c r="D50" i="18"/>
  <c r="AN49" i="18"/>
  <c r="AH49" i="18"/>
  <c r="AF49" i="18"/>
  <c r="AE49" i="18"/>
  <c r="AC49" i="18"/>
  <c r="Z49" i="18"/>
  <c r="AD49" i="18" s="1"/>
  <c r="W49" i="18"/>
  <c r="U49" i="18"/>
  <c r="N49" i="18"/>
  <c r="G49" i="18"/>
  <c r="AI49" i="18" s="1"/>
  <c r="D49" i="18"/>
  <c r="AN48" i="18"/>
  <c r="AH48" i="18"/>
  <c r="AF48" i="18"/>
  <c r="AE48" i="18"/>
  <c r="AC48" i="18"/>
  <c r="Z48" i="18"/>
  <c r="AD48" i="18" s="1"/>
  <c r="W48" i="18"/>
  <c r="U48" i="18"/>
  <c r="N48" i="18"/>
  <c r="G48" i="18"/>
  <c r="AI48" i="18" s="1"/>
  <c r="D48" i="18"/>
  <c r="AN47" i="18"/>
  <c r="AH47" i="18"/>
  <c r="AF47" i="18"/>
  <c r="AE47" i="18"/>
  <c r="AC47" i="18"/>
  <c r="Z47" i="18"/>
  <c r="AD47" i="18" s="1"/>
  <c r="W47" i="18"/>
  <c r="U47" i="18"/>
  <c r="N47" i="18"/>
  <c r="G47" i="18"/>
  <c r="AI47" i="18" s="1"/>
  <c r="D47" i="18"/>
  <c r="AN46" i="18"/>
  <c r="AH46" i="18"/>
  <c r="AF46" i="18"/>
  <c r="AE46" i="18"/>
  <c r="AC46" i="18"/>
  <c r="Z46" i="18"/>
  <c r="AD46" i="18" s="1"/>
  <c r="W46" i="18"/>
  <c r="U46" i="18"/>
  <c r="N46" i="18"/>
  <c r="G46" i="18"/>
  <c r="AI46" i="18" s="1"/>
  <c r="D46" i="18"/>
  <c r="AN45" i="18"/>
  <c r="AH45" i="18"/>
  <c r="AF45" i="18"/>
  <c r="AE45" i="18"/>
  <c r="AC45" i="18"/>
  <c r="Z45" i="18"/>
  <c r="AD45" i="18" s="1"/>
  <c r="W45" i="18"/>
  <c r="U45" i="18"/>
  <c r="N45" i="18"/>
  <c r="G45" i="18"/>
  <c r="AI45" i="18" s="1"/>
  <c r="D45" i="18"/>
  <c r="AN43" i="18"/>
  <c r="AH43" i="18"/>
  <c r="AF43" i="18"/>
  <c r="AE43" i="18"/>
  <c r="AC43" i="18"/>
  <c r="Z43" i="18"/>
  <c r="AD43" i="18" s="1"/>
  <c r="W43" i="18"/>
  <c r="U43" i="18"/>
  <c r="N43" i="18"/>
  <c r="G43" i="18"/>
  <c r="AI43" i="18" s="1"/>
  <c r="D43" i="18"/>
  <c r="AN42" i="18"/>
  <c r="AH42" i="18"/>
  <c r="AF42" i="18"/>
  <c r="AE42" i="18"/>
  <c r="AC42" i="18"/>
  <c r="Z42" i="18"/>
  <c r="AD42" i="18" s="1"/>
  <c r="W42" i="18"/>
  <c r="U42" i="18"/>
  <c r="N42" i="18"/>
  <c r="G42" i="18"/>
  <c r="AI42" i="18" s="1"/>
  <c r="D42" i="18"/>
  <c r="AN41" i="18"/>
  <c r="AH41" i="18"/>
  <c r="AF41" i="18"/>
  <c r="AE41" i="18"/>
  <c r="AC41" i="18"/>
  <c r="Z41" i="18"/>
  <c r="AD41" i="18" s="1"/>
  <c r="W41" i="18"/>
  <c r="U41" i="18"/>
  <c r="N41" i="18"/>
  <c r="G41" i="18"/>
  <c r="AI41" i="18" s="1"/>
  <c r="D41" i="18"/>
  <c r="AN40" i="18"/>
  <c r="AH40" i="18"/>
  <c r="AF40" i="18"/>
  <c r="AE40" i="18"/>
  <c r="AC40" i="18"/>
  <c r="Z40" i="18"/>
  <c r="AD40" i="18" s="1"/>
  <c r="W40" i="18"/>
  <c r="U40" i="18"/>
  <c r="N40" i="18"/>
  <c r="G40" i="18"/>
  <c r="AI40" i="18" s="1"/>
  <c r="D40" i="18"/>
  <c r="AN39" i="18"/>
  <c r="AH39" i="18"/>
  <c r="AF39" i="18"/>
  <c r="AE39" i="18"/>
  <c r="AC39" i="18"/>
  <c r="Z39" i="18"/>
  <c r="AD39" i="18" s="1"/>
  <c r="W39" i="18"/>
  <c r="U39" i="18"/>
  <c r="N39" i="18"/>
  <c r="G39" i="18"/>
  <c r="AI39" i="18" s="1"/>
  <c r="D39" i="18"/>
  <c r="AN38" i="18"/>
  <c r="AH38" i="18"/>
  <c r="AF38" i="18"/>
  <c r="AE38" i="18"/>
  <c r="AC38" i="18"/>
  <c r="Z38" i="18"/>
  <c r="AD38" i="18" s="1"/>
  <c r="W38" i="18"/>
  <c r="U38" i="18"/>
  <c r="N38" i="18"/>
  <c r="G38" i="18"/>
  <c r="AI38" i="18" s="1"/>
  <c r="D38" i="18"/>
  <c r="AN37" i="18"/>
  <c r="AH37" i="18"/>
  <c r="AF37" i="18"/>
  <c r="AE37" i="18"/>
  <c r="AC37" i="18"/>
  <c r="Z37" i="18"/>
  <c r="AB37" i="18" s="1"/>
  <c r="W37" i="18"/>
  <c r="U37" i="18"/>
  <c r="N37" i="18"/>
  <c r="G37" i="18"/>
  <c r="D37" i="18"/>
  <c r="AN36" i="18"/>
  <c r="AH36" i="18"/>
  <c r="AF36" i="18"/>
  <c r="AE36" i="18"/>
  <c r="AC36" i="18"/>
  <c r="Z36" i="18"/>
  <c r="AD36" i="18" s="1"/>
  <c r="W36" i="18"/>
  <c r="U36" i="18"/>
  <c r="N36" i="18"/>
  <c r="G36" i="18"/>
  <c r="AI36" i="18" s="1"/>
  <c r="D36" i="18"/>
  <c r="AN35" i="18"/>
  <c r="AH35" i="18"/>
  <c r="AF35" i="18"/>
  <c r="AE35" i="18"/>
  <c r="AC35" i="18"/>
  <c r="Z35" i="18"/>
  <c r="AB35" i="18" s="1"/>
  <c r="W35" i="18"/>
  <c r="U35" i="18"/>
  <c r="N35" i="18"/>
  <c r="G35" i="18"/>
  <c r="D35" i="18"/>
  <c r="AN34" i="18"/>
  <c r="AH34" i="18"/>
  <c r="AF34" i="18"/>
  <c r="AE34" i="18"/>
  <c r="AC34" i="18"/>
  <c r="Z34" i="18"/>
  <c r="AD34" i="18" s="1"/>
  <c r="W34" i="18"/>
  <c r="U34" i="18"/>
  <c r="N34" i="18"/>
  <c r="G34" i="18"/>
  <c r="D34" i="18"/>
  <c r="AN33" i="18"/>
  <c r="AH33" i="18"/>
  <c r="AF33" i="18"/>
  <c r="AE33" i="18"/>
  <c r="AC33" i="18"/>
  <c r="Z33" i="18"/>
  <c r="AB33" i="18" s="1"/>
  <c r="W33" i="18"/>
  <c r="U33" i="18"/>
  <c r="N33" i="18"/>
  <c r="G33" i="18"/>
  <c r="D33" i="18"/>
  <c r="AN32" i="18"/>
  <c r="AH32" i="18"/>
  <c r="AF32" i="18"/>
  <c r="AE32" i="18"/>
  <c r="AC32" i="18"/>
  <c r="Z32" i="18"/>
  <c r="AD32" i="18" s="1"/>
  <c r="W32" i="18"/>
  <c r="U32" i="18"/>
  <c r="N32" i="18"/>
  <c r="G32" i="18"/>
  <c r="D32" i="18"/>
  <c r="AN31" i="18"/>
  <c r="AH31" i="18"/>
  <c r="AF31" i="18"/>
  <c r="AE31" i="18"/>
  <c r="AC31" i="18"/>
  <c r="Z31" i="18"/>
  <c r="AB31" i="18" s="1"/>
  <c r="W31" i="18"/>
  <c r="U31" i="18"/>
  <c r="N31" i="18"/>
  <c r="G31" i="18"/>
  <c r="D31" i="18"/>
  <c r="W29" i="18"/>
  <c r="V29" i="18"/>
  <c r="U29" i="18"/>
  <c r="W28" i="18"/>
  <c r="V28" i="18"/>
  <c r="U28" i="18"/>
  <c r="W27" i="18"/>
  <c r="V27" i="18"/>
  <c r="U27" i="18"/>
  <c r="W26" i="18"/>
  <c r="V26" i="18"/>
  <c r="U26" i="18"/>
  <c r="W25" i="18"/>
  <c r="V25" i="18"/>
  <c r="U25" i="18"/>
  <c r="W24" i="18"/>
  <c r="V24" i="18"/>
  <c r="U24" i="18"/>
  <c r="W23" i="18"/>
  <c r="V23" i="18"/>
  <c r="U23" i="18"/>
  <c r="W22" i="18"/>
  <c r="V22" i="18"/>
  <c r="U22" i="18"/>
  <c r="W21" i="18"/>
  <c r="V21" i="18"/>
  <c r="U21" i="18"/>
  <c r="W20" i="18"/>
  <c r="V20" i="18"/>
  <c r="U20" i="18"/>
  <c r="AN19" i="18"/>
  <c r="AH19" i="18"/>
  <c r="AF19" i="18"/>
  <c r="AE19" i="18"/>
  <c r="AC19" i="18"/>
  <c r="Z19" i="18"/>
  <c r="AB19" i="18" s="1"/>
  <c r="W19" i="18"/>
  <c r="U19" i="18"/>
  <c r="N19" i="18"/>
  <c r="G19" i="18"/>
  <c r="D19" i="18"/>
  <c r="AN18" i="18"/>
  <c r="AH18" i="18"/>
  <c r="AF18" i="18"/>
  <c r="AE18" i="18"/>
  <c r="AC18" i="18"/>
  <c r="Z18" i="18"/>
  <c r="AD18" i="18" s="1"/>
  <c r="W18" i="18"/>
  <c r="U18" i="18"/>
  <c r="N18" i="18"/>
  <c r="G18" i="18"/>
  <c r="D18" i="18"/>
  <c r="W17" i="18"/>
  <c r="V17" i="18"/>
  <c r="U17" i="18"/>
  <c r="W16" i="18"/>
  <c r="V16" i="18"/>
  <c r="U16" i="18"/>
  <c r="AN15" i="18"/>
  <c r="AH15" i="18"/>
  <c r="AF15" i="18"/>
  <c r="AE15" i="18"/>
  <c r="AC15" i="18"/>
  <c r="Z15" i="18"/>
  <c r="AD15" i="18" s="1"/>
  <c r="W15" i="18"/>
  <c r="U15" i="18"/>
  <c r="N15" i="18"/>
  <c r="G15" i="18"/>
  <c r="AI15" i="18" s="1"/>
  <c r="D15" i="18"/>
  <c r="AN14" i="18"/>
  <c r="AH14" i="18"/>
  <c r="AF14" i="18"/>
  <c r="AE14" i="18"/>
  <c r="AC14" i="18"/>
  <c r="Z14" i="18"/>
  <c r="AB14" i="18" s="1"/>
  <c r="W14" i="18"/>
  <c r="U14" i="18"/>
  <c r="N14" i="18"/>
  <c r="G14" i="18"/>
  <c r="D14" i="18"/>
  <c r="W13" i="18"/>
  <c r="V13" i="18"/>
  <c r="U13" i="18"/>
  <c r="AN12" i="18"/>
  <c r="AH12" i="18"/>
  <c r="AF12" i="18"/>
  <c r="AE12" i="18"/>
  <c r="AC12" i="18"/>
  <c r="Z12" i="18"/>
  <c r="AD12" i="18" s="1"/>
  <c r="W12" i="18"/>
  <c r="U12" i="18"/>
  <c r="N12" i="18"/>
  <c r="G12" i="18"/>
  <c r="D12" i="18"/>
  <c r="AN11" i="18"/>
  <c r="AH11" i="18"/>
  <c r="AF11" i="18"/>
  <c r="AE11" i="18"/>
  <c r="AC11" i="18"/>
  <c r="Z11" i="18"/>
  <c r="AD11" i="18" s="1"/>
  <c r="W11" i="18"/>
  <c r="U11" i="18"/>
  <c r="N11" i="18"/>
  <c r="G11" i="18"/>
  <c r="D11" i="18"/>
  <c r="AN10" i="18"/>
  <c r="AH10" i="18"/>
  <c r="AF10" i="18"/>
  <c r="AE10" i="18"/>
  <c r="AC10" i="18"/>
  <c r="Z10" i="18"/>
  <c r="AD10" i="18" s="1"/>
  <c r="W10" i="18"/>
  <c r="U10" i="18"/>
  <c r="N10" i="18"/>
  <c r="G10" i="18"/>
  <c r="D10" i="18"/>
  <c r="W7" i="18"/>
  <c r="V7" i="18"/>
  <c r="U7" i="18"/>
  <c r="W6" i="18"/>
  <c r="V6" i="18"/>
  <c r="U6" i="18"/>
  <c r="W5" i="18"/>
  <c r="V5" i="18"/>
  <c r="U5" i="18"/>
  <c r="AN4" i="18"/>
  <c r="AH4" i="18"/>
  <c r="AF4" i="18"/>
  <c r="AE4" i="18"/>
  <c r="AC4" i="18"/>
  <c r="Z4" i="18"/>
  <c r="AD4" i="18" s="1"/>
  <c r="W4" i="18"/>
  <c r="U4" i="18"/>
  <c r="N4" i="18"/>
  <c r="G4" i="18"/>
  <c r="D4" i="18"/>
  <c r="AD86" i="21" l="1"/>
  <c r="AC72" i="21"/>
  <c r="AJ62" i="21"/>
  <c r="AK10" i="18"/>
  <c r="AA96" i="21"/>
  <c r="AJ46" i="21"/>
  <c r="AG324" i="15"/>
  <c r="AG323" i="15"/>
  <c r="AG322" i="15"/>
  <c r="AG320" i="15"/>
  <c r="AG319" i="15"/>
  <c r="AG321" i="15"/>
  <c r="K50" i="22"/>
  <c r="E49" i="22"/>
  <c r="E48" i="22"/>
  <c r="E47" i="22"/>
  <c r="E45" i="22"/>
  <c r="K45" i="22" s="1"/>
  <c r="E46" i="22"/>
  <c r="K46" i="22" s="1"/>
  <c r="AG331" i="11"/>
  <c r="AG332" i="11"/>
  <c r="AG330" i="11"/>
  <c r="AG329" i="11"/>
  <c r="AG328" i="11"/>
  <c r="AG333" i="11"/>
  <c r="J50" i="22"/>
  <c r="D49" i="22"/>
  <c r="D45" i="22"/>
  <c r="J45" i="22" s="1"/>
  <c r="D47" i="22"/>
  <c r="D48" i="22"/>
  <c r="D46" i="22"/>
  <c r="AA90" i="20"/>
  <c r="J18" i="23"/>
  <c r="AG336" i="10"/>
  <c r="AG335" i="10"/>
  <c r="AG334" i="10"/>
  <c r="AG338" i="10"/>
  <c r="AG337" i="10"/>
  <c r="AG333" i="10"/>
  <c r="I50" i="22"/>
  <c r="C46" i="22"/>
  <c r="C49" i="22"/>
  <c r="C48" i="22"/>
  <c r="C45" i="22"/>
  <c r="I45" i="22" s="1"/>
  <c r="C47" i="22"/>
  <c r="J16" i="23"/>
  <c r="J17" i="23"/>
  <c r="AJ11" i="18"/>
  <c r="AK12" i="18"/>
  <c r="AG339" i="9"/>
  <c r="AG338" i="9"/>
  <c r="AG337" i="9"/>
  <c r="AG334" i="9"/>
  <c r="AG336" i="9"/>
  <c r="AG335" i="9"/>
  <c r="H50" i="22"/>
  <c r="B49" i="22"/>
  <c r="B45" i="22"/>
  <c r="H45" i="22" s="1"/>
  <c r="B47" i="22"/>
  <c r="B48" i="22"/>
  <c r="B46" i="22"/>
  <c r="B19" i="22"/>
  <c r="B18" i="22"/>
  <c r="D18" i="22"/>
  <c r="D19" i="22"/>
  <c r="C19" i="22"/>
  <c r="C18" i="22"/>
  <c r="E19" i="22"/>
  <c r="E18" i="22"/>
  <c r="AJ50" i="21"/>
  <c r="AJ55" i="21"/>
  <c r="AJ56" i="21"/>
  <c r="AJ61" i="21"/>
  <c r="AJ70" i="21"/>
  <c r="AD90" i="21"/>
  <c r="AK4" i="20"/>
  <c r="J31" i="22" s="1"/>
  <c r="AJ80" i="21"/>
  <c r="AD37" i="21"/>
  <c r="AC50" i="21"/>
  <c r="AD77" i="21"/>
  <c r="AD58" i="21"/>
  <c r="AD31" i="21"/>
  <c r="AC44" i="21"/>
  <c r="AC46" i="21"/>
  <c r="AC70" i="21"/>
  <c r="AD39" i="21"/>
  <c r="AC54" i="21"/>
  <c r="AC61" i="21"/>
  <c r="AC85" i="21"/>
  <c r="AC38" i="21"/>
  <c r="AD59" i="21"/>
  <c r="AD73" i="21"/>
  <c r="AC80" i="21"/>
  <c r="AD48" i="21"/>
  <c r="AC52" i="21"/>
  <c r="AC56" i="21"/>
  <c r="Y87" i="19"/>
  <c r="Z87" i="19"/>
  <c r="AI87" i="19"/>
  <c r="U84" i="19"/>
  <c r="E65" i="19"/>
  <c r="AM65" i="19" s="1"/>
  <c r="AE84" i="19"/>
  <c r="AG57" i="19"/>
  <c r="E69" i="19"/>
  <c r="AM69" i="19" s="1"/>
  <c r="AE69" i="19"/>
  <c r="Z83" i="19"/>
  <c r="E84" i="19"/>
  <c r="AL84" i="19" s="1"/>
  <c r="AG86" i="19"/>
  <c r="AE65" i="19"/>
  <c r="AF37" i="19"/>
  <c r="AG65" i="19"/>
  <c r="AH70" i="19"/>
  <c r="AG71" i="19"/>
  <c r="AE18" i="19"/>
  <c r="E38" i="19"/>
  <c r="AL38" i="19" s="1"/>
  <c r="AE41" i="19"/>
  <c r="AH66" i="19"/>
  <c r="Y86" i="19"/>
  <c r="AF4" i="19"/>
  <c r="AG10" i="19"/>
  <c r="AF38" i="19"/>
  <c r="AF44" i="19"/>
  <c r="AF49" i="19"/>
  <c r="E56" i="19"/>
  <c r="AL56" i="19" s="1"/>
  <c r="AE56" i="19"/>
  <c r="AF60" i="19"/>
  <c r="E77" i="19"/>
  <c r="AL77" i="19" s="1"/>
  <c r="AE77" i="19"/>
  <c r="Y84" i="19"/>
  <c r="AG33" i="19"/>
  <c r="AG12" i="19"/>
  <c r="E18" i="19"/>
  <c r="AE38" i="19"/>
  <c r="E48" i="19"/>
  <c r="AL48" i="19" s="1"/>
  <c r="E49" i="19"/>
  <c r="AL49" i="19" s="1"/>
  <c r="AE49" i="19"/>
  <c r="E51" i="19"/>
  <c r="AL51" i="19" s="1"/>
  <c r="AF51" i="19"/>
  <c r="E57" i="19"/>
  <c r="AL57" i="19" s="1"/>
  <c r="AF57" i="19"/>
  <c r="AG63" i="19"/>
  <c r="AG84" i="19"/>
  <c r="E86" i="19"/>
  <c r="AN86" i="19" s="1"/>
  <c r="U86" i="19"/>
  <c r="AA34" i="18"/>
  <c r="AA36" i="18"/>
  <c r="V32" i="18"/>
  <c r="AB32" i="18"/>
  <c r="V36" i="18"/>
  <c r="AB36" i="18"/>
  <c r="AA32" i="18"/>
  <c r="AA38" i="18"/>
  <c r="AB39" i="18"/>
  <c r="AB41" i="18"/>
  <c r="AB43" i="18"/>
  <c r="AB46" i="18"/>
  <c r="AB48" i="18"/>
  <c r="AB50" i="18"/>
  <c r="AB52" i="18"/>
  <c r="AB55" i="18"/>
  <c r="AB59" i="18"/>
  <c r="AG14" i="18"/>
  <c r="AB11" i="18"/>
  <c r="AG11" i="18"/>
  <c r="AA15" i="18"/>
  <c r="AA18" i="18"/>
  <c r="AJ32" i="18"/>
  <c r="V38" i="18"/>
  <c r="V41" i="18"/>
  <c r="V46" i="18"/>
  <c r="V50" i="18"/>
  <c r="V55" i="18"/>
  <c r="V11" i="18"/>
  <c r="V15" i="18"/>
  <c r="AB15" i="18"/>
  <c r="V18" i="18"/>
  <c r="AB18" i="18"/>
  <c r="AJ34" i="18"/>
  <c r="V42" i="18"/>
  <c r="V47" i="18"/>
  <c r="V51" i="18"/>
  <c r="V57" i="18"/>
  <c r="AG19" i="18"/>
  <c r="AA10" i="18"/>
  <c r="V39" i="18"/>
  <c r="AB40" i="18"/>
  <c r="V43" i="18"/>
  <c r="AB45" i="18"/>
  <c r="V48" i="18"/>
  <c r="AB49" i="18"/>
  <c r="V52" i="18"/>
  <c r="AB54" i="18"/>
  <c r="V59" i="18"/>
  <c r="AB61" i="18"/>
  <c r="AB63" i="18"/>
  <c r="AB65" i="18"/>
  <c r="AB67" i="18"/>
  <c r="AG253" i="10"/>
  <c r="AH253" i="10" s="1"/>
  <c r="AG252" i="10"/>
  <c r="AH252" i="10" s="1"/>
  <c r="AG255" i="10"/>
  <c r="AH255" i="10" s="1"/>
  <c r="AG251" i="10"/>
  <c r="AH251" i="10" s="1"/>
  <c r="AG254" i="10"/>
  <c r="AH254" i="10" s="1"/>
  <c r="AG250" i="10"/>
  <c r="AH250" i="10" s="1"/>
  <c r="AG4" i="19"/>
  <c r="E19" i="19"/>
  <c r="AL19" i="19" s="1"/>
  <c r="AE19" i="19"/>
  <c r="E32" i="19"/>
  <c r="AL32" i="19" s="1"/>
  <c r="AE32" i="19"/>
  <c r="E34" i="19"/>
  <c r="AN34" i="19" s="1"/>
  <c r="AF34" i="19"/>
  <c r="AG37" i="19"/>
  <c r="AF41" i="19"/>
  <c r="E45" i="19"/>
  <c r="AL45" i="19" s="1"/>
  <c r="AF45" i="19"/>
  <c r="AG51" i="19"/>
  <c r="AF56" i="19"/>
  <c r="E61" i="19"/>
  <c r="AL61" i="19" s="1"/>
  <c r="AF64" i="19"/>
  <c r="E67" i="19"/>
  <c r="AN67" i="19" s="1"/>
  <c r="AE67" i="19"/>
  <c r="AG69" i="19"/>
  <c r="E73" i="19"/>
  <c r="AM73" i="19" s="1"/>
  <c r="AE73" i="19"/>
  <c r="AG77" i="19"/>
  <c r="E81" i="19"/>
  <c r="AN81" i="19" s="1"/>
  <c r="AE81" i="19"/>
  <c r="AE82" i="19"/>
  <c r="AI84" i="19"/>
  <c r="AF85" i="19"/>
  <c r="Z86" i="19"/>
  <c r="AE86" i="19"/>
  <c r="AE61" i="20"/>
  <c r="AG84" i="15"/>
  <c r="AG80" i="15"/>
  <c r="AG81" i="15"/>
  <c r="AD4" i="21"/>
  <c r="AG83" i="15"/>
  <c r="AG79" i="15"/>
  <c r="AG82" i="15"/>
  <c r="AC17" i="21"/>
  <c r="AC32" i="21"/>
  <c r="AD33" i="21"/>
  <c r="AD41" i="21"/>
  <c r="AC66" i="21"/>
  <c r="AD69" i="21"/>
  <c r="AC74" i="21"/>
  <c r="AC76" i="21"/>
  <c r="AC78" i="21"/>
  <c r="AD79" i="21"/>
  <c r="AC87" i="21"/>
  <c r="AG122" i="9"/>
  <c r="AG118" i="9"/>
  <c r="AG121" i="9"/>
  <c r="AG117" i="9"/>
  <c r="AG120" i="9"/>
  <c r="AG119" i="9"/>
  <c r="AG120" i="10"/>
  <c r="AG119" i="10"/>
  <c r="AG122" i="10"/>
  <c r="AG118" i="10"/>
  <c r="AG121" i="10"/>
  <c r="AG117" i="10"/>
  <c r="AE34" i="19"/>
  <c r="AB82" i="19"/>
  <c r="Z82" i="19"/>
  <c r="AG31" i="18"/>
  <c r="AG35" i="18"/>
  <c r="V40" i="18"/>
  <c r="V45" i="18"/>
  <c r="V49" i="18"/>
  <c r="V54" i="18"/>
  <c r="V61" i="18"/>
  <c r="V63" i="18"/>
  <c r="V65" i="18"/>
  <c r="V67" i="18"/>
  <c r="AG274" i="10"/>
  <c r="AG270" i="10"/>
  <c r="AG273" i="10"/>
  <c r="AG269" i="10"/>
  <c r="AG272" i="10"/>
  <c r="AG271" i="10"/>
  <c r="AE10" i="19"/>
  <c r="AF19" i="19"/>
  <c r="AF32" i="19"/>
  <c r="AG34" i="19"/>
  <c r="AG45" i="19"/>
  <c r="AF67" i="19"/>
  <c r="AG73" i="19"/>
  <c r="AF74" i="19"/>
  <c r="AG81" i="19"/>
  <c r="AG82" i="19"/>
  <c r="AF95" i="21"/>
  <c r="AF97" i="21" s="1"/>
  <c r="AF98" i="21" s="1"/>
  <c r="AJ74" i="21"/>
  <c r="AJ87" i="21"/>
  <c r="AG33" i="18"/>
  <c r="AG37" i="18"/>
  <c r="AG255" i="9"/>
  <c r="AH255" i="9" s="1"/>
  <c r="AG251" i="9"/>
  <c r="AH251" i="9" s="1"/>
  <c r="AG252" i="9"/>
  <c r="AH252" i="9" s="1"/>
  <c r="AG254" i="9"/>
  <c r="AH254" i="9" s="1"/>
  <c r="AG250" i="9"/>
  <c r="AH250" i="9" s="1"/>
  <c r="AG253" i="9"/>
  <c r="AH253" i="9" s="1"/>
  <c r="AK4" i="18"/>
  <c r="AG84" i="9"/>
  <c r="AG80" i="9"/>
  <c r="AG81" i="9"/>
  <c r="AG83" i="9"/>
  <c r="AG79" i="9"/>
  <c r="AG82" i="9"/>
  <c r="AG272" i="9"/>
  <c r="AG269" i="9"/>
  <c r="AG271" i="9"/>
  <c r="AG270" i="9"/>
  <c r="AG273" i="9"/>
  <c r="AG274" i="9"/>
  <c r="AA11" i="18"/>
  <c r="V34" i="18"/>
  <c r="AB34" i="18"/>
  <c r="AB38" i="18"/>
  <c r="AB42" i="18"/>
  <c r="AB47" i="18"/>
  <c r="AB51" i="18"/>
  <c r="AB57" i="18"/>
  <c r="E4" i="19"/>
  <c r="AN4" i="19" s="1"/>
  <c r="Z4" i="19"/>
  <c r="AG82" i="10"/>
  <c r="AG81" i="10"/>
  <c r="AG80" i="10"/>
  <c r="AG84" i="10"/>
  <c r="AG79" i="10"/>
  <c r="AG83" i="10"/>
  <c r="AE4" i="19"/>
  <c r="E10" i="19"/>
  <c r="AN10" i="19" s="1"/>
  <c r="AF10" i="19"/>
  <c r="AF12" i="19"/>
  <c r="AG19" i="19"/>
  <c r="AG32" i="19"/>
  <c r="AF33" i="19"/>
  <c r="AF39" i="19"/>
  <c r="E41" i="19"/>
  <c r="AL41" i="19" s="1"/>
  <c r="E44" i="19"/>
  <c r="AN44" i="19" s="1"/>
  <c r="AE44" i="19"/>
  <c r="E60" i="19"/>
  <c r="AL60" i="19" s="1"/>
  <c r="AE60" i="19"/>
  <c r="AG67" i="19"/>
  <c r="E71" i="19"/>
  <c r="AM71" i="19" s="1"/>
  <c r="AE71" i="19"/>
  <c r="E82" i="19"/>
  <c r="AN82" i="19" s="1"/>
  <c r="U82" i="19"/>
  <c r="AI82" i="19"/>
  <c r="AF84" i="19"/>
  <c r="AI86" i="19"/>
  <c r="AG95" i="21"/>
  <c r="AG97" i="21" s="1"/>
  <c r="AG98" i="21" s="1"/>
  <c r="AD5" i="21"/>
  <c r="AC40" i="21"/>
  <c r="AJ52" i="21"/>
  <c r="AC89" i="21"/>
  <c r="AJ91" i="21"/>
  <c r="AE60" i="20"/>
  <c r="AG236" i="11"/>
  <c r="AG232" i="11"/>
  <c r="AG235" i="11"/>
  <c r="AG231" i="11"/>
  <c r="AG234" i="11"/>
  <c r="AG233" i="11"/>
  <c r="V90" i="20"/>
  <c r="Z91" i="20"/>
  <c r="Z92" i="20"/>
  <c r="AF4" i="20"/>
  <c r="AG83" i="11"/>
  <c r="AG79" i="11"/>
  <c r="AG82" i="11"/>
  <c r="AG81" i="11"/>
  <c r="AG84" i="11"/>
  <c r="AG80" i="11"/>
  <c r="AF90" i="20"/>
  <c r="AJ45" i="18"/>
  <c r="AJ65" i="18"/>
  <c r="AK40" i="18"/>
  <c r="AJ41" i="18"/>
  <c r="AJ60" i="18"/>
  <c r="AK73" i="18"/>
  <c r="AJ45" i="21"/>
  <c r="AJ54" i="21"/>
  <c r="AJ47" i="18"/>
  <c r="AJ54" i="18"/>
  <c r="AJ56" i="18"/>
  <c r="AI60" i="18"/>
  <c r="AJ33" i="21"/>
  <c r="AI10" i="18"/>
  <c r="AI12" i="18"/>
  <c r="AK41" i="18"/>
  <c r="AJ42" i="18"/>
  <c r="AJ51" i="18"/>
  <c r="AJ61" i="18"/>
  <c r="AJ15" i="18"/>
  <c r="AK15" i="18"/>
  <c r="AJ58" i="18"/>
  <c r="AJ41" i="21"/>
  <c r="AJ47" i="21"/>
  <c r="AK11" i="18"/>
  <c r="AJ49" i="18"/>
  <c r="AJ63" i="18"/>
  <c r="AJ31" i="21"/>
  <c r="AJ37" i="21"/>
  <c r="AJ58" i="21"/>
  <c r="AK18" i="18"/>
  <c r="AI34" i="18"/>
  <c r="AJ62" i="18"/>
  <c r="AK67" i="18"/>
  <c r="AG160" i="11"/>
  <c r="AG156" i="11"/>
  <c r="AG159" i="11"/>
  <c r="AG155" i="11"/>
  <c r="AG157" i="11"/>
  <c r="AG158" i="11"/>
  <c r="AJ35" i="18"/>
  <c r="AJ36" i="18"/>
  <c r="AJ38" i="18"/>
  <c r="AK43" i="18"/>
  <c r="AK48" i="18"/>
  <c r="AK52" i="18"/>
  <c r="AK57" i="18"/>
  <c r="AG160" i="15"/>
  <c r="AG156" i="15"/>
  <c r="AG159" i="15"/>
  <c r="AG155" i="15"/>
  <c r="AG157" i="15"/>
  <c r="AG158" i="15"/>
  <c r="AJ60" i="21"/>
  <c r="AK32" i="18"/>
  <c r="AK34" i="18"/>
  <c r="AK36" i="18"/>
  <c r="AK38" i="18"/>
  <c r="AJ39" i="18"/>
  <c r="AK56" i="18"/>
  <c r="AK58" i="18"/>
  <c r="AK61" i="18"/>
  <c r="AK63" i="18"/>
  <c r="AK65" i="18"/>
  <c r="AK66" i="18"/>
  <c r="AJ73" i="18"/>
  <c r="AJ18" i="21"/>
  <c r="AJ65" i="21"/>
  <c r="AJ73" i="21"/>
  <c r="AJ77" i="21"/>
  <c r="AG160" i="9"/>
  <c r="AG156" i="9"/>
  <c r="AG159" i="9"/>
  <c r="AG155" i="9"/>
  <c r="AG157" i="9"/>
  <c r="AG158" i="9"/>
  <c r="AI32" i="18"/>
  <c r="AJ64" i="18"/>
  <c r="AJ66" i="18"/>
  <c r="AN51" i="19"/>
  <c r="AJ16" i="21"/>
  <c r="AJ31" i="18"/>
  <c r="AJ33" i="18"/>
  <c r="AJ37" i="18"/>
  <c r="AK46" i="18"/>
  <c r="AK50" i="18"/>
  <c r="AK55" i="18"/>
  <c r="AK59" i="18"/>
  <c r="AJ10" i="18"/>
  <c r="AJ12" i="18"/>
  <c r="AK39" i="18"/>
  <c r="AJ40" i="18"/>
  <c r="AK42" i="18"/>
  <c r="AJ43" i="18"/>
  <c r="AK45" i="18"/>
  <c r="AJ46" i="18"/>
  <c r="AK47" i="18"/>
  <c r="AJ48" i="18"/>
  <c r="AK49" i="18"/>
  <c r="AJ50" i="18"/>
  <c r="AK51" i="18"/>
  <c r="AJ52" i="18"/>
  <c r="AK54" i="18"/>
  <c r="AJ55" i="18"/>
  <c r="AJ57" i="18"/>
  <c r="AJ59" i="18"/>
  <c r="AK60" i="18"/>
  <c r="AK62" i="18"/>
  <c r="AK64" i="18"/>
  <c r="AJ67" i="18"/>
  <c r="AJ71" i="21"/>
  <c r="AJ75" i="21"/>
  <c r="AJ81" i="21"/>
  <c r="AJ88" i="21"/>
  <c r="AG160" i="10"/>
  <c r="AG156" i="10"/>
  <c r="AG159" i="10"/>
  <c r="AG155" i="10"/>
  <c r="AG157" i="10"/>
  <c r="AG158" i="10"/>
  <c r="AG255" i="15"/>
  <c r="AH255" i="15" s="1"/>
  <c r="AG251" i="15"/>
  <c r="AH251" i="15" s="1"/>
  <c r="AG254" i="15"/>
  <c r="AH254" i="15" s="1"/>
  <c r="AG250" i="15"/>
  <c r="AH250" i="15" s="1"/>
  <c r="AG253" i="15"/>
  <c r="AH253" i="15" s="1"/>
  <c r="AG252" i="15"/>
  <c r="AH252" i="15" s="1"/>
  <c r="AG272" i="15"/>
  <c r="AG271" i="15"/>
  <c r="AG270" i="15"/>
  <c r="AG274" i="15"/>
  <c r="AG273" i="15"/>
  <c r="AG269" i="15"/>
  <c r="U77" i="19"/>
  <c r="AI44" i="19"/>
  <c r="AA91" i="20"/>
  <c r="AF91" i="20"/>
  <c r="AA92" i="20"/>
  <c r="V91" i="20"/>
  <c r="V32" i="20"/>
  <c r="AF57" i="20"/>
  <c r="Z33" i="20"/>
  <c r="AF33" i="20"/>
  <c r="Z34" i="20"/>
  <c r="V61" i="20"/>
  <c r="AA33" i="20"/>
  <c r="AF36" i="20"/>
  <c r="V33" i="20"/>
  <c r="V34" i="20"/>
  <c r="V76" i="20"/>
  <c r="AF35" i="20"/>
  <c r="AF37" i="20"/>
  <c r="AA32" i="20"/>
  <c r="AF34" i="20"/>
  <c r="V35" i="20"/>
  <c r="V37" i="20"/>
  <c r="V39" i="20"/>
  <c r="AF40" i="20"/>
  <c r="Z61" i="20"/>
  <c r="AA76" i="20"/>
  <c r="V81" i="20"/>
  <c r="AF82" i="20"/>
  <c r="V84" i="20"/>
  <c r="AF81" i="20"/>
  <c r="Z32" i="20"/>
  <c r="AF32" i="20"/>
  <c r="Z76" i="20"/>
  <c r="AF76" i="20"/>
  <c r="Z77" i="20"/>
  <c r="AF84" i="20"/>
  <c r="U71" i="19"/>
  <c r="Y12" i="19"/>
  <c r="U38" i="19"/>
  <c r="AB49" i="19"/>
  <c r="AI60" i="19"/>
  <c r="U49" i="19"/>
  <c r="U60" i="19"/>
  <c r="U11" i="19"/>
  <c r="AI18" i="19"/>
  <c r="U47" i="19"/>
  <c r="Z58" i="19"/>
  <c r="U59" i="19"/>
  <c r="AI71" i="19"/>
  <c r="Y81" i="19"/>
  <c r="U18" i="19"/>
  <c r="AI38" i="19"/>
  <c r="U40" i="19"/>
  <c r="Z52" i="19"/>
  <c r="U58" i="19"/>
  <c r="U67" i="19"/>
  <c r="U81" i="19"/>
  <c r="AI81" i="19"/>
  <c r="AI65" i="19"/>
  <c r="AI55" i="19"/>
  <c r="Y57" i="19"/>
  <c r="AI67" i="19"/>
  <c r="Y69" i="19"/>
  <c r="Z70" i="19"/>
  <c r="Y73" i="19"/>
  <c r="Z74" i="19"/>
  <c r="AI77" i="19"/>
  <c r="Y35" i="19"/>
  <c r="Z55" i="19"/>
  <c r="Y11" i="19"/>
  <c r="Z35" i="19"/>
  <c r="AI35" i="19"/>
  <c r="AI40" i="19"/>
  <c r="Y47" i="19"/>
  <c r="Y59" i="19"/>
  <c r="Y67" i="19"/>
  <c r="Y71" i="19"/>
  <c r="Y77" i="19"/>
  <c r="Z78" i="19"/>
  <c r="AI48" i="19"/>
  <c r="Z11" i="19"/>
  <c r="AI11" i="19"/>
  <c r="Z18" i="19"/>
  <c r="U35" i="19"/>
  <c r="Y37" i="19"/>
  <c r="Z47" i="19"/>
  <c r="U48" i="19"/>
  <c r="Y52" i="19"/>
  <c r="U55" i="19"/>
  <c r="Y58" i="19"/>
  <c r="Z59" i="19"/>
  <c r="AI59" i="19"/>
  <c r="U65" i="19"/>
  <c r="U69" i="19"/>
  <c r="AI69" i="19"/>
  <c r="U73" i="19"/>
  <c r="AI73" i="19"/>
  <c r="Z77" i="19"/>
  <c r="AJ40" i="21"/>
  <c r="AJ17" i="21"/>
  <c r="AJ32" i="21"/>
  <c r="AJ38" i="21"/>
  <c r="AJ19" i="21"/>
  <c r="AJ4" i="21"/>
  <c r="AJ59" i="21"/>
  <c r="AD81" i="21"/>
  <c r="AC81" i="21"/>
  <c r="AJ86" i="21"/>
  <c r="AJ89" i="21"/>
  <c r="AJ92" i="21"/>
  <c r="AC4" i="21"/>
  <c r="AC16" i="21"/>
  <c r="AJ39" i="21"/>
  <c r="AD43" i="21"/>
  <c r="AD49" i="21"/>
  <c r="AJ51" i="21"/>
  <c r="AD53" i="21"/>
  <c r="AD55" i="21"/>
  <c r="AD60" i="21"/>
  <c r="AC60" i="21"/>
  <c r="AJ64" i="21"/>
  <c r="AJ5" i="21"/>
  <c r="AJ44" i="21"/>
  <c r="AJ63" i="21"/>
  <c r="AJ66" i="21"/>
  <c r="AJ69" i="21"/>
  <c r="AJ78" i="21"/>
  <c r="AJ79" i="21"/>
  <c r="AJ85" i="21"/>
  <c r="AD88" i="21"/>
  <c r="AC88" i="21"/>
  <c r="AJ90" i="21"/>
  <c r="AD92" i="21"/>
  <c r="AC92" i="21"/>
  <c r="AD71" i="21"/>
  <c r="AC71" i="21"/>
  <c r="AC42" i="21"/>
  <c r="AJ42" i="21"/>
  <c r="AJ43" i="21"/>
  <c r="AJ48" i="21"/>
  <c r="AJ49" i="21"/>
  <c r="AD51" i="21"/>
  <c r="AJ53" i="21"/>
  <c r="AJ72" i="21"/>
  <c r="AD75" i="21"/>
  <c r="AC75" i="21"/>
  <c r="AJ76" i="21"/>
  <c r="AC91" i="21"/>
  <c r="AC89" i="20"/>
  <c r="Z4" i="20"/>
  <c r="V18" i="20"/>
  <c r="AF18" i="20"/>
  <c r="AA34" i="20"/>
  <c r="Z60" i="20"/>
  <c r="AD60" i="20"/>
  <c r="AG253" i="11" s="1"/>
  <c r="AH253" i="11" s="1"/>
  <c r="AA61" i="20"/>
  <c r="AA77" i="20"/>
  <c r="Z89" i="20"/>
  <c r="AC90" i="20"/>
  <c r="AC4" i="20"/>
  <c r="AC60" i="20"/>
  <c r="V58" i="20"/>
  <c r="AF58" i="20"/>
  <c r="V59" i="20"/>
  <c r="AF59" i="20"/>
  <c r="AA60" i="20"/>
  <c r="AF61" i="20"/>
  <c r="V77" i="20"/>
  <c r="AF77" i="20"/>
  <c r="AA89" i="20"/>
  <c r="V92" i="20"/>
  <c r="AF92" i="20"/>
  <c r="AA4" i="20"/>
  <c r="V4" i="20"/>
  <c r="V19" i="20"/>
  <c r="V60" i="20"/>
  <c r="V83" i="20"/>
  <c r="V89" i="20"/>
  <c r="V93" i="20"/>
  <c r="AB10" i="19"/>
  <c r="AB34" i="19"/>
  <c r="U4" i="19"/>
  <c r="AI4" i="19"/>
  <c r="U10" i="19"/>
  <c r="AI10" i="19"/>
  <c r="AG11" i="19"/>
  <c r="AB12" i="19"/>
  <c r="AH18" i="19"/>
  <c r="U19" i="19"/>
  <c r="AI19" i="19"/>
  <c r="U32" i="19"/>
  <c r="AI32" i="19"/>
  <c r="U34" i="19"/>
  <c r="AI34" i="19"/>
  <c r="AG35" i="19"/>
  <c r="AB37" i="19"/>
  <c r="AB39" i="19"/>
  <c r="AI45" i="19"/>
  <c r="U45" i="19"/>
  <c r="Z45" i="19"/>
  <c r="AF52" i="19"/>
  <c r="AE52" i="19"/>
  <c r="E52" i="19"/>
  <c r="Z56" i="19"/>
  <c r="Y56" i="19"/>
  <c r="AG59" i="19"/>
  <c r="AF59" i="19"/>
  <c r="AE59" i="19"/>
  <c r="AB38" i="19"/>
  <c r="Y39" i="19"/>
  <c r="AG39" i="19"/>
  <c r="Z44" i="19"/>
  <c r="Y44" i="19"/>
  <c r="Y45" i="19"/>
  <c r="AG48" i="19"/>
  <c r="AF48" i="19"/>
  <c r="AH48" i="19"/>
  <c r="AF58" i="19"/>
  <c r="AE58" i="19"/>
  <c r="E58" i="19"/>
  <c r="AM58" i="19" s="1"/>
  <c r="AH58" i="19"/>
  <c r="AN59" i="19"/>
  <c r="AH59" i="19"/>
  <c r="AL59" i="19"/>
  <c r="AH11" i="19"/>
  <c r="AH35" i="19"/>
  <c r="Y4" i="19"/>
  <c r="Y10" i="19"/>
  <c r="E11" i="19"/>
  <c r="AE11" i="19"/>
  <c r="Z12" i="19"/>
  <c r="AH12" i="19"/>
  <c r="AB18" i="19"/>
  <c r="AF18" i="19"/>
  <c r="AN18" i="19"/>
  <c r="Y19" i="19"/>
  <c r="AH33" i="19"/>
  <c r="Y34" i="19"/>
  <c r="E35" i="19"/>
  <c r="AE35" i="19"/>
  <c r="Z37" i="19"/>
  <c r="AH37" i="19"/>
  <c r="Y38" i="19"/>
  <c r="AG38" i="19"/>
  <c r="Z39" i="19"/>
  <c r="AH39" i="19"/>
  <c r="AG40" i="19"/>
  <c r="AF40" i="19"/>
  <c r="AH40" i="19"/>
  <c r="AF47" i="19"/>
  <c r="AE47" i="19"/>
  <c r="E47" i="19"/>
  <c r="AM47" i="19" s="1"/>
  <c r="AH47" i="19"/>
  <c r="AI51" i="19"/>
  <c r="U51" i="19"/>
  <c r="Z51" i="19"/>
  <c r="AG52" i="19"/>
  <c r="AG55" i="19"/>
  <c r="AF55" i="19"/>
  <c r="AH55" i="19"/>
  <c r="AB56" i="19"/>
  <c r="AM59" i="19"/>
  <c r="AB61" i="19"/>
  <c r="Z61" i="19"/>
  <c r="AI61" i="19"/>
  <c r="U61" i="19"/>
  <c r="AB4" i="19"/>
  <c r="AB19" i="19"/>
  <c r="E12" i="19"/>
  <c r="U12" i="19"/>
  <c r="E33" i="19"/>
  <c r="U33" i="19"/>
  <c r="E37" i="19"/>
  <c r="U37" i="19"/>
  <c r="E39" i="19"/>
  <c r="U39" i="19"/>
  <c r="E40" i="19"/>
  <c r="AI41" i="19"/>
  <c r="AB44" i="19"/>
  <c r="AB45" i="19"/>
  <c r="Z49" i="19"/>
  <c r="Y49" i="19"/>
  <c r="Y51" i="19"/>
  <c r="AH52" i="19"/>
  <c r="E55" i="19"/>
  <c r="U56" i="19"/>
  <c r="AI56" i="19"/>
  <c r="AN56" i="19"/>
  <c r="AI57" i="19"/>
  <c r="U57" i="19"/>
  <c r="Z57" i="19"/>
  <c r="Z60" i="19"/>
  <c r="Y60" i="19"/>
  <c r="Y61" i="19"/>
  <c r="AF62" i="19"/>
  <c r="AH62" i="19"/>
  <c r="E62" i="19"/>
  <c r="AG62" i="19"/>
  <c r="AE62" i="19"/>
  <c r="AI85" i="19"/>
  <c r="U85" i="19"/>
  <c r="Z85" i="19"/>
  <c r="Y85" i="19"/>
  <c r="AG68" i="19"/>
  <c r="AE68" i="19"/>
  <c r="E68" i="19"/>
  <c r="AM68" i="19" s="1"/>
  <c r="Y68" i="19"/>
  <c r="AI68" i="19"/>
  <c r="U68" i="19"/>
  <c r="AG72" i="19"/>
  <c r="AE72" i="19"/>
  <c r="E72" i="19"/>
  <c r="AM72" i="19" s="1"/>
  <c r="Y72" i="19"/>
  <c r="AI72" i="19"/>
  <c r="U72" i="19"/>
  <c r="AG78" i="19"/>
  <c r="AF78" i="19"/>
  <c r="AE78" i="19"/>
  <c r="E78" i="19"/>
  <c r="AM78" i="19" s="1"/>
  <c r="AG41" i="19"/>
  <c r="AG44" i="19"/>
  <c r="AH45" i="19"/>
  <c r="AI47" i="19"/>
  <c r="AG49" i="19"/>
  <c r="AH51" i="19"/>
  <c r="U52" i="19"/>
  <c r="AI52" i="19"/>
  <c r="AB55" i="19"/>
  <c r="AG56" i="19"/>
  <c r="AH57" i="19"/>
  <c r="AI58" i="19"/>
  <c r="AG60" i="19"/>
  <c r="AF61" i="19"/>
  <c r="AH61" i="19"/>
  <c r="AG61" i="19"/>
  <c r="AH63" i="19"/>
  <c r="E63" i="19"/>
  <c r="AF63" i="19"/>
  <c r="AE66" i="19"/>
  <c r="E66" i="19"/>
  <c r="AM66" i="19" s="1"/>
  <c r="AG66" i="19"/>
  <c r="AI66" i="19"/>
  <c r="U66" i="19"/>
  <c r="Y66" i="19"/>
  <c r="Z68" i="19"/>
  <c r="Z72" i="19"/>
  <c r="AH78" i="19"/>
  <c r="AG83" i="19"/>
  <c r="AF83" i="19"/>
  <c r="AE83" i="19"/>
  <c r="E83" i="19"/>
  <c r="AM83" i="19" s="1"/>
  <c r="AB85" i="19"/>
  <c r="AF87" i="19"/>
  <c r="AE87" i="19"/>
  <c r="AH87" i="19"/>
  <c r="E87" i="19"/>
  <c r="AG87" i="19"/>
  <c r="AG64" i="19"/>
  <c r="AE64" i="19"/>
  <c r="E64" i="19"/>
  <c r="AM64" i="19" s="1"/>
  <c r="AI64" i="19"/>
  <c r="U64" i="19"/>
  <c r="AL65" i="19"/>
  <c r="AN65" i="19"/>
  <c r="Z66" i="19"/>
  <c r="AF68" i="19"/>
  <c r="AE70" i="19"/>
  <c r="E70" i="19"/>
  <c r="AM70" i="19" s="1"/>
  <c r="AG70" i="19"/>
  <c r="AI70" i="19"/>
  <c r="U70" i="19"/>
  <c r="Y70" i="19"/>
  <c r="AF72" i="19"/>
  <c r="AE74" i="19"/>
  <c r="E74" i="19"/>
  <c r="AM74" i="19" s="1"/>
  <c r="AG74" i="19"/>
  <c r="AI74" i="19"/>
  <c r="U74" i="19"/>
  <c r="Y74" i="19"/>
  <c r="AH83" i="19"/>
  <c r="AF65" i="19"/>
  <c r="Z67" i="19"/>
  <c r="AB69" i="19"/>
  <c r="AF69" i="19"/>
  <c r="Z71" i="19"/>
  <c r="AH71" i="19"/>
  <c r="AB73" i="19"/>
  <c r="AF73" i="19"/>
  <c r="AH77" i="19"/>
  <c r="U78" i="19"/>
  <c r="AI78" i="19"/>
  <c r="AB81" i="19"/>
  <c r="AF81" i="19"/>
  <c r="AH82" i="19"/>
  <c r="U83" i="19"/>
  <c r="AI83" i="19"/>
  <c r="AB84" i="19"/>
  <c r="AG85" i="19"/>
  <c r="AH86" i="19"/>
  <c r="AB78" i="19"/>
  <c r="AB83" i="19"/>
  <c r="AH85" i="19"/>
  <c r="E85" i="19"/>
  <c r="AM85" i="19" s="1"/>
  <c r="AI31" i="18"/>
  <c r="AI33" i="18"/>
  <c r="AI35" i="18"/>
  <c r="AI37" i="18"/>
  <c r="AG73" i="18"/>
  <c r="AB73" i="18"/>
  <c r="V73" i="18"/>
  <c r="AA73" i="18"/>
  <c r="AD73" i="18"/>
  <c r="AI14" i="18"/>
  <c r="AJ14" i="18"/>
  <c r="AG12" i="18"/>
  <c r="AA12" i="18"/>
  <c r="AB12" i="18"/>
  <c r="V12" i="18"/>
  <c r="AB4" i="18"/>
  <c r="V4" i="18"/>
  <c r="AA4" i="18"/>
  <c r="AG4" i="18"/>
  <c r="AG10" i="18"/>
  <c r="AB10" i="18"/>
  <c r="V10" i="18"/>
  <c r="AI11" i="18"/>
  <c r="AK14" i="18"/>
  <c r="AK19" i="18"/>
  <c r="AK31" i="18"/>
  <c r="AK33" i="18"/>
  <c r="AK35" i="18"/>
  <c r="AK37" i="18"/>
  <c r="AG64" i="18"/>
  <c r="AB64" i="18"/>
  <c r="V64" i="18"/>
  <c r="AA64" i="18"/>
  <c r="AD64" i="18"/>
  <c r="AD19" i="18"/>
  <c r="AD31" i="18"/>
  <c r="AD33" i="18"/>
  <c r="AD35" i="18"/>
  <c r="AD37" i="18"/>
  <c r="AG66" i="18"/>
  <c r="AB66" i="18"/>
  <c r="V66" i="18"/>
  <c r="AA66" i="18"/>
  <c r="AD14" i="18"/>
  <c r="AA14" i="18"/>
  <c r="AG15" i="18"/>
  <c r="AG18" i="18"/>
  <c r="AA19" i="18"/>
  <c r="AA31" i="18"/>
  <c r="AG32" i="18"/>
  <c r="AA33" i="18"/>
  <c r="AG34" i="18"/>
  <c r="AA35" i="18"/>
  <c r="AG36" i="18"/>
  <c r="AA37" i="18"/>
  <c r="AG38" i="18"/>
  <c r="AG56" i="18"/>
  <c r="AB56" i="18"/>
  <c r="V56" i="18"/>
  <c r="AA56" i="18"/>
  <c r="AG58" i="18"/>
  <c r="AB58" i="18"/>
  <c r="V58" i="18"/>
  <c r="AA58" i="18"/>
  <c r="AG60" i="18"/>
  <c r="AB60" i="18"/>
  <c r="V60" i="18"/>
  <c r="AA60" i="18"/>
  <c r="V14" i="18"/>
  <c r="V19" i="18"/>
  <c r="V31" i="18"/>
  <c r="V33" i="18"/>
  <c r="V35" i="18"/>
  <c r="V37" i="18"/>
  <c r="AA39" i="18"/>
  <c r="AG39" i="18"/>
  <c r="AG40" i="18"/>
  <c r="AA40" i="18"/>
  <c r="AA41" i="18"/>
  <c r="AG41" i="18"/>
  <c r="AG42" i="18"/>
  <c r="AA42" i="18"/>
  <c r="AA43" i="18"/>
  <c r="AG43" i="18"/>
  <c r="AG45" i="18"/>
  <c r="AA45" i="18"/>
  <c r="AA46" i="18"/>
  <c r="AG46" i="18"/>
  <c r="AG47" i="18"/>
  <c r="AA47" i="18"/>
  <c r="AA48" i="18"/>
  <c r="AG48" i="18"/>
  <c r="AG49" i="18"/>
  <c r="AA49" i="18"/>
  <c r="AA50" i="18"/>
  <c r="AG50" i="18"/>
  <c r="AG51" i="18"/>
  <c r="AA51" i="18"/>
  <c r="AA52" i="18"/>
  <c r="AG52" i="18"/>
  <c r="AG54" i="18"/>
  <c r="AA54" i="18"/>
  <c r="AA55" i="18"/>
  <c r="AG55" i="18"/>
  <c r="AG62" i="18"/>
  <c r="AB62" i="18"/>
  <c r="V62" i="18"/>
  <c r="AA62" i="18"/>
  <c r="AD66" i="18"/>
  <c r="AG57" i="18"/>
  <c r="AG59" i="18"/>
  <c r="AG61" i="18"/>
  <c r="AG63" i="18"/>
  <c r="AG65" i="18"/>
  <c r="AG67" i="18"/>
  <c r="AD57" i="18"/>
  <c r="AD59" i="18"/>
  <c r="AD61" i="18"/>
  <c r="AD63" i="18"/>
  <c r="AD65" i="18"/>
  <c r="AD67" i="18"/>
  <c r="R17" i="9"/>
  <c r="R16" i="9"/>
  <c r="R15" i="9"/>
  <c r="U8" i="9" s="1"/>
  <c r="R14" i="9"/>
  <c r="W8" i="9" s="1"/>
  <c r="R13" i="9"/>
  <c r="V8" i="9" s="1"/>
  <c r="R12" i="9"/>
  <c r="R11" i="9"/>
  <c r="R10" i="9"/>
  <c r="U7" i="9" s="1"/>
  <c r="R9" i="9"/>
  <c r="R8" i="9"/>
  <c r="V7" i="9" s="1"/>
  <c r="R7" i="9"/>
  <c r="R6" i="9"/>
  <c r="R5" i="9"/>
  <c r="R4" i="9"/>
  <c r="W7" i="9" s="1"/>
  <c r="R3" i="9"/>
  <c r="R169" i="15"/>
  <c r="R168" i="15"/>
  <c r="R167" i="15"/>
  <c r="U160" i="15" s="1"/>
  <c r="R166" i="15"/>
  <c r="W160" i="15" s="1"/>
  <c r="R165" i="15"/>
  <c r="R164" i="15"/>
  <c r="R163" i="15"/>
  <c r="R162" i="15"/>
  <c r="U159" i="15" s="1"/>
  <c r="R161" i="15"/>
  <c r="R160" i="15"/>
  <c r="V159" i="15" s="1"/>
  <c r="R159" i="15"/>
  <c r="R158" i="15"/>
  <c r="R157" i="15"/>
  <c r="R156" i="15"/>
  <c r="R155" i="15"/>
  <c r="R150" i="15"/>
  <c r="R149" i="15"/>
  <c r="R148" i="15"/>
  <c r="U141" i="15" s="1"/>
  <c r="R147" i="15"/>
  <c r="W141" i="15" s="1"/>
  <c r="R146" i="15"/>
  <c r="V141" i="15" s="1"/>
  <c r="R145" i="15"/>
  <c r="R144" i="15"/>
  <c r="R143" i="15"/>
  <c r="U140" i="15" s="1"/>
  <c r="R142" i="15"/>
  <c r="R141" i="15"/>
  <c r="R140" i="15"/>
  <c r="R139" i="15"/>
  <c r="R138" i="15"/>
  <c r="R137" i="15"/>
  <c r="R136" i="15"/>
  <c r="R131" i="15"/>
  <c r="R130" i="15"/>
  <c r="R129" i="15"/>
  <c r="R128" i="15"/>
  <c r="W122" i="15" s="1"/>
  <c r="R127" i="15"/>
  <c r="V122" i="15" s="1"/>
  <c r="R126" i="15"/>
  <c r="R125" i="15"/>
  <c r="R124" i="15"/>
  <c r="U121" i="15" s="1"/>
  <c r="R123" i="15"/>
  <c r="R122" i="15"/>
  <c r="V121" i="15" s="1"/>
  <c r="R121" i="15"/>
  <c r="R120" i="15"/>
  <c r="R119" i="15"/>
  <c r="R118" i="15"/>
  <c r="W121" i="15" s="1"/>
  <c r="R117" i="15"/>
  <c r="R112" i="15"/>
  <c r="R111" i="15"/>
  <c r="R110" i="15"/>
  <c r="U103" i="15" s="1"/>
  <c r="R109" i="15"/>
  <c r="W103" i="15" s="1"/>
  <c r="R108" i="15"/>
  <c r="R107" i="15"/>
  <c r="R106" i="15"/>
  <c r="R105" i="15"/>
  <c r="R104" i="15"/>
  <c r="R103" i="15"/>
  <c r="V102" i="15" s="1"/>
  <c r="R102" i="15"/>
  <c r="R101" i="15"/>
  <c r="R100" i="15"/>
  <c r="R99" i="15"/>
  <c r="W102" i="15" s="1"/>
  <c r="R98" i="15"/>
  <c r="R93" i="15"/>
  <c r="R92" i="15"/>
  <c r="R91" i="15"/>
  <c r="U84" i="15" s="1"/>
  <c r="R90" i="15"/>
  <c r="W84" i="15" s="1"/>
  <c r="R89" i="15"/>
  <c r="R88" i="15"/>
  <c r="R87" i="15"/>
  <c r="R86" i="15"/>
  <c r="U83" i="15" s="1"/>
  <c r="R85" i="15"/>
  <c r="R84" i="15"/>
  <c r="V83" i="15" s="1"/>
  <c r="R83" i="15"/>
  <c r="R82" i="15"/>
  <c r="R81" i="15"/>
  <c r="R80" i="15"/>
  <c r="W83" i="15" s="1"/>
  <c r="R79" i="15"/>
  <c r="R74" i="15"/>
  <c r="R73" i="15"/>
  <c r="R72" i="15"/>
  <c r="U65" i="15" s="1"/>
  <c r="R71" i="15"/>
  <c r="W65" i="15" s="1"/>
  <c r="R70" i="15"/>
  <c r="V65" i="15" s="1"/>
  <c r="R69" i="15"/>
  <c r="R68" i="15"/>
  <c r="R67" i="15"/>
  <c r="U64" i="15" s="1"/>
  <c r="R66" i="15"/>
  <c r="R65" i="15"/>
  <c r="R64" i="15"/>
  <c r="R63" i="15"/>
  <c r="R62" i="15"/>
  <c r="R61" i="15"/>
  <c r="R60" i="15"/>
  <c r="R188" i="15"/>
  <c r="R187" i="15"/>
  <c r="R186" i="15"/>
  <c r="R185" i="15"/>
  <c r="W179" i="15" s="1"/>
  <c r="R184" i="15"/>
  <c r="V179" i="15" s="1"/>
  <c r="R183" i="15"/>
  <c r="R182" i="15"/>
  <c r="R181" i="15"/>
  <c r="U178" i="15" s="1"/>
  <c r="R180" i="15"/>
  <c r="R179" i="15"/>
  <c r="V178" i="15" s="1"/>
  <c r="R178" i="15"/>
  <c r="R177" i="15"/>
  <c r="R176" i="15"/>
  <c r="R175" i="15"/>
  <c r="W178" i="15" s="1"/>
  <c r="V103" i="15"/>
  <c r="U102" i="15"/>
  <c r="R17" i="15"/>
  <c r="R16" i="15"/>
  <c r="R15" i="15"/>
  <c r="U8" i="15" s="1"/>
  <c r="R14" i="15"/>
  <c r="W8" i="15" s="1"/>
  <c r="R13" i="15"/>
  <c r="V8" i="15" s="1"/>
  <c r="R12" i="15"/>
  <c r="R11" i="15"/>
  <c r="R10" i="15"/>
  <c r="U7" i="15" s="1"/>
  <c r="R9" i="15"/>
  <c r="R8" i="15"/>
  <c r="V7" i="15" s="1"/>
  <c r="R7" i="15"/>
  <c r="R6" i="15"/>
  <c r="R5" i="15"/>
  <c r="R4" i="15"/>
  <c r="W7" i="15" s="1"/>
  <c r="R3" i="15"/>
  <c r="Y187" i="15"/>
  <c r="U179" i="15"/>
  <c r="T179" i="15"/>
  <c r="T178" i="15"/>
  <c r="Y168" i="15"/>
  <c r="V160" i="15"/>
  <c r="T160" i="15"/>
  <c r="T159" i="15"/>
  <c r="W159" i="15"/>
  <c r="Y149" i="15"/>
  <c r="T141" i="15"/>
  <c r="V140" i="15"/>
  <c r="T140" i="15"/>
  <c r="W140" i="15"/>
  <c r="Y130" i="15"/>
  <c r="U122" i="15"/>
  <c r="T122" i="15"/>
  <c r="T121" i="15"/>
  <c r="Y111" i="15"/>
  <c r="T103" i="15"/>
  <c r="T102" i="15"/>
  <c r="Y92" i="15"/>
  <c r="V84" i="15"/>
  <c r="T84" i="15"/>
  <c r="T83" i="15"/>
  <c r="Y73" i="15"/>
  <c r="T65" i="15"/>
  <c r="V64" i="15"/>
  <c r="T64" i="15"/>
  <c r="W64" i="15"/>
  <c r="Y54" i="15"/>
  <c r="T46" i="15"/>
  <c r="T45" i="15"/>
  <c r="Y35" i="15"/>
  <c r="T27" i="15"/>
  <c r="T26" i="15"/>
  <c r="Y16" i="15"/>
  <c r="T8" i="15"/>
  <c r="T7" i="15"/>
  <c r="E8" i="15"/>
  <c r="E7" i="15"/>
  <c r="Y187" i="9"/>
  <c r="T179" i="9"/>
  <c r="T178" i="9"/>
  <c r="Y168" i="9"/>
  <c r="T160" i="9"/>
  <c r="T159" i="9"/>
  <c r="Y149" i="9"/>
  <c r="T141" i="9"/>
  <c r="T140" i="9"/>
  <c r="Y130" i="9"/>
  <c r="T122" i="9"/>
  <c r="T121" i="9"/>
  <c r="Y111" i="9"/>
  <c r="T103" i="9"/>
  <c r="T102" i="9"/>
  <c r="Y92" i="9"/>
  <c r="T84" i="9"/>
  <c r="T83" i="9"/>
  <c r="Y73" i="9"/>
  <c r="T65" i="9"/>
  <c r="T64" i="9"/>
  <c r="Y54" i="9"/>
  <c r="T46" i="9"/>
  <c r="T45" i="9"/>
  <c r="Y35" i="9"/>
  <c r="T27" i="9"/>
  <c r="T26" i="9"/>
  <c r="Y16" i="9"/>
  <c r="T8" i="9"/>
  <c r="T7" i="9"/>
  <c r="E8" i="9"/>
  <c r="E7" i="9"/>
  <c r="Y187" i="10"/>
  <c r="Y189" i="10" s="1"/>
  <c r="T179" i="10"/>
  <c r="T178" i="10"/>
  <c r="Y168" i="10"/>
  <c r="Y170" i="10" s="1"/>
  <c r="T160" i="10"/>
  <c r="T159" i="10"/>
  <c r="Y149" i="10"/>
  <c r="T141" i="10"/>
  <c r="T140" i="10"/>
  <c r="Y130" i="10"/>
  <c r="T122" i="10"/>
  <c r="T121" i="10"/>
  <c r="Y111" i="10"/>
  <c r="T103" i="10"/>
  <c r="T102" i="10"/>
  <c r="Y92" i="10"/>
  <c r="T84" i="10"/>
  <c r="T83" i="10"/>
  <c r="Y73" i="10"/>
  <c r="T65" i="10"/>
  <c r="T64" i="10"/>
  <c r="Y54" i="10"/>
  <c r="T46" i="10"/>
  <c r="T45" i="10"/>
  <c r="Y35" i="10"/>
  <c r="T27" i="10"/>
  <c r="T26" i="10"/>
  <c r="Y16" i="10"/>
  <c r="Y18" i="10" s="1"/>
  <c r="T8" i="10"/>
  <c r="T7" i="10"/>
  <c r="E8" i="10"/>
  <c r="E7" i="10"/>
  <c r="Y187" i="11"/>
  <c r="T179" i="11"/>
  <c r="T178" i="11"/>
  <c r="Y168" i="11"/>
  <c r="Y170" i="11" s="1"/>
  <c r="T160" i="11"/>
  <c r="T159" i="11"/>
  <c r="Y149" i="11"/>
  <c r="T141" i="11"/>
  <c r="T140" i="11"/>
  <c r="Y130" i="11"/>
  <c r="T122" i="11"/>
  <c r="T121" i="11"/>
  <c r="Y111" i="11"/>
  <c r="T103" i="11"/>
  <c r="T102" i="11"/>
  <c r="Y92" i="11"/>
  <c r="T84" i="11"/>
  <c r="T83" i="11"/>
  <c r="Y73" i="11"/>
  <c r="T65" i="11"/>
  <c r="T64" i="11"/>
  <c r="Y54" i="11"/>
  <c r="T46" i="11"/>
  <c r="T45" i="11"/>
  <c r="Y35" i="11"/>
  <c r="T27" i="11"/>
  <c r="T26" i="11"/>
  <c r="Y16" i="11"/>
  <c r="T8" i="11"/>
  <c r="T7" i="11"/>
  <c r="E8" i="11"/>
  <c r="E7" i="11"/>
  <c r="J16" i="15"/>
  <c r="R169" i="9"/>
  <c r="R168" i="9"/>
  <c r="R167" i="9"/>
  <c r="U160" i="9" s="1"/>
  <c r="R166" i="9"/>
  <c r="W160" i="9" s="1"/>
  <c r="R165" i="9"/>
  <c r="V160" i="9" s="1"/>
  <c r="R164" i="9"/>
  <c r="R163" i="9"/>
  <c r="R162" i="9"/>
  <c r="U159" i="9" s="1"/>
  <c r="R161" i="9"/>
  <c r="R160" i="9"/>
  <c r="V159" i="9" s="1"/>
  <c r="R159" i="9"/>
  <c r="R158" i="9"/>
  <c r="R157" i="9"/>
  <c r="R156" i="9"/>
  <c r="W159" i="9" s="1"/>
  <c r="R155" i="9"/>
  <c r="R150" i="9"/>
  <c r="R149" i="9"/>
  <c r="R148" i="9"/>
  <c r="U141" i="9" s="1"/>
  <c r="R147" i="9"/>
  <c r="W141" i="9" s="1"/>
  <c r="R146" i="9"/>
  <c r="V141" i="9" s="1"/>
  <c r="R145" i="9"/>
  <c r="R144" i="9"/>
  <c r="R143" i="9"/>
  <c r="U140" i="9" s="1"/>
  <c r="R142" i="9"/>
  <c r="R141" i="9"/>
  <c r="V140" i="9" s="1"/>
  <c r="R140" i="9"/>
  <c r="R139" i="9"/>
  <c r="R138" i="9"/>
  <c r="R137" i="9"/>
  <c r="W140" i="9" s="1"/>
  <c r="R136" i="9"/>
  <c r="R131" i="9"/>
  <c r="R130" i="9"/>
  <c r="R129" i="9"/>
  <c r="U122" i="9" s="1"/>
  <c r="R128" i="9"/>
  <c r="W122" i="9" s="1"/>
  <c r="R127" i="9"/>
  <c r="V122" i="9" s="1"/>
  <c r="R126" i="9"/>
  <c r="R125" i="9"/>
  <c r="R124" i="9"/>
  <c r="U121" i="9" s="1"/>
  <c r="R123" i="9"/>
  <c r="R122" i="9"/>
  <c r="V121" i="9" s="1"/>
  <c r="R121" i="9"/>
  <c r="R120" i="9"/>
  <c r="R119" i="9"/>
  <c r="R118" i="9"/>
  <c r="W121" i="9" s="1"/>
  <c r="R117" i="9"/>
  <c r="R112" i="9"/>
  <c r="R111" i="9"/>
  <c r="R110" i="9"/>
  <c r="U103" i="9" s="1"/>
  <c r="R109" i="9"/>
  <c r="W103" i="9" s="1"/>
  <c r="R108" i="9"/>
  <c r="V103" i="9" s="1"/>
  <c r="R107" i="9"/>
  <c r="R106" i="9"/>
  <c r="R105" i="9"/>
  <c r="U102" i="9" s="1"/>
  <c r="R104" i="9"/>
  <c r="R103" i="9"/>
  <c r="V102" i="9" s="1"/>
  <c r="R102" i="9"/>
  <c r="R101" i="9"/>
  <c r="R100" i="9"/>
  <c r="R99" i="9"/>
  <c r="W102" i="9" s="1"/>
  <c r="R98" i="9"/>
  <c r="R93" i="9"/>
  <c r="R92" i="9"/>
  <c r="R91" i="9"/>
  <c r="U84" i="9" s="1"/>
  <c r="R90" i="9"/>
  <c r="W84" i="9" s="1"/>
  <c r="R89" i="9"/>
  <c r="V84" i="9" s="1"/>
  <c r="R88" i="9"/>
  <c r="R87" i="9"/>
  <c r="R86" i="9"/>
  <c r="U83" i="9" s="1"/>
  <c r="R85" i="9"/>
  <c r="R84" i="9"/>
  <c r="V83" i="9" s="1"/>
  <c r="R83" i="9"/>
  <c r="R82" i="9"/>
  <c r="R81" i="9"/>
  <c r="R80" i="9"/>
  <c r="W83" i="9" s="1"/>
  <c r="R79" i="9"/>
  <c r="R74" i="9"/>
  <c r="R73" i="9"/>
  <c r="R72" i="9"/>
  <c r="U65" i="9" s="1"/>
  <c r="R71" i="9"/>
  <c r="W65" i="9" s="1"/>
  <c r="R70" i="9"/>
  <c r="V65" i="9" s="1"/>
  <c r="R69" i="9"/>
  <c r="R68" i="9"/>
  <c r="R67" i="9"/>
  <c r="U64" i="9" s="1"/>
  <c r="R66" i="9"/>
  <c r="R65" i="9"/>
  <c r="V64" i="9" s="1"/>
  <c r="R64" i="9"/>
  <c r="R63" i="9"/>
  <c r="R62" i="9"/>
  <c r="R61" i="9"/>
  <c r="W64" i="9" s="1"/>
  <c r="R60" i="9"/>
  <c r="Y171" i="10"/>
  <c r="Y151" i="11"/>
  <c r="Y152" i="10"/>
  <c r="Y19" i="10"/>
  <c r="Y151" i="10"/>
  <c r="Y190" i="10"/>
  <c r="Y189" i="11"/>
  <c r="Y171" i="11"/>
  <c r="Y190" i="11"/>
  <c r="Y152" i="11"/>
  <c r="K48" i="22" l="1"/>
  <c r="AM60" i="19"/>
  <c r="AN60" i="19"/>
  <c r="K47" i="22"/>
  <c r="K31" i="22"/>
  <c r="J46" i="22"/>
  <c r="K49" i="22"/>
  <c r="J48" i="22"/>
  <c r="J49" i="22"/>
  <c r="AG274" i="11"/>
  <c r="J47" i="22"/>
  <c r="AM67" i="19"/>
  <c r="AL67" i="19"/>
  <c r="I46" i="22"/>
  <c r="AM51" i="19"/>
  <c r="AN32" i="19"/>
  <c r="AM41" i="19"/>
  <c r="AN41" i="19"/>
  <c r="I47" i="22"/>
  <c r="I48" i="22"/>
  <c r="AM32" i="19"/>
  <c r="I49" i="22"/>
  <c r="H47" i="22"/>
  <c r="H46" i="22"/>
  <c r="H49" i="22"/>
  <c r="H48" i="22"/>
  <c r="H31" i="22"/>
  <c r="E30" i="22"/>
  <c r="E26" i="22"/>
  <c r="K26" i="22" s="1"/>
  <c r="E29" i="22"/>
  <c r="E28" i="22"/>
  <c r="E27" i="22"/>
  <c r="K27" i="22" s="1"/>
  <c r="E10" i="22"/>
  <c r="E9" i="22"/>
  <c r="AG306" i="15"/>
  <c r="AG305" i="15"/>
  <c r="AG301" i="15"/>
  <c r="AG304" i="15"/>
  <c r="AG302" i="15"/>
  <c r="AG303" i="15"/>
  <c r="AM44" i="19"/>
  <c r="D27" i="22"/>
  <c r="J27" i="22" s="1"/>
  <c r="D30" i="22"/>
  <c r="D26" i="22"/>
  <c r="J26" i="22" s="1"/>
  <c r="D28" i="22"/>
  <c r="D29" i="22"/>
  <c r="B10" i="22"/>
  <c r="AG307" i="11"/>
  <c r="AG303" i="11"/>
  <c r="AG308" i="11"/>
  <c r="AG306" i="11"/>
  <c r="AG305" i="11"/>
  <c r="AG304" i="11"/>
  <c r="B9" i="22"/>
  <c r="B29" i="22"/>
  <c r="B28" i="22"/>
  <c r="B30" i="22"/>
  <c r="B27" i="22"/>
  <c r="B26" i="22"/>
  <c r="H26" i="22" s="1"/>
  <c r="D10" i="22"/>
  <c r="D9" i="22"/>
  <c r="AG313" i="9"/>
  <c r="AG309" i="9"/>
  <c r="AG311" i="9"/>
  <c r="AG314" i="9"/>
  <c r="AG312" i="9"/>
  <c r="AG310" i="9"/>
  <c r="W108" i="9"/>
  <c r="W70" i="15"/>
  <c r="AL44" i="19"/>
  <c r="AN73" i="19"/>
  <c r="AN69" i="19"/>
  <c r="AL73" i="19"/>
  <c r="AL69" i="19"/>
  <c r="AL71" i="19"/>
  <c r="AL82" i="19"/>
  <c r="AM77" i="19"/>
  <c r="AN61" i="19"/>
  <c r="AN84" i="19"/>
  <c r="AM48" i="19"/>
  <c r="AM84" i="19"/>
  <c r="AM82" i="19"/>
  <c r="AM86" i="19"/>
  <c r="AN48" i="19"/>
  <c r="AM49" i="19"/>
  <c r="AN71" i="19"/>
  <c r="AM56" i="19"/>
  <c r="AL86" i="19"/>
  <c r="AN77" i="19"/>
  <c r="AL81" i="19"/>
  <c r="AM61" i="19"/>
  <c r="AN19" i="19"/>
  <c r="AN49" i="19"/>
  <c r="AN38" i="19"/>
  <c r="AM38" i="19"/>
  <c r="AM45" i="19"/>
  <c r="AM19" i="19"/>
  <c r="AN45" i="19"/>
  <c r="AN57" i="19"/>
  <c r="AM57" i="19"/>
  <c r="AG251" i="11"/>
  <c r="AH251" i="11" s="1"/>
  <c r="AG103" i="10"/>
  <c r="AG99" i="10"/>
  <c r="AG100" i="10"/>
  <c r="AG102" i="10"/>
  <c r="AG98" i="10"/>
  <c r="AG101" i="10"/>
  <c r="AG269" i="11"/>
  <c r="AG100" i="15"/>
  <c r="AG101" i="15"/>
  <c r="AG103" i="15"/>
  <c r="AG98" i="15"/>
  <c r="AG102" i="15"/>
  <c r="AG99" i="15"/>
  <c r="AG101" i="9"/>
  <c r="AG100" i="9"/>
  <c r="AG103" i="9"/>
  <c r="AG99" i="9"/>
  <c r="AG102" i="9"/>
  <c r="AG98" i="9"/>
  <c r="AG255" i="11"/>
  <c r="AH255" i="11" s="1"/>
  <c r="AG273" i="11"/>
  <c r="AG250" i="11"/>
  <c r="AH250" i="11" s="1"/>
  <c r="AG252" i="11"/>
  <c r="AH252" i="11" s="1"/>
  <c r="AG271" i="11"/>
  <c r="AG270" i="11"/>
  <c r="AG103" i="11"/>
  <c r="AG99" i="11"/>
  <c r="AG102" i="11"/>
  <c r="AG98" i="11"/>
  <c r="AG101" i="11"/>
  <c r="AG100" i="11"/>
  <c r="AG254" i="11"/>
  <c r="AH254" i="11" s="1"/>
  <c r="AG272" i="11"/>
  <c r="AN64" i="19"/>
  <c r="AL64" i="19"/>
  <c r="AL68" i="19"/>
  <c r="AN68" i="19"/>
  <c r="AN55" i="19"/>
  <c r="AM55" i="19"/>
  <c r="AL55" i="19"/>
  <c r="AN35" i="19"/>
  <c r="AN52" i="19"/>
  <c r="AL52" i="19"/>
  <c r="AL85" i="19"/>
  <c r="AN85" i="19"/>
  <c r="AN78" i="19"/>
  <c r="AL78" i="19"/>
  <c r="AL72" i="19"/>
  <c r="AN72" i="19"/>
  <c r="AN40" i="19"/>
  <c r="AM40" i="19"/>
  <c r="AL40" i="19"/>
  <c r="AN37" i="19"/>
  <c r="AL12" i="19"/>
  <c r="AN12" i="19"/>
  <c r="AN47" i="19"/>
  <c r="AL47" i="19"/>
  <c r="AN83" i="19"/>
  <c r="AL83" i="19"/>
  <c r="AL63" i="19"/>
  <c r="AN63" i="19"/>
  <c r="AM63" i="19"/>
  <c r="AN62" i="19"/>
  <c r="AL62" i="19"/>
  <c r="AM62" i="19"/>
  <c r="AN11" i="19"/>
  <c r="AN74" i="19"/>
  <c r="AL74" i="19"/>
  <c r="AN70" i="19"/>
  <c r="AL70" i="19"/>
  <c r="AN87" i="19"/>
  <c r="AM87" i="19"/>
  <c r="AL87" i="19"/>
  <c r="AN66" i="19"/>
  <c r="AL66" i="19"/>
  <c r="AN39" i="19"/>
  <c r="AL39" i="19"/>
  <c r="AN33" i="19"/>
  <c r="AN58" i="19"/>
  <c r="AL58" i="19"/>
  <c r="AM52" i="19"/>
  <c r="AM39" i="19"/>
  <c r="AM12" i="19"/>
  <c r="W184" i="15"/>
  <c r="Y184" i="15" s="1"/>
  <c r="W13" i="15"/>
  <c r="W14" i="15" s="1"/>
  <c r="Y14" i="15" s="1"/>
  <c r="W70" i="9"/>
  <c r="W146" i="9"/>
  <c r="Y146" i="9" s="1"/>
  <c r="W104" i="9"/>
  <c r="U108" i="9" s="1"/>
  <c r="U109" i="9" s="1"/>
  <c r="W127" i="9"/>
  <c r="W128" i="9" s="1"/>
  <c r="Y128" i="9" s="1"/>
  <c r="U94" i="9"/>
  <c r="W75" i="9"/>
  <c r="Y108" i="9"/>
  <c r="W109" i="9"/>
  <c r="Y109" i="9" s="1"/>
  <c r="W142" i="9"/>
  <c r="U146" i="9" s="1"/>
  <c r="W89" i="9"/>
  <c r="W132" i="9"/>
  <c r="W165" i="9"/>
  <c r="W170" i="9"/>
  <c r="W13" i="9"/>
  <c r="Y13" i="9" s="1"/>
  <c r="U18" i="9"/>
  <c r="U19" i="9" s="1"/>
  <c r="W189" i="15"/>
  <c r="U189" i="15"/>
  <c r="U190" i="15" s="1"/>
  <c r="W180" i="15"/>
  <c r="U184" i="15" s="1"/>
  <c r="U185" i="15" s="1"/>
  <c r="W165" i="15"/>
  <c r="W170" i="15"/>
  <c r="U170" i="15"/>
  <c r="U171" i="15" s="1"/>
  <c r="W161" i="15"/>
  <c r="U165" i="15" s="1"/>
  <c r="W146" i="15"/>
  <c r="W151" i="15"/>
  <c r="U151" i="15"/>
  <c r="U152" i="15" s="1"/>
  <c r="W142" i="15"/>
  <c r="U146" i="15" s="1"/>
  <c r="U147" i="15" s="1"/>
  <c r="W123" i="15"/>
  <c r="U127" i="15" s="1"/>
  <c r="W132" i="15"/>
  <c r="U132" i="15"/>
  <c r="U133" i="15" s="1"/>
  <c r="W127" i="15"/>
  <c r="W113" i="15"/>
  <c r="U113" i="15"/>
  <c r="U114" i="15" s="1"/>
  <c r="W108" i="15"/>
  <c r="W104" i="15"/>
  <c r="U108" i="15" s="1"/>
  <c r="U109" i="15" s="1"/>
  <c r="W89" i="15"/>
  <c r="W94" i="15"/>
  <c r="U94" i="15"/>
  <c r="U95" i="15" s="1"/>
  <c r="W85" i="15"/>
  <c r="U89" i="15" s="1"/>
  <c r="U90" i="15" s="1"/>
  <c r="Y70" i="15"/>
  <c r="W71" i="15"/>
  <c r="Y71" i="15" s="1"/>
  <c r="U75" i="15"/>
  <c r="U76" i="15" s="1"/>
  <c r="W75" i="15"/>
  <c r="W66" i="15"/>
  <c r="U70" i="15" s="1"/>
  <c r="W18" i="15"/>
  <c r="U18" i="15"/>
  <c r="U19" i="15" s="1"/>
  <c r="W9" i="15"/>
  <c r="U13" i="15" s="1"/>
  <c r="U170" i="9"/>
  <c r="W161" i="9"/>
  <c r="U165" i="9" s="1"/>
  <c r="V146" i="9"/>
  <c r="U147" i="9"/>
  <c r="X142" i="9"/>
  <c r="W151" i="9"/>
  <c r="U151" i="9"/>
  <c r="U132" i="9"/>
  <c r="U133" i="9" s="1"/>
  <c r="W123" i="9"/>
  <c r="U127" i="9" s="1"/>
  <c r="U113" i="9"/>
  <c r="W113" i="9"/>
  <c r="U95" i="9"/>
  <c r="V94" i="9"/>
  <c r="W85" i="9"/>
  <c r="U89" i="9" s="1"/>
  <c r="W94" i="9"/>
  <c r="Y70" i="9"/>
  <c r="W71" i="9"/>
  <c r="Y71" i="9" s="1"/>
  <c r="W66" i="9"/>
  <c r="U70" i="9" s="1"/>
  <c r="U75" i="9"/>
  <c r="U76" i="9" s="1"/>
  <c r="W9" i="9"/>
  <c r="U13" i="9" s="1"/>
  <c r="W18" i="9"/>
  <c r="J16" i="9"/>
  <c r="R169" i="10"/>
  <c r="R168" i="10"/>
  <c r="R167" i="10"/>
  <c r="U160" i="10" s="1"/>
  <c r="R166" i="10"/>
  <c r="W160" i="10" s="1"/>
  <c r="R165" i="10"/>
  <c r="V160" i="10" s="1"/>
  <c r="R164" i="10"/>
  <c r="R163" i="10"/>
  <c r="R162" i="10"/>
  <c r="U159" i="10" s="1"/>
  <c r="R161" i="10"/>
  <c r="R160" i="10"/>
  <c r="V159" i="10" s="1"/>
  <c r="R159" i="10"/>
  <c r="R158" i="10"/>
  <c r="R157" i="10"/>
  <c r="R156" i="10"/>
  <c r="W159" i="10" s="1"/>
  <c r="R155" i="10"/>
  <c r="R150" i="10"/>
  <c r="R149" i="10"/>
  <c r="R148" i="10"/>
  <c r="U141" i="10" s="1"/>
  <c r="R147" i="10"/>
  <c r="W141" i="10" s="1"/>
  <c r="R146" i="10"/>
  <c r="V141" i="10" s="1"/>
  <c r="R145" i="10"/>
  <c r="R144" i="10"/>
  <c r="R143" i="10"/>
  <c r="U140" i="10" s="1"/>
  <c r="R142" i="10"/>
  <c r="R141" i="10"/>
  <c r="V140" i="10" s="1"/>
  <c r="R140" i="10"/>
  <c r="R139" i="10"/>
  <c r="R138" i="10"/>
  <c r="R137" i="10"/>
  <c r="W140" i="10" s="1"/>
  <c r="R136" i="10"/>
  <c r="R131" i="10"/>
  <c r="R130" i="10"/>
  <c r="R129" i="10"/>
  <c r="U122" i="10" s="1"/>
  <c r="R128" i="10"/>
  <c r="W122" i="10" s="1"/>
  <c r="R127" i="10"/>
  <c r="V122" i="10" s="1"/>
  <c r="R126" i="10"/>
  <c r="R125" i="10"/>
  <c r="R124" i="10"/>
  <c r="U121" i="10" s="1"/>
  <c r="R123" i="10"/>
  <c r="R122" i="10"/>
  <c r="V121" i="10" s="1"/>
  <c r="R121" i="10"/>
  <c r="R120" i="10"/>
  <c r="R119" i="10"/>
  <c r="R118" i="10"/>
  <c r="W121" i="10" s="1"/>
  <c r="R117" i="10"/>
  <c r="R112" i="10"/>
  <c r="R111" i="10"/>
  <c r="R110" i="10"/>
  <c r="U103" i="10" s="1"/>
  <c r="R109" i="10"/>
  <c r="W103" i="10" s="1"/>
  <c r="R108" i="10"/>
  <c r="V103" i="10" s="1"/>
  <c r="R107" i="10"/>
  <c r="R106" i="10"/>
  <c r="R105" i="10"/>
  <c r="U102" i="10" s="1"/>
  <c r="R104" i="10"/>
  <c r="R103" i="10"/>
  <c r="V102" i="10" s="1"/>
  <c r="R102" i="10"/>
  <c r="R101" i="10"/>
  <c r="R100" i="10"/>
  <c r="R99" i="10"/>
  <c r="W102" i="10" s="1"/>
  <c r="R98" i="10"/>
  <c r="R93" i="10"/>
  <c r="R92" i="10"/>
  <c r="R91" i="10"/>
  <c r="U84" i="10" s="1"/>
  <c r="R90" i="10"/>
  <c r="W84" i="10" s="1"/>
  <c r="R89" i="10"/>
  <c r="V84" i="10" s="1"/>
  <c r="R88" i="10"/>
  <c r="R87" i="10"/>
  <c r="R86" i="10"/>
  <c r="U83" i="10" s="1"/>
  <c r="R85" i="10"/>
  <c r="R84" i="10"/>
  <c r="V83" i="10" s="1"/>
  <c r="R83" i="10"/>
  <c r="R82" i="10"/>
  <c r="R81" i="10"/>
  <c r="R80" i="10"/>
  <c r="W83" i="10" s="1"/>
  <c r="R79" i="10"/>
  <c r="R74" i="10"/>
  <c r="R73" i="10"/>
  <c r="R72" i="10"/>
  <c r="U65" i="10" s="1"/>
  <c r="R71" i="10"/>
  <c r="W65" i="10" s="1"/>
  <c r="R70" i="10"/>
  <c r="V65" i="10" s="1"/>
  <c r="R69" i="10"/>
  <c r="R68" i="10"/>
  <c r="R67" i="10"/>
  <c r="U64" i="10" s="1"/>
  <c r="R66" i="10"/>
  <c r="R65" i="10"/>
  <c r="V64" i="10" s="1"/>
  <c r="R64" i="10"/>
  <c r="R63" i="10"/>
  <c r="R62" i="10"/>
  <c r="R61" i="10"/>
  <c r="W64" i="10" s="1"/>
  <c r="R60" i="10"/>
  <c r="R17" i="10"/>
  <c r="R16" i="10"/>
  <c r="R15" i="10"/>
  <c r="U8" i="10" s="1"/>
  <c r="R14" i="10"/>
  <c r="W8" i="10" s="1"/>
  <c r="R13" i="10"/>
  <c r="V8" i="10" s="1"/>
  <c r="R12" i="10"/>
  <c r="R11" i="10"/>
  <c r="R10" i="10"/>
  <c r="U7" i="10" s="1"/>
  <c r="R9" i="10"/>
  <c r="R8" i="10"/>
  <c r="V7" i="10" s="1"/>
  <c r="R7" i="10"/>
  <c r="R6" i="10"/>
  <c r="R5" i="10"/>
  <c r="R4" i="10"/>
  <c r="W7" i="10" s="1"/>
  <c r="R3" i="10"/>
  <c r="J16" i="10"/>
  <c r="R17" i="11"/>
  <c r="R16" i="11"/>
  <c r="R15" i="11"/>
  <c r="U8" i="11" s="1"/>
  <c r="R14" i="11"/>
  <c r="W8" i="11" s="1"/>
  <c r="R13" i="11"/>
  <c r="V8" i="11" s="1"/>
  <c r="R12" i="11"/>
  <c r="R11" i="11"/>
  <c r="R10" i="11"/>
  <c r="U7" i="11" s="1"/>
  <c r="R9" i="11"/>
  <c r="R8" i="11"/>
  <c r="V7" i="11" s="1"/>
  <c r="R7" i="11"/>
  <c r="R6" i="11"/>
  <c r="R5" i="11"/>
  <c r="R4" i="11"/>
  <c r="W7" i="11" s="1"/>
  <c r="R3" i="11"/>
  <c r="R150" i="11"/>
  <c r="R149" i="11"/>
  <c r="R148" i="11"/>
  <c r="U141" i="11" s="1"/>
  <c r="R147" i="11"/>
  <c r="W141" i="11" s="1"/>
  <c r="R146" i="11"/>
  <c r="V141" i="11" s="1"/>
  <c r="R145" i="11"/>
  <c r="R144" i="11"/>
  <c r="R143" i="11"/>
  <c r="U140" i="11" s="1"/>
  <c r="R142" i="11"/>
  <c r="R141" i="11"/>
  <c r="V140" i="11" s="1"/>
  <c r="R140" i="11"/>
  <c r="R139" i="11"/>
  <c r="R138" i="11"/>
  <c r="R137" i="11"/>
  <c r="W140" i="11" s="1"/>
  <c r="R136" i="11"/>
  <c r="R169" i="11"/>
  <c r="R168" i="11"/>
  <c r="R167" i="11"/>
  <c r="U160" i="11" s="1"/>
  <c r="R166" i="11"/>
  <c r="W160" i="11" s="1"/>
  <c r="R165" i="11"/>
  <c r="V160" i="11" s="1"/>
  <c r="R164" i="11"/>
  <c r="R163" i="11"/>
  <c r="R162" i="11"/>
  <c r="U159" i="11" s="1"/>
  <c r="R161" i="11"/>
  <c r="R160" i="11"/>
  <c r="V159" i="11" s="1"/>
  <c r="R159" i="11"/>
  <c r="R158" i="11"/>
  <c r="R157" i="11"/>
  <c r="R156" i="11"/>
  <c r="W159" i="11" s="1"/>
  <c r="R155" i="11"/>
  <c r="R131" i="11"/>
  <c r="R130" i="11"/>
  <c r="R129" i="11"/>
  <c r="U122" i="11" s="1"/>
  <c r="R128" i="11"/>
  <c r="W122" i="11" s="1"/>
  <c r="R127" i="11"/>
  <c r="V122" i="11" s="1"/>
  <c r="R126" i="11"/>
  <c r="R125" i="11"/>
  <c r="R124" i="11"/>
  <c r="U121" i="11" s="1"/>
  <c r="R123" i="11"/>
  <c r="R122" i="11"/>
  <c r="V121" i="11" s="1"/>
  <c r="R121" i="11"/>
  <c r="R120" i="11"/>
  <c r="R119" i="11"/>
  <c r="R118" i="11"/>
  <c r="W121" i="11" s="1"/>
  <c r="R117" i="11"/>
  <c r="R112" i="11"/>
  <c r="R111" i="11"/>
  <c r="R110" i="11"/>
  <c r="U103" i="11" s="1"/>
  <c r="R109" i="11"/>
  <c r="W103" i="11" s="1"/>
  <c r="R108" i="11"/>
  <c r="V103" i="11" s="1"/>
  <c r="R107" i="11"/>
  <c r="R106" i="11"/>
  <c r="R105" i="11"/>
  <c r="U102" i="11" s="1"/>
  <c r="R104" i="11"/>
  <c r="R103" i="11"/>
  <c r="V102" i="11" s="1"/>
  <c r="R102" i="11"/>
  <c r="R101" i="11"/>
  <c r="R100" i="11"/>
  <c r="R99" i="11"/>
  <c r="W102" i="11" s="1"/>
  <c r="R98" i="11"/>
  <c r="R93" i="11"/>
  <c r="R92" i="11"/>
  <c r="R91" i="11"/>
  <c r="U84" i="11" s="1"/>
  <c r="R90" i="11"/>
  <c r="W84" i="11" s="1"/>
  <c r="R89" i="11"/>
  <c r="V84" i="11" s="1"/>
  <c r="R88" i="11"/>
  <c r="R87" i="11"/>
  <c r="R86" i="11"/>
  <c r="U83" i="11" s="1"/>
  <c r="R85" i="11"/>
  <c r="R84" i="11"/>
  <c r="V83" i="11" s="1"/>
  <c r="R83" i="11"/>
  <c r="R82" i="11"/>
  <c r="R81" i="11"/>
  <c r="R80" i="11"/>
  <c r="W83" i="11" s="1"/>
  <c r="R79" i="11"/>
  <c r="R74" i="11"/>
  <c r="R73" i="11"/>
  <c r="R72" i="11"/>
  <c r="U65" i="11" s="1"/>
  <c r="R71" i="11"/>
  <c r="W65" i="11" s="1"/>
  <c r="R70" i="11"/>
  <c r="V65" i="11" s="1"/>
  <c r="R69" i="11"/>
  <c r="R68" i="11"/>
  <c r="R67" i="11"/>
  <c r="U64" i="11" s="1"/>
  <c r="R66" i="11"/>
  <c r="R65" i="11"/>
  <c r="V64" i="11" s="1"/>
  <c r="R64" i="11"/>
  <c r="R63" i="11"/>
  <c r="R62" i="11"/>
  <c r="R61" i="11"/>
  <c r="W64" i="11" s="1"/>
  <c r="R60" i="11"/>
  <c r="R93" i="14"/>
  <c r="S93" i="14" s="1"/>
  <c r="U93" i="14" s="1"/>
  <c r="O93" i="14"/>
  <c r="N93" i="14" s="1"/>
  <c r="M93" i="14"/>
  <c r="F93" i="14"/>
  <c r="R92" i="14"/>
  <c r="S92" i="14" s="1"/>
  <c r="U92" i="14" s="1"/>
  <c r="O92" i="14"/>
  <c r="N92" i="14" s="1"/>
  <c r="M92" i="14"/>
  <c r="F92" i="14"/>
  <c r="R91" i="14"/>
  <c r="S91" i="14" s="1"/>
  <c r="U91" i="14" s="1"/>
  <c r="O91" i="14"/>
  <c r="N91" i="14" s="1"/>
  <c r="M91" i="14"/>
  <c r="F91" i="14"/>
  <c r="R90" i="14"/>
  <c r="S90" i="14" s="1"/>
  <c r="U90" i="14" s="1"/>
  <c r="O90" i="14"/>
  <c r="N90" i="14" s="1"/>
  <c r="M90" i="14"/>
  <c r="F90" i="14"/>
  <c r="R89" i="14"/>
  <c r="S89" i="14" s="1"/>
  <c r="U89" i="14" s="1"/>
  <c r="O89" i="14"/>
  <c r="N89" i="14" s="1"/>
  <c r="M89" i="14"/>
  <c r="F89" i="14"/>
  <c r="V88" i="14"/>
  <c r="R88" i="14"/>
  <c r="S88" i="14" s="1"/>
  <c r="F88" i="14"/>
  <c r="V87" i="14"/>
  <c r="R87" i="14"/>
  <c r="S87" i="14" s="1"/>
  <c r="U87" i="14" s="1"/>
  <c r="F87" i="14"/>
  <c r="V86" i="14"/>
  <c r="R86" i="14"/>
  <c r="S86" i="14" s="1"/>
  <c r="U86" i="14" s="1"/>
  <c r="F86" i="14"/>
  <c r="V85" i="14"/>
  <c r="R85" i="14"/>
  <c r="S85" i="14" s="1"/>
  <c r="U85" i="14" s="1"/>
  <c r="F85" i="14"/>
  <c r="V84" i="14"/>
  <c r="R84" i="14"/>
  <c r="S84" i="14" s="1"/>
  <c r="F84" i="14"/>
  <c r="V83" i="14"/>
  <c r="R83" i="14"/>
  <c r="S83" i="14" s="1"/>
  <c r="U83" i="14" s="1"/>
  <c r="F83" i="14"/>
  <c r="V82" i="14"/>
  <c r="R82" i="14"/>
  <c r="S82" i="14" s="1"/>
  <c r="U82" i="14" s="1"/>
  <c r="F82" i="14"/>
  <c r="V81" i="14"/>
  <c r="R81" i="14"/>
  <c r="S81" i="14" s="1"/>
  <c r="U81" i="14" s="1"/>
  <c r="F81" i="14"/>
  <c r="V80" i="14"/>
  <c r="R80" i="14"/>
  <c r="S80" i="14" s="1"/>
  <c r="F80" i="14"/>
  <c r="V79" i="14"/>
  <c r="R79" i="14"/>
  <c r="S79" i="14" s="1"/>
  <c r="U79" i="14" s="1"/>
  <c r="O79" i="14"/>
  <c r="N79" i="14" s="1"/>
  <c r="M79" i="14"/>
  <c r="F79" i="14"/>
  <c r="V78" i="14"/>
  <c r="R78" i="14"/>
  <c r="S78" i="14" s="1"/>
  <c r="O78" i="14"/>
  <c r="N78" i="14" s="1"/>
  <c r="M78" i="14"/>
  <c r="F78" i="14"/>
  <c r="V77" i="14"/>
  <c r="R77" i="14"/>
  <c r="S77" i="14" s="1"/>
  <c r="U77" i="14" s="1"/>
  <c r="O77" i="14"/>
  <c r="N77" i="14" s="1"/>
  <c r="M77" i="14"/>
  <c r="F77" i="14"/>
  <c r="V76" i="14"/>
  <c r="R76" i="14"/>
  <c r="S76" i="14" s="1"/>
  <c r="U76" i="14" s="1"/>
  <c r="O76" i="14"/>
  <c r="N76" i="14" s="1"/>
  <c r="M76" i="14"/>
  <c r="F76" i="14"/>
  <c r="V75" i="14"/>
  <c r="R75" i="14"/>
  <c r="S75" i="14" s="1"/>
  <c r="U75" i="14" s="1"/>
  <c r="O75" i="14"/>
  <c r="N75" i="14" s="1"/>
  <c r="M75" i="14"/>
  <c r="F75" i="14"/>
  <c r="V74" i="14"/>
  <c r="R74" i="14"/>
  <c r="S74" i="14" s="1"/>
  <c r="O74" i="14"/>
  <c r="N74" i="14" s="1"/>
  <c r="M74" i="14"/>
  <c r="F74" i="14"/>
  <c r="V73" i="14"/>
  <c r="R73" i="14"/>
  <c r="S73" i="14" s="1"/>
  <c r="O73" i="14"/>
  <c r="N73" i="14" s="1"/>
  <c r="M73" i="14"/>
  <c r="F73" i="14"/>
  <c r="V72" i="14"/>
  <c r="R72" i="14"/>
  <c r="S72" i="14" s="1"/>
  <c r="U72" i="14" s="1"/>
  <c r="O72" i="14"/>
  <c r="N72" i="14" s="1"/>
  <c r="M72" i="14"/>
  <c r="F72" i="14"/>
  <c r="V71" i="14"/>
  <c r="R71" i="14"/>
  <c r="S71" i="14" s="1"/>
  <c r="U71" i="14" s="1"/>
  <c r="O71" i="14"/>
  <c r="N71" i="14" s="1"/>
  <c r="M71" i="14"/>
  <c r="F71" i="14"/>
  <c r="V70" i="14"/>
  <c r="R70" i="14"/>
  <c r="S70" i="14" s="1"/>
  <c r="O70" i="14"/>
  <c r="N70" i="14" s="1"/>
  <c r="M70" i="14"/>
  <c r="F70" i="14"/>
  <c r="V69" i="14"/>
  <c r="R69" i="14"/>
  <c r="S69" i="14" s="1"/>
  <c r="O69" i="14"/>
  <c r="N69" i="14" s="1"/>
  <c r="M69" i="14"/>
  <c r="F69" i="14"/>
  <c r="V68" i="14"/>
  <c r="R68" i="14"/>
  <c r="S68" i="14" s="1"/>
  <c r="U68" i="14" s="1"/>
  <c r="O68" i="14"/>
  <c r="N68" i="14" s="1"/>
  <c r="M68" i="14"/>
  <c r="F68" i="14"/>
  <c r="V67" i="14"/>
  <c r="R67" i="14"/>
  <c r="S67" i="14" s="1"/>
  <c r="U67" i="14" s="1"/>
  <c r="O67" i="14"/>
  <c r="N67" i="14" s="1"/>
  <c r="M67" i="14"/>
  <c r="F67" i="14"/>
  <c r="V66" i="14"/>
  <c r="R66" i="14"/>
  <c r="S66" i="14" s="1"/>
  <c r="O66" i="14"/>
  <c r="N66" i="14" s="1"/>
  <c r="M66" i="14"/>
  <c r="F66" i="14"/>
  <c r="V65" i="14"/>
  <c r="R65" i="14"/>
  <c r="S65" i="14" s="1"/>
  <c r="O65" i="14"/>
  <c r="N65" i="14" s="1"/>
  <c r="M65" i="14"/>
  <c r="F65" i="14"/>
  <c r="V64" i="14"/>
  <c r="R64" i="14"/>
  <c r="S64" i="14" s="1"/>
  <c r="U64" i="14" s="1"/>
  <c r="O64" i="14"/>
  <c r="N64" i="14" s="1"/>
  <c r="M64" i="14"/>
  <c r="F64" i="14"/>
  <c r="V63" i="14"/>
  <c r="R63" i="14"/>
  <c r="S63" i="14" s="1"/>
  <c r="U63" i="14" s="1"/>
  <c r="O63" i="14"/>
  <c r="N63" i="14" s="1"/>
  <c r="M63" i="14"/>
  <c r="F63" i="14"/>
  <c r="V62" i="14"/>
  <c r="R62" i="14"/>
  <c r="S62" i="14" s="1"/>
  <c r="O62" i="14"/>
  <c r="N62" i="14" s="1"/>
  <c r="M62" i="14"/>
  <c r="F62" i="14"/>
  <c r="V61" i="14"/>
  <c r="R61" i="14"/>
  <c r="S61" i="14" s="1"/>
  <c r="O61" i="14"/>
  <c r="N61" i="14" s="1"/>
  <c r="M61" i="14"/>
  <c r="F61" i="14"/>
  <c r="V60" i="14"/>
  <c r="R60" i="14"/>
  <c r="S60" i="14" s="1"/>
  <c r="U60" i="14" s="1"/>
  <c r="O60" i="14"/>
  <c r="N60" i="14" s="1"/>
  <c r="M60" i="14"/>
  <c r="F60" i="14"/>
  <c r="V56" i="14"/>
  <c r="R56" i="14"/>
  <c r="S56" i="14" s="1"/>
  <c r="U56" i="14" s="1"/>
  <c r="O56" i="14"/>
  <c r="N56" i="14" s="1"/>
  <c r="M56" i="14"/>
  <c r="F56" i="14"/>
  <c r="V55" i="14"/>
  <c r="R55" i="14"/>
  <c r="S55" i="14" s="1"/>
  <c r="O55" i="14"/>
  <c r="N55" i="14" s="1"/>
  <c r="M55" i="14"/>
  <c r="F55" i="14"/>
  <c r="V54" i="14"/>
  <c r="R54" i="14"/>
  <c r="S54" i="14" s="1"/>
  <c r="O54" i="14"/>
  <c r="N54" i="14" s="1"/>
  <c r="M54" i="14"/>
  <c r="F54" i="14"/>
  <c r="V53" i="14"/>
  <c r="R53" i="14"/>
  <c r="S53" i="14" s="1"/>
  <c r="U53" i="14" s="1"/>
  <c r="O53" i="14"/>
  <c r="N53" i="14" s="1"/>
  <c r="M53" i="14"/>
  <c r="F53" i="14"/>
  <c r="V52" i="14"/>
  <c r="R52" i="14"/>
  <c r="S52" i="14" s="1"/>
  <c r="U52" i="14" s="1"/>
  <c r="O52" i="14"/>
  <c r="N52" i="14" s="1"/>
  <c r="M52" i="14"/>
  <c r="F52" i="14"/>
  <c r="V51" i="14"/>
  <c r="R51" i="14"/>
  <c r="S51" i="14" s="1"/>
  <c r="O51" i="14"/>
  <c r="N51" i="14" s="1"/>
  <c r="M51" i="14"/>
  <c r="F51" i="14"/>
  <c r="V50" i="14"/>
  <c r="R50" i="14"/>
  <c r="S50" i="14" s="1"/>
  <c r="O50" i="14"/>
  <c r="N50" i="14" s="1"/>
  <c r="M50" i="14"/>
  <c r="F50" i="14"/>
  <c r="V49" i="14"/>
  <c r="R49" i="14"/>
  <c r="S49" i="14" s="1"/>
  <c r="U49" i="14" s="1"/>
  <c r="O49" i="14"/>
  <c r="N49" i="14" s="1"/>
  <c r="M49" i="14"/>
  <c r="F49" i="14"/>
  <c r="V48" i="14"/>
  <c r="R48" i="14"/>
  <c r="S48" i="14" s="1"/>
  <c r="U48" i="14" s="1"/>
  <c r="O48" i="14"/>
  <c r="N48" i="14" s="1"/>
  <c r="M48" i="14"/>
  <c r="F48" i="14"/>
  <c r="V47" i="14"/>
  <c r="R47" i="14"/>
  <c r="S47" i="14" s="1"/>
  <c r="O47" i="14"/>
  <c r="N47" i="14" s="1"/>
  <c r="M47" i="14"/>
  <c r="F47" i="14"/>
  <c r="V46" i="14"/>
  <c r="R46" i="14"/>
  <c r="S46" i="14" s="1"/>
  <c r="O46" i="14"/>
  <c r="N46" i="14" s="1"/>
  <c r="M46" i="14"/>
  <c r="F46" i="14"/>
  <c r="V45" i="14"/>
  <c r="R45" i="14"/>
  <c r="S45" i="14" s="1"/>
  <c r="U45" i="14" s="1"/>
  <c r="O45" i="14"/>
  <c r="N45" i="14" s="1"/>
  <c r="M45" i="14"/>
  <c r="F45" i="14"/>
  <c r="V44" i="14"/>
  <c r="R44" i="14"/>
  <c r="S44" i="14" s="1"/>
  <c r="U44" i="14" s="1"/>
  <c r="O44" i="14"/>
  <c r="N44" i="14" s="1"/>
  <c r="M44" i="14"/>
  <c r="F44" i="14"/>
  <c r="V43" i="14"/>
  <c r="R43" i="14"/>
  <c r="S43" i="14" s="1"/>
  <c r="O43" i="14"/>
  <c r="N43" i="14" s="1"/>
  <c r="M43" i="14"/>
  <c r="F43" i="14"/>
  <c r="V42" i="14"/>
  <c r="R42" i="14"/>
  <c r="S42" i="14" s="1"/>
  <c r="O42" i="14"/>
  <c r="N42" i="14" s="1"/>
  <c r="M42" i="14"/>
  <c r="F42" i="14"/>
  <c r="V41" i="14"/>
  <c r="R41" i="14"/>
  <c r="S41" i="14" s="1"/>
  <c r="U41" i="14" s="1"/>
  <c r="O41" i="14"/>
  <c r="N41" i="14" s="1"/>
  <c r="M41" i="14"/>
  <c r="F41" i="14"/>
  <c r="V40" i="14"/>
  <c r="R40" i="14"/>
  <c r="S40" i="14" s="1"/>
  <c r="U40" i="14" s="1"/>
  <c r="O40" i="14"/>
  <c r="N40" i="14" s="1"/>
  <c r="M40" i="14"/>
  <c r="F40" i="14"/>
  <c r="V39" i="14"/>
  <c r="R39" i="14"/>
  <c r="S39" i="14" s="1"/>
  <c r="O39" i="14"/>
  <c r="N39" i="14" s="1"/>
  <c r="M39" i="14"/>
  <c r="F39" i="14"/>
  <c r="V38" i="14"/>
  <c r="R38" i="14"/>
  <c r="S38" i="14" s="1"/>
  <c r="O38" i="14"/>
  <c r="N38" i="14" s="1"/>
  <c r="M38" i="14"/>
  <c r="F38" i="14"/>
  <c r="V37" i="14"/>
  <c r="R37" i="14"/>
  <c r="S37" i="14" s="1"/>
  <c r="U37" i="14" s="1"/>
  <c r="O37" i="14"/>
  <c r="N37" i="14" s="1"/>
  <c r="M37" i="14"/>
  <c r="F37" i="14"/>
  <c r="V36" i="14"/>
  <c r="R36" i="14"/>
  <c r="S36" i="14" s="1"/>
  <c r="U36" i="14" s="1"/>
  <c r="O36" i="14"/>
  <c r="N36" i="14" s="1"/>
  <c r="M36" i="14"/>
  <c r="F36" i="14"/>
  <c r="V35" i="14"/>
  <c r="R35" i="14"/>
  <c r="S35" i="14" s="1"/>
  <c r="O35" i="14"/>
  <c r="N35" i="14" s="1"/>
  <c r="M35" i="14"/>
  <c r="F35" i="14"/>
  <c r="V34" i="14"/>
  <c r="R34" i="14"/>
  <c r="S34" i="14" s="1"/>
  <c r="O34" i="14"/>
  <c r="N34" i="14" s="1"/>
  <c r="M34" i="14"/>
  <c r="F34" i="14"/>
  <c r="V33" i="14"/>
  <c r="R33" i="14"/>
  <c r="S33" i="14" s="1"/>
  <c r="U33" i="14" s="1"/>
  <c r="O33" i="14"/>
  <c r="N33" i="14" s="1"/>
  <c r="M33" i="14"/>
  <c r="F33" i="14"/>
  <c r="V32" i="14"/>
  <c r="R32" i="14"/>
  <c r="S32" i="14" s="1"/>
  <c r="U32" i="14" s="1"/>
  <c r="O32" i="14"/>
  <c r="N32" i="14" s="1"/>
  <c r="M32" i="14"/>
  <c r="F32" i="14"/>
  <c r="V59" i="14"/>
  <c r="R59" i="14"/>
  <c r="S59" i="14" s="1"/>
  <c r="O59" i="14"/>
  <c r="N59" i="14" s="1"/>
  <c r="M59" i="14"/>
  <c r="F59" i="14"/>
  <c r="V58" i="14"/>
  <c r="R58" i="14"/>
  <c r="S58" i="14" s="1"/>
  <c r="O58" i="14"/>
  <c r="N58" i="14" s="1"/>
  <c r="M58" i="14"/>
  <c r="F58" i="14"/>
  <c r="V57" i="14"/>
  <c r="R57" i="14"/>
  <c r="S57" i="14" s="1"/>
  <c r="U57" i="14" s="1"/>
  <c r="O57" i="14"/>
  <c r="N57" i="14" s="1"/>
  <c r="M57" i="14"/>
  <c r="F57" i="14"/>
  <c r="V31" i="14"/>
  <c r="R31" i="14"/>
  <c r="S31" i="14" s="1"/>
  <c r="U31" i="14" s="1"/>
  <c r="O31" i="14"/>
  <c r="N31" i="14" s="1"/>
  <c r="M31" i="14"/>
  <c r="F31" i="14"/>
  <c r="V19" i="14"/>
  <c r="R19" i="14"/>
  <c r="S19" i="14" s="1"/>
  <c r="O19" i="14"/>
  <c r="N19" i="14" s="1"/>
  <c r="M19" i="14"/>
  <c r="F19" i="14"/>
  <c r="R18" i="14"/>
  <c r="S18" i="14" s="1"/>
  <c r="O18" i="14"/>
  <c r="N18" i="14" s="1"/>
  <c r="M18" i="14"/>
  <c r="V17" i="14"/>
  <c r="R17" i="14"/>
  <c r="S17" i="14" s="1"/>
  <c r="U17" i="14" s="1"/>
  <c r="O17" i="14"/>
  <c r="N17" i="14" s="1"/>
  <c r="M17" i="14"/>
  <c r="F17" i="14"/>
  <c r="V16" i="14"/>
  <c r="R16" i="14"/>
  <c r="S16" i="14" s="1"/>
  <c r="U16" i="14" s="1"/>
  <c r="O16" i="14"/>
  <c r="N16" i="14" s="1"/>
  <c r="M16" i="14"/>
  <c r="F16" i="14"/>
  <c r="V15" i="14"/>
  <c r="R15" i="14"/>
  <c r="S15" i="14" s="1"/>
  <c r="O15" i="14"/>
  <c r="N15" i="14" s="1"/>
  <c r="M15" i="14"/>
  <c r="F15" i="14"/>
  <c r="V14" i="14"/>
  <c r="R14" i="14"/>
  <c r="S14" i="14" s="1"/>
  <c r="O14" i="14"/>
  <c r="N14" i="14" s="1"/>
  <c r="M14" i="14"/>
  <c r="F14" i="14"/>
  <c r="V13" i="14"/>
  <c r="R13" i="14"/>
  <c r="S13" i="14" s="1"/>
  <c r="U13" i="14" s="1"/>
  <c r="O13" i="14"/>
  <c r="N13" i="14" s="1"/>
  <c r="M13" i="14"/>
  <c r="F13" i="14"/>
  <c r="V12" i="14"/>
  <c r="R12" i="14"/>
  <c r="S12" i="14" s="1"/>
  <c r="U12" i="14" s="1"/>
  <c r="O12" i="14"/>
  <c r="N12" i="14" s="1"/>
  <c r="M12" i="14"/>
  <c r="F12" i="14"/>
  <c r="V11" i="14"/>
  <c r="R11" i="14"/>
  <c r="S11" i="14" s="1"/>
  <c r="O11" i="14"/>
  <c r="N11" i="14" s="1"/>
  <c r="M11" i="14"/>
  <c r="F11" i="14"/>
  <c r="V10" i="14"/>
  <c r="R10" i="14"/>
  <c r="S10" i="14" s="1"/>
  <c r="O10" i="14"/>
  <c r="N10" i="14" s="1"/>
  <c r="M10" i="14"/>
  <c r="F10" i="14"/>
  <c r="R5" i="14"/>
  <c r="S5" i="14" s="1"/>
  <c r="U5" i="14" s="1"/>
  <c r="O5" i="14"/>
  <c r="N5" i="14" s="1"/>
  <c r="M5" i="14"/>
  <c r="R4" i="14"/>
  <c r="S4" i="14" s="1"/>
  <c r="U4" i="14" s="1"/>
  <c r="O4" i="14"/>
  <c r="N4" i="14" s="1"/>
  <c r="M4" i="14"/>
  <c r="Y56" i="15"/>
  <c r="X189" i="11"/>
  <c r="Y132" i="9"/>
  <c r="Y170" i="15"/>
  <c r="Y18" i="11"/>
  <c r="Y132" i="10"/>
  <c r="Y113" i="15"/>
  <c r="Y75" i="15"/>
  <c r="Y151" i="9"/>
  <c r="Y56" i="9"/>
  <c r="Y94" i="15"/>
  <c r="X132" i="10"/>
  <c r="Y189" i="15"/>
  <c r="Y94" i="9"/>
  <c r="X132" i="11"/>
  <c r="Y56" i="11"/>
  <c r="Y75" i="9"/>
  <c r="Y113" i="11"/>
  <c r="Y94" i="10"/>
  <c r="Y75" i="11"/>
  <c r="Y151" i="15"/>
  <c r="X132" i="9"/>
  <c r="Y18" i="9"/>
  <c r="Y170" i="9"/>
  <c r="Y113" i="9"/>
  <c r="X18" i="10"/>
  <c r="Y132" i="11"/>
  <c r="Y132" i="15"/>
  <c r="X94" i="9"/>
  <c r="J18" i="15"/>
  <c r="X189" i="10"/>
  <c r="Y113" i="10"/>
  <c r="Y189" i="9"/>
  <c r="Y18" i="15"/>
  <c r="Y94" i="11"/>
  <c r="P15" i="16" l="1"/>
  <c r="O15" i="16"/>
  <c r="L15" i="16"/>
  <c r="M15" i="16" s="1"/>
  <c r="N10" i="16"/>
  <c r="N11" i="16"/>
  <c r="P10" i="16"/>
  <c r="O10" i="16"/>
  <c r="N8" i="16"/>
  <c r="P8" i="16" s="1"/>
  <c r="N9" i="16"/>
  <c r="K28" i="22"/>
  <c r="H27" i="22"/>
  <c r="W127" i="11"/>
  <c r="Y127" i="11" s="1"/>
  <c r="U151" i="11"/>
  <c r="W146" i="10"/>
  <c r="Y13" i="15"/>
  <c r="W85" i="11"/>
  <c r="U89" i="11" s="1"/>
  <c r="U90" i="11" s="1"/>
  <c r="W70" i="10"/>
  <c r="W104" i="10"/>
  <c r="U108" i="10" s="1"/>
  <c r="U109" i="10" s="1"/>
  <c r="U170" i="10"/>
  <c r="U171" i="10" s="1"/>
  <c r="Z171" i="10" s="1"/>
  <c r="V132" i="9"/>
  <c r="J29" i="22"/>
  <c r="J28" i="22"/>
  <c r="J30" i="22"/>
  <c r="C27" i="22"/>
  <c r="AG340" i="10"/>
  <c r="AG341" i="10"/>
  <c r="AG342" i="10"/>
  <c r="C29" i="22"/>
  <c r="AG344" i="10"/>
  <c r="AG343" i="10"/>
  <c r="AG345" i="10"/>
  <c r="I31" i="22"/>
  <c r="H30" i="22"/>
  <c r="H28" i="22"/>
  <c r="H29" i="22"/>
  <c r="C10" i="22"/>
  <c r="V108" i="9"/>
  <c r="C26" i="22"/>
  <c r="I26" i="22" s="1"/>
  <c r="C28" i="22"/>
  <c r="K29" i="22"/>
  <c r="W89" i="11"/>
  <c r="U113" i="11"/>
  <c r="W108" i="10"/>
  <c r="Y108" i="10" s="1"/>
  <c r="W123" i="10"/>
  <c r="U127" i="10" s="1"/>
  <c r="Y127" i="9"/>
  <c r="W185" i="15"/>
  <c r="Y185" i="15" s="1"/>
  <c r="C30" i="22"/>
  <c r="I30" i="22" s="1"/>
  <c r="X104" i="9"/>
  <c r="C9" i="22"/>
  <c r="K30" i="22"/>
  <c r="W9" i="10"/>
  <c r="U13" i="10" s="1"/>
  <c r="V89" i="11"/>
  <c r="V90" i="11" s="1"/>
  <c r="X90" i="11" s="1"/>
  <c r="AB90" i="11" s="1"/>
  <c r="W170" i="11"/>
  <c r="W171" i="11" s="1"/>
  <c r="W13" i="11"/>
  <c r="Y13" i="11" s="1"/>
  <c r="U132" i="11"/>
  <c r="U133" i="11" s="1"/>
  <c r="U151" i="10"/>
  <c r="W14" i="9"/>
  <c r="Y14" i="9" s="1"/>
  <c r="Z109" i="9"/>
  <c r="W113" i="11"/>
  <c r="W165" i="11"/>
  <c r="Y165" i="11" s="1"/>
  <c r="W142" i="11"/>
  <c r="U146" i="11" s="1"/>
  <c r="U18" i="10"/>
  <c r="U19" i="10" s="1"/>
  <c r="Z19" i="10" s="1"/>
  <c r="W132" i="10"/>
  <c r="W9" i="11"/>
  <c r="U13" i="11" s="1"/>
  <c r="U14" i="11" s="1"/>
  <c r="T54" i="14"/>
  <c r="T65" i="14"/>
  <c r="R47" i="11"/>
  <c r="R50" i="11"/>
  <c r="R55" i="11"/>
  <c r="T38" i="14"/>
  <c r="T46" i="14"/>
  <c r="T58" i="14"/>
  <c r="R44" i="11"/>
  <c r="R48" i="11"/>
  <c r="U45" i="11" s="1"/>
  <c r="R52" i="11"/>
  <c r="W46" i="11" s="1"/>
  <c r="R174" i="11"/>
  <c r="R178" i="11"/>
  <c r="R182" i="11"/>
  <c r="R186" i="11"/>
  <c r="U179" i="11" s="1"/>
  <c r="Y146" i="10"/>
  <c r="W147" i="10"/>
  <c r="Y147" i="10" s="1"/>
  <c r="X85" i="11"/>
  <c r="W123" i="11"/>
  <c r="U127" i="11" s="1"/>
  <c r="W161" i="11"/>
  <c r="U165" i="11" s="1"/>
  <c r="U166" i="11" s="1"/>
  <c r="Z166" i="11" s="1"/>
  <c r="Z185" i="15"/>
  <c r="R41" i="11"/>
  <c r="R45" i="11"/>
  <c r="R49" i="11"/>
  <c r="R53" i="11"/>
  <c r="U46" i="11" s="1"/>
  <c r="W75" i="11"/>
  <c r="W108" i="11"/>
  <c r="R175" i="11"/>
  <c r="W178" i="11" s="1"/>
  <c r="R179" i="11"/>
  <c r="V178" i="11" s="1"/>
  <c r="R183" i="11"/>
  <c r="R187" i="11"/>
  <c r="W146" i="11"/>
  <c r="W13" i="10"/>
  <c r="W85" i="10"/>
  <c r="U89" i="10" s="1"/>
  <c r="U90" i="10" s="1"/>
  <c r="W127" i="10"/>
  <c r="W170" i="10"/>
  <c r="W171" i="10" s="1"/>
  <c r="U18" i="11"/>
  <c r="V18" i="11" s="1"/>
  <c r="W128" i="11"/>
  <c r="Y128" i="11" s="1"/>
  <c r="W166" i="11"/>
  <c r="Y166" i="11" s="1"/>
  <c r="W94" i="10"/>
  <c r="U113" i="10"/>
  <c r="U114" i="10" s="1"/>
  <c r="W147" i="9"/>
  <c r="Y147" i="9" s="1"/>
  <c r="Z147" i="9" s="1"/>
  <c r="W151" i="10"/>
  <c r="W152" i="10" s="1"/>
  <c r="W18" i="11"/>
  <c r="W19" i="11" s="1"/>
  <c r="U94" i="11"/>
  <c r="W132" i="11"/>
  <c r="R42" i="11"/>
  <c r="W45" i="11" s="1"/>
  <c r="R46" i="11"/>
  <c r="V45" i="11" s="1"/>
  <c r="R54" i="11"/>
  <c r="Y89" i="11"/>
  <c r="W90" i="11"/>
  <c r="Y90" i="11" s="1"/>
  <c r="AA90" i="11" s="1"/>
  <c r="R176" i="11"/>
  <c r="R180" i="11"/>
  <c r="R184" i="11"/>
  <c r="V179" i="11" s="1"/>
  <c r="R188" i="11"/>
  <c r="T73" i="14"/>
  <c r="R43" i="11"/>
  <c r="R51" i="11"/>
  <c r="V46" i="11" s="1"/>
  <c r="W70" i="11"/>
  <c r="W104" i="11"/>
  <c r="U108" i="11" s="1"/>
  <c r="U109" i="11" s="1"/>
  <c r="R177" i="11"/>
  <c r="R181" i="11"/>
  <c r="U178" i="11" s="1"/>
  <c r="R185" i="11"/>
  <c r="W179" i="11" s="1"/>
  <c r="W151" i="11"/>
  <c r="W152" i="11" s="1"/>
  <c r="W18" i="10"/>
  <c r="W19" i="10" s="1"/>
  <c r="W89" i="10"/>
  <c r="U132" i="10"/>
  <c r="U133" i="10" s="1"/>
  <c r="W165" i="10"/>
  <c r="W94" i="11"/>
  <c r="W95" i="11" s="1"/>
  <c r="U170" i="11"/>
  <c r="U171" i="11" s="1"/>
  <c r="Z171" i="11" s="1"/>
  <c r="U94" i="10"/>
  <c r="W113" i="10"/>
  <c r="W142" i="10"/>
  <c r="W161" i="10"/>
  <c r="U165" i="10" s="1"/>
  <c r="U166" i="10" s="1"/>
  <c r="V184" i="15"/>
  <c r="X184" i="15" s="1"/>
  <c r="AB184" i="15" s="1"/>
  <c r="U75" i="11"/>
  <c r="U76" i="11" s="1"/>
  <c r="W76" i="11"/>
  <c r="W66" i="11"/>
  <c r="U70" i="11" s="1"/>
  <c r="V70" i="11" s="1"/>
  <c r="W66" i="10"/>
  <c r="X66" i="9"/>
  <c r="Y70" i="10"/>
  <c r="W71" i="10"/>
  <c r="Y71" i="10" s="1"/>
  <c r="U75" i="10"/>
  <c r="U76" i="10" s="1"/>
  <c r="W75" i="10"/>
  <c r="W76" i="10" s="1"/>
  <c r="V75" i="9"/>
  <c r="V76" i="9" s="1"/>
  <c r="V18" i="9"/>
  <c r="AC18" i="9" s="1"/>
  <c r="AC19" i="9" s="1"/>
  <c r="X161" i="9"/>
  <c r="W171" i="9"/>
  <c r="W133" i="9"/>
  <c r="Y89" i="9"/>
  <c r="W90" i="9"/>
  <c r="Y90" i="9" s="1"/>
  <c r="W76" i="9"/>
  <c r="AA109" i="9"/>
  <c r="Y165" i="9"/>
  <c r="W166" i="9"/>
  <c r="Y166" i="9" s="1"/>
  <c r="V94" i="15"/>
  <c r="V108" i="15"/>
  <c r="X108" i="15" s="1"/>
  <c r="AB108" i="15" s="1"/>
  <c r="AA185" i="15"/>
  <c r="V189" i="15"/>
  <c r="V190" i="15" s="1"/>
  <c r="X161" i="15"/>
  <c r="V113" i="15"/>
  <c r="AC113" i="15" s="1"/>
  <c r="AC114" i="15" s="1"/>
  <c r="X85" i="15"/>
  <c r="X66" i="15"/>
  <c r="X9" i="15"/>
  <c r="W190" i="15"/>
  <c r="V185" i="15"/>
  <c r="X185" i="15" s="1"/>
  <c r="AB185" i="15" s="1"/>
  <c r="X180" i="15"/>
  <c r="W171" i="15"/>
  <c r="Y165" i="15"/>
  <c r="W166" i="15"/>
  <c r="Y166" i="15" s="1"/>
  <c r="U166" i="15"/>
  <c r="V165" i="15"/>
  <c r="V170" i="15"/>
  <c r="X142" i="15"/>
  <c r="V151" i="15"/>
  <c r="V146" i="15"/>
  <c r="W152" i="15"/>
  <c r="Y146" i="15"/>
  <c r="W147" i="15"/>
  <c r="Y147" i="15" s="1"/>
  <c r="V132" i="15"/>
  <c r="W133" i="15"/>
  <c r="U128" i="15"/>
  <c r="V127" i="15"/>
  <c r="Y127" i="15"/>
  <c r="W128" i="15"/>
  <c r="Y128" i="15" s="1"/>
  <c r="X123" i="15"/>
  <c r="X104" i="15"/>
  <c r="W109" i="15"/>
  <c r="Y109" i="15" s="1"/>
  <c r="Y108" i="15"/>
  <c r="W114" i="15"/>
  <c r="V89" i="15"/>
  <c r="W95" i="15"/>
  <c r="AC94" i="15"/>
  <c r="AC95" i="15" s="1"/>
  <c r="V95" i="15"/>
  <c r="Y89" i="15"/>
  <c r="W90" i="15"/>
  <c r="Y90" i="15" s="1"/>
  <c r="U71" i="15"/>
  <c r="AA71" i="15" s="1"/>
  <c r="V70" i="15"/>
  <c r="V75" i="15"/>
  <c r="W76" i="15"/>
  <c r="W19" i="15"/>
  <c r="U14" i="15"/>
  <c r="AA14" i="15" s="1"/>
  <c r="V13" i="15"/>
  <c r="V18" i="15"/>
  <c r="U166" i="9"/>
  <c r="V165" i="9"/>
  <c r="U171" i="9"/>
  <c r="V170" i="9"/>
  <c r="U152" i="9"/>
  <c r="V151" i="9"/>
  <c r="W152" i="9"/>
  <c r="V147" i="9"/>
  <c r="X147" i="9" s="1"/>
  <c r="AB147" i="9" s="1"/>
  <c r="AC146" i="9"/>
  <c r="AC147" i="9" s="1"/>
  <c r="X146" i="9"/>
  <c r="AB146" i="9" s="1"/>
  <c r="AB132" i="9"/>
  <c r="U128" i="9"/>
  <c r="Z128" i="9" s="1"/>
  <c r="V127" i="9"/>
  <c r="AC132" i="9"/>
  <c r="AC133" i="9" s="1"/>
  <c r="V133" i="9"/>
  <c r="X123" i="9"/>
  <c r="W114" i="9"/>
  <c r="V109" i="9"/>
  <c r="X109" i="9" s="1"/>
  <c r="AB109" i="9" s="1"/>
  <c r="X108" i="9"/>
  <c r="AB108" i="9" s="1"/>
  <c r="AC108" i="9"/>
  <c r="AC109" i="9" s="1"/>
  <c r="U114" i="9"/>
  <c r="V113" i="9"/>
  <c r="AB94" i="9"/>
  <c r="W95" i="9"/>
  <c r="AC94" i="9"/>
  <c r="AC95" i="9" s="1"/>
  <c r="V95" i="9"/>
  <c r="X85" i="9"/>
  <c r="V89" i="9"/>
  <c r="U90" i="9"/>
  <c r="U71" i="9"/>
  <c r="Z71" i="9" s="1"/>
  <c r="V70" i="9"/>
  <c r="W19" i="9"/>
  <c r="V13" i="9"/>
  <c r="U14" i="9"/>
  <c r="AA14" i="9" s="1"/>
  <c r="X9" i="9"/>
  <c r="AB189" i="10"/>
  <c r="AA171" i="10"/>
  <c r="V170" i="10"/>
  <c r="U146" i="10"/>
  <c r="X142" i="10"/>
  <c r="U152" i="10"/>
  <c r="V151" i="10"/>
  <c r="AB132" i="10"/>
  <c r="W133" i="10"/>
  <c r="V127" i="10"/>
  <c r="U128" i="10"/>
  <c r="W114" i="10"/>
  <c r="V113" i="10"/>
  <c r="W95" i="10"/>
  <c r="U95" i="10"/>
  <c r="V94" i="10"/>
  <c r="U70" i="10"/>
  <c r="X66" i="10"/>
  <c r="AB18" i="10"/>
  <c r="V13" i="10"/>
  <c r="U14" i="10"/>
  <c r="X9" i="10"/>
  <c r="AB189" i="11"/>
  <c r="V146" i="11"/>
  <c r="U147" i="11"/>
  <c r="U152" i="11"/>
  <c r="V151" i="11"/>
  <c r="AB132" i="11"/>
  <c r="W133" i="11"/>
  <c r="U128" i="11"/>
  <c r="Z128" i="11" s="1"/>
  <c r="V127" i="11"/>
  <c r="X123" i="11"/>
  <c r="W114" i="11"/>
  <c r="U114" i="11"/>
  <c r="V113" i="11"/>
  <c r="U95" i="11"/>
  <c r="V94" i="11"/>
  <c r="V75" i="11"/>
  <c r="T14" i="14"/>
  <c r="U84" i="14"/>
  <c r="T84" i="14"/>
  <c r="U80" i="14"/>
  <c r="T80" i="14"/>
  <c r="T17" i="14"/>
  <c r="T36" i="14"/>
  <c r="T44" i="14"/>
  <c r="T49" i="14"/>
  <c r="T52" i="14"/>
  <c r="T60" i="14"/>
  <c r="T63" i="14"/>
  <c r="T68" i="14"/>
  <c r="T71" i="14"/>
  <c r="T76" i="14"/>
  <c r="T31" i="14"/>
  <c r="T33" i="14"/>
  <c r="T41" i="14"/>
  <c r="T57" i="14"/>
  <c r="T37" i="14"/>
  <c r="T45" i="14"/>
  <c r="T53" i="14"/>
  <c r="T64" i="14"/>
  <c r="T72" i="14"/>
  <c r="T79" i="14"/>
  <c r="U18" i="14"/>
  <c r="T10" i="14"/>
  <c r="U10" i="14"/>
  <c r="T34" i="14"/>
  <c r="U34" i="14"/>
  <c r="T42" i="14"/>
  <c r="U42" i="14"/>
  <c r="T50" i="14"/>
  <c r="U50" i="14"/>
  <c r="T61" i="14"/>
  <c r="U61" i="14"/>
  <c r="T69" i="14"/>
  <c r="U69" i="14"/>
  <c r="U88" i="14"/>
  <c r="T88" i="14"/>
  <c r="U14" i="14"/>
  <c r="U58" i="14"/>
  <c r="T32" i="14"/>
  <c r="U38" i="14"/>
  <c r="T40" i="14"/>
  <c r="U46" i="14"/>
  <c r="T48" i="14"/>
  <c r="U54" i="14"/>
  <c r="T56" i="14"/>
  <c r="U65" i="14"/>
  <c r="T67" i="14"/>
  <c r="U73" i="14"/>
  <c r="T75" i="14"/>
  <c r="T77" i="14"/>
  <c r="T81" i="14"/>
  <c r="T85" i="14"/>
  <c r="T13" i="14"/>
  <c r="U59" i="14"/>
  <c r="T59" i="14"/>
  <c r="U39" i="14"/>
  <c r="T39" i="14"/>
  <c r="U55" i="14"/>
  <c r="T55" i="14"/>
  <c r="U66" i="14"/>
  <c r="T66" i="14"/>
  <c r="U35" i="14"/>
  <c r="T35" i="14"/>
  <c r="U43" i="14"/>
  <c r="T43" i="14"/>
  <c r="U51" i="14"/>
  <c r="T51" i="14"/>
  <c r="U62" i="14"/>
  <c r="T62" i="14"/>
  <c r="U70" i="14"/>
  <c r="T70" i="14"/>
  <c r="U78" i="14"/>
  <c r="T78" i="14"/>
  <c r="U15" i="14"/>
  <c r="T15" i="14"/>
  <c r="U47" i="14"/>
  <c r="T47" i="14"/>
  <c r="U74" i="14"/>
  <c r="T74" i="14"/>
  <c r="U11" i="14"/>
  <c r="T11" i="14"/>
  <c r="U19" i="14"/>
  <c r="T19" i="14"/>
  <c r="T82" i="14"/>
  <c r="T87" i="14"/>
  <c r="T12" i="14"/>
  <c r="T16" i="14"/>
  <c r="T89" i="14"/>
  <c r="T91" i="14"/>
  <c r="T93" i="14"/>
  <c r="T90" i="14"/>
  <c r="T92" i="14"/>
  <c r="T83" i="14"/>
  <c r="T86" i="14"/>
  <c r="X75" i="9"/>
  <c r="Y152" i="15"/>
  <c r="X151" i="10"/>
  <c r="Y76" i="11"/>
  <c r="X170" i="10"/>
  <c r="X56" i="15"/>
  <c r="X113" i="10"/>
  <c r="X190" i="10"/>
  <c r="X133" i="10"/>
  <c r="X18" i="15"/>
  <c r="Y133" i="10"/>
  <c r="Y171" i="15"/>
  <c r="X94" i="10"/>
  <c r="Y133" i="9"/>
  <c r="X170" i="15"/>
  <c r="X76" i="9"/>
  <c r="X19" i="9"/>
  <c r="X190" i="9"/>
  <c r="X56" i="10"/>
  <c r="Y76" i="15"/>
  <c r="X75" i="11"/>
  <c r="I19" i="15"/>
  <c r="X170" i="9"/>
  <c r="Y114" i="15"/>
  <c r="Y114" i="10"/>
  <c r="Y95" i="15"/>
  <c r="Y56" i="10"/>
  <c r="Y57" i="9"/>
  <c r="J18" i="9"/>
  <c r="Y133" i="15"/>
  <c r="Y57" i="11"/>
  <c r="X189" i="9"/>
  <c r="Y19" i="9"/>
  <c r="X18" i="11"/>
  <c r="X75" i="15"/>
  <c r="Y95" i="10"/>
  <c r="X113" i="9"/>
  <c r="Y190" i="9"/>
  <c r="J19" i="15"/>
  <c r="X151" i="9"/>
  <c r="X190" i="11"/>
  <c r="Y19" i="11"/>
  <c r="X133" i="9"/>
  <c r="Y171" i="9"/>
  <c r="Y190" i="15"/>
  <c r="X95" i="15"/>
  <c r="X113" i="11"/>
  <c r="Y95" i="9"/>
  <c r="J18" i="10"/>
  <c r="X132" i="15"/>
  <c r="Y133" i="11"/>
  <c r="X19" i="10"/>
  <c r="X113" i="15"/>
  <c r="X189" i="15"/>
  <c r="Y19" i="15"/>
  <c r="X151" i="15"/>
  <c r="X170" i="11"/>
  <c r="Y114" i="11"/>
  <c r="X94" i="11"/>
  <c r="Y76" i="9"/>
  <c r="Y75" i="10"/>
  <c r="X133" i="11"/>
  <c r="Y152" i="9"/>
  <c r="I18" i="15"/>
  <c r="Y57" i="15"/>
  <c r="X114" i="15"/>
  <c r="X94" i="15"/>
  <c r="X56" i="9"/>
  <c r="Y76" i="10"/>
  <c r="X95" i="9"/>
  <c r="X18" i="9"/>
  <c r="Y114" i="9"/>
  <c r="Y95" i="11"/>
  <c r="X190" i="15"/>
  <c r="X151" i="11"/>
  <c r="X9" i="11" l="1"/>
  <c r="U19" i="11"/>
  <c r="O8" i="16"/>
  <c r="P11" i="16"/>
  <c r="O11" i="16"/>
  <c r="P9" i="16"/>
  <c r="O9" i="16"/>
  <c r="AC89" i="11"/>
  <c r="AC90" i="11" s="1"/>
  <c r="X89" i="11"/>
  <c r="AB89" i="11" s="1"/>
  <c r="V165" i="11"/>
  <c r="Z14" i="9"/>
  <c r="X104" i="10"/>
  <c r="V108" i="10"/>
  <c r="I28" i="22"/>
  <c r="W109" i="10"/>
  <c r="Y109" i="10" s="1"/>
  <c r="AA109" i="10" s="1"/>
  <c r="X123" i="10"/>
  <c r="V19" i="9"/>
  <c r="I27" i="22"/>
  <c r="I29" i="22"/>
  <c r="V18" i="10"/>
  <c r="AC184" i="15"/>
  <c r="AC185" i="15" s="1"/>
  <c r="V108" i="11"/>
  <c r="W14" i="11"/>
  <c r="Y14" i="11" s="1"/>
  <c r="AA14" i="11" s="1"/>
  <c r="AA19" i="10"/>
  <c r="V170" i="11"/>
  <c r="AC108" i="15"/>
  <c r="AC109" i="15" s="1"/>
  <c r="AA147" i="9"/>
  <c r="V13" i="11"/>
  <c r="X142" i="11"/>
  <c r="V132" i="11"/>
  <c r="V114" i="15"/>
  <c r="W47" i="11"/>
  <c r="U51" i="11" s="1"/>
  <c r="U52" i="11" s="1"/>
  <c r="U56" i="11"/>
  <c r="V56" i="11" s="1"/>
  <c r="W56" i="11"/>
  <c r="W57" i="11" s="1"/>
  <c r="R35" i="11"/>
  <c r="R34" i="11"/>
  <c r="U27" i="11" s="1"/>
  <c r="R33" i="11"/>
  <c r="W27" i="11" s="1"/>
  <c r="R36" i="11"/>
  <c r="R32" i="11"/>
  <c r="V27" i="11" s="1"/>
  <c r="W184" i="11"/>
  <c r="W180" i="11"/>
  <c r="U184" i="11" s="1"/>
  <c r="U71" i="11"/>
  <c r="V109" i="15"/>
  <c r="X109" i="15" s="1"/>
  <c r="AB109" i="15" s="1"/>
  <c r="Z90" i="11"/>
  <c r="Y127" i="10"/>
  <c r="W128" i="10"/>
  <c r="Y128" i="10" s="1"/>
  <c r="Z128" i="10" s="1"/>
  <c r="Y108" i="11"/>
  <c r="W109" i="11"/>
  <c r="Y109" i="11" s="1"/>
  <c r="Z109" i="11" s="1"/>
  <c r="X104" i="11"/>
  <c r="V89" i="10"/>
  <c r="Y89" i="10"/>
  <c r="W90" i="10"/>
  <c r="Y90" i="10" s="1"/>
  <c r="Z90" i="10" s="1"/>
  <c r="Y146" i="11"/>
  <c r="W147" i="11"/>
  <c r="Y147" i="11" s="1"/>
  <c r="AA147" i="11" s="1"/>
  <c r="W189" i="11"/>
  <c r="W190" i="11" s="1"/>
  <c r="U189" i="11"/>
  <c r="U190" i="11" s="1"/>
  <c r="Z190" i="11" s="1"/>
  <c r="X161" i="10"/>
  <c r="AA171" i="11"/>
  <c r="V165" i="10"/>
  <c r="X165" i="10" s="1"/>
  <c r="AB165" i="10" s="1"/>
  <c r="AC75" i="9"/>
  <c r="AC76" i="9" s="1"/>
  <c r="Y165" i="10"/>
  <c r="W166" i="10"/>
  <c r="Y166" i="10" s="1"/>
  <c r="Z166" i="10" s="1"/>
  <c r="V132" i="10"/>
  <c r="X161" i="11"/>
  <c r="Y70" i="11"/>
  <c r="W71" i="11"/>
  <c r="Y71" i="11" s="1"/>
  <c r="AA71" i="11" s="1"/>
  <c r="Y13" i="10"/>
  <c r="W14" i="10"/>
  <c r="Y14" i="10" s="1"/>
  <c r="Z14" i="10" s="1"/>
  <c r="W51" i="11"/>
  <c r="X85" i="10"/>
  <c r="AA76" i="11"/>
  <c r="Z76" i="11"/>
  <c r="X66" i="11"/>
  <c r="R30" i="11"/>
  <c r="R26" i="11"/>
  <c r="R22" i="11"/>
  <c r="R25" i="11"/>
  <c r="R24" i="11"/>
  <c r="R31" i="11"/>
  <c r="R27" i="11"/>
  <c r="V26" i="11" s="1"/>
  <c r="R23" i="11"/>
  <c r="W26" i="11" s="1"/>
  <c r="R29" i="11"/>
  <c r="U26" i="11" s="1"/>
  <c r="R28" i="11"/>
  <c r="V75" i="10"/>
  <c r="AB18" i="9"/>
  <c r="AB75" i="9"/>
  <c r="AB189" i="9"/>
  <c r="Z76" i="9"/>
  <c r="AA76" i="9"/>
  <c r="AA133" i="9"/>
  <c r="Z133" i="9"/>
  <c r="AA71" i="9"/>
  <c r="AA128" i="9"/>
  <c r="AB94" i="15"/>
  <c r="AB189" i="15"/>
  <c r="AC189" i="15"/>
  <c r="AC190" i="15" s="1"/>
  <c r="AB113" i="15"/>
  <c r="Z71" i="15"/>
  <c r="Z190" i="15"/>
  <c r="AA190" i="15"/>
  <c r="AB190" i="15"/>
  <c r="AB170" i="15"/>
  <c r="Z171" i="15"/>
  <c r="AA171" i="15"/>
  <c r="Z166" i="15"/>
  <c r="AA166" i="15"/>
  <c r="V171" i="15"/>
  <c r="AC170" i="15"/>
  <c r="AC171" i="15" s="1"/>
  <c r="AC165" i="15"/>
  <c r="AC166" i="15" s="1"/>
  <c r="V166" i="15"/>
  <c r="X166" i="15" s="1"/>
  <c r="AB166" i="15" s="1"/>
  <c r="X165" i="15"/>
  <c r="AB165" i="15" s="1"/>
  <c r="AA152" i="15"/>
  <c r="Z152" i="15"/>
  <c r="AB151" i="15"/>
  <c r="X146" i="15"/>
  <c r="AB146" i="15" s="1"/>
  <c r="V147" i="15"/>
  <c r="X147" i="15" s="1"/>
  <c r="AB147" i="15" s="1"/>
  <c r="AC146" i="15"/>
  <c r="AC147" i="15" s="1"/>
  <c r="Z147" i="15"/>
  <c r="AA147" i="15"/>
  <c r="AC151" i="15"/>
  <c r="AC152" i="15" s="1"/>
  <c r="V152" i="15"/>
  <c r="Z133" i="15"/>
  <c r="AA133" i="15"/>
  <c r="AB132" i="15"/>
  <c r="V128" i="15"/>
  <c r="X128" i="15" s="1"/>
  <c r="AB128" i="15" s="1"/>
  <c r="X127" i="15"/>
  <c r="AB127" i="15" s="1"/>
  <c r="AC127" i="15"/>
  <c r="AC128" i="15" s="1"/>
  <c r="Z128" i="15"/>
  <c r="AA128" i="15"/>
  <c r="V133" i="15"/>
  <c r="AC132" i="15"/>
  <c r="AC133" i="15" s="1"/>
  <c r="AB114" i="15"/>
  <c r="AA114" i="15"/>
  <c r="Z114" i="15"/>
  <c r="Z109" i="15"/>
  <c r="AA109" i="15"/>
  <c r="AA95" i="15"/>
  <c r="Z95" i="15"/>
  <c r="AB95" i="15"/>
  <c r="Z90" i="15"/>
  <c r="AA90" i="15"/>
  <c r="X89" i="15"/>
  <c r="AB89" i="15" s="1"/>
  <c r="V90" i="15"/>
  <c r="X90" i="15" s="1"/>
  <c r="AB90" i="15" s="1"/>
  <c r="AC89" i="15"/>
  <c r="AC90" i="15" s="1"/>
  <c r="AB75" i="15"/>
  <c r="Z76" i="15"/>
  <c r="AA76" i="15"/>
  <c r="V76" i="15"/>
  <c r="AC75" i="15"/>
  <c r="AC76" i="15" s="1"/>
  <c r="AC70" i="15"/>
  <c r="AC71" i="15" s="1"/>
  <c r="V71" i="15"/>
  <c r="X71" i="15" s="1"/>
  <c r="AB71" i="15" s="1"/>
  <c r="X70" i="15"/>
  <c r="AB70" i="15" s="1"/>
  <c r="AB56" i="15"/>
  <c r="AB18" i="15"/>
  <c r="Z19" i="15"/>
  <c r="AA19" i="15"/>
  <c r="AC13" i="15"/>
  <c r="AC14" i="15" s="1"/>
  <c r="V14" i="15"/>
  <c r="X14" i="15" s="1"/>
  <c r="AB14" i="15" s="1"/>
  <c r="X13" i="15"/>
  <c r="AB13" i="15" s="1"/>
  <c r="V19" i="15"/>
  <c r="AC18" i="15"/>
  <c r="AC19" i="15" s="1"/>
  <c r="Z14" i="15"/>
  <c r="M18" i="15"/>
  <c r="AB190" i="9"/>
  <c r="AB170" i="9"/>
  <c r="V171" i="9"/>
  <c r="AC170" i="9"/>
  <c r="AC171" i="9" s="1"/>
  <c r="AA171" i="9"/>
  <c r="Z171" i="9"/>
  <c r="V166" i="9"/>
  <c r="X166" i="9" s="1"/>
  <c r="AB166" i="9" s="1"/>
  <c r="X165" i="9"/>
  <c r="AB165" i="9" s="1"/>
  <c r="AC165" i="9"/>
  <c r="AC166" i="9" s="1"/>
  <c r="AA166" i="9"/>
  <c r="Z166" i="9"/>
  <c r="AA152" i="9"/>
  <c r="Z152" i="9"/>
  <c r="AB151" i="9"/>
  <c r="V152" i="9"/>
  <c r="AC151" i="9"/>
  <c r="AC152" i="9" s="1"/>
  <c r="AB133" i="9"/>
  <c r="V128" i="9"/>
  <c r="X128" i="9" s="1"/>
  <c r="AB128" i="9" s="1"/>
  <c r="X127" i="9"/>
  <c r="AB127" i="9" s="1"/>
  <c r="AC127" i="9"/>
  <c r="AC128" i="9" s="1"/>
  <c r="AB113" i="9"/>
  <c r="AA114" i="9"/>
  <c r="Z114" i="9"/>
  <c r="V114" i="9"/>
  <c r="AC113" i="9"/>
  <c r="AC114" i="9" s="1"/>
  <c r="Z95" i="9"/>
  <c r="AA95" i="9"/>
  <c r="AB95" i="9"/>
  <c r="AA90" i="9"/>
  <c r="Z90" i="9"/>
  <c r="V90" i="9"/>
  <c r="X90" i="9" s="1"/>
  <c r="AB90" i="9" s="1"/>
  <c r="X89" i="9"/>
  <c r="AB89" i="9" s="1"/>
  <c r="AC89" i="9"/>
  <c r="AC90" i="9" s="1"/>
  <c r="AB76" i="9"/>
  <c r="V71" i="9"/>
  <c r="X71" i="9" s="1"/>
  <c r="AB71" i="9" s="1"/>
  <c r="X70" i="9"/>
  <c r="AB70" i="9" s="1"/>
  <c r="AC70" i="9"/>
  <c r="AC71" i="9" s="1"/>
  <c r="AB56" i="9"/>
  <c r="Z19" i="9"/>
  <c r="AA19" i="9"/>
  <c r="AB19" i="9"/>
  <c r="V14" i="9"/>
  <c r="X14" i="9" s="1"/>
  <c r="AB14" i="9" s="1"/>
  <c r="X13" i="9"/>
  <c r="AB13" i="9" s="1"/>
  <c r="AC13" i="9"/>
  <c r="AC14" i="9" s="1"/>
  <c r="AB190" i="10"/>
  <c r="AB170" i="10"/>
  <c r="AC170" i="10"/>
  <c r="AC171" i="10" s="1"/>
  <c r="V171" i="10"/>
  <c r="V166" i="10"/>
  <c r="X166" i="10" s="1"/>
  <c r="AB166" i="10" s="1"/>
  <c r="AB151" i="10"/>
  <c r="AC151" i="10"/>
  <c r="AC152" i="10" s="1"/>
  <c r="V152" i="10"/>
  <c r="AA152" i="10"/>
  <c r="Z152" i="10"/>
  <c r="U147" i="10"/>
  <c r="V146" i="10"/>
  <c r="Z133" i="10"/>
  <c r="AA133" i="10"/>
  <c r="AB133" i="10"/>
  <c r="V128" i="10"/>
  <c r="X128" i="10" s="1"/>
  <c r="AB128" i="10" s="1"/>
  <c r="X127" i="10"/>
  <c r="AB127" i="10" s="1"/>
  <c r="AC127" i="10"/>
  <c r="AC128" i="10" s="1"/>
  <c r="AA114" i="10"/>
  <c r="Z114" i="10"/>
  <c r="AB113" i="10"/>
  <c r="V114" i="10"/>
  <c r="AC113" i="10"/>
  <c r="AC114" i="10" s="1"/>
  <c r="AB94" i="10"/>
  <c r="AA95" i="10"/>
  <c r="Z95" i="10"/>
  <c r="V95" i="10"/>
  <c r="AC94" i="10"/>
  <c r="AC95" i="10" s="1"/>
  <c r="Z76" i="10"/>
  <c r="AA76" i="10"/>
  <c r="U71" i="10"/>
  <c r="V70" i="10"/>
  <c r="AB56" i="10"/>
  <c r="AB19" i="10"/>
  <c r="V14" i="10"/>
  <c r="X13" i="10"/>
  <c r="AB13" i="10" s="1"/>
  <c r="AC13" i="10"/>
  <c r="AC14" i="10" s="1"/>
  <c r="AB190" i="11"/>
  <c r="AB170" i="11"/>
  <c r="AC170" i="11"/>
  <c r="AC171" i="11" s="1"/>
  <c r="V171" i="11"/>
  <c r="V166" i="11"/>
  <c r="X166" i="11" s="1"/>
  <c r="AB166" i="11" s="1"/>
  <c r="X165" i="11"/>
  <c r="AB165" i="11" s="1"/>
  <c r="AC165" i="11"/>
  <c r="AC166" i="11" s="1"/>
  <c r="AA166" i="11"/>
  <c r="AB151" i="11"/>
  <c r="AA152" i="11"/>
  <c r="Z152" i="11"/>
  <c r="V152" i="11"/>
  <c r="AC151" i="11"/>
  <c r="AC152" i="11" s="1"/>
  <c r="V147" i="11"/>
  <c r="X147" i="11" s="1"/>
  <c r="AB147" i="11" s="1"/>
  <c r="X146" i="11"/>
  <c r="AB146" i="11" s="1"/>
  <c r="AC146" i="11"/>
  <c r="AC147" i="11" s="1"/>
  <c r="Z133" i="11"/>
  <c r="AA133" i="11"/>
  <c r="AB133" i="11"/>
  <c r="AA128" i="11"/>
  <c r="V128" i="11"/>
  <c r="X128" i="11" s="1"/>
  <c r="AB128" i="11" s="1"/>
  <c r="X127" i="11"/>
  <c r="AB127" i="11" s="1"/>
  <c r="AC127" i="11"/>
  <c r="AC128" i="11" s="1"/>
  <c r="AB113" i="11"/>
  <c r="Z114" i="11"/>
  <c r="AA114" i="11"/>
  <c r="AC113" i="11"/>
  <c r="AC114" i="11" s="1"/>
  <c r="V114" i="11"/>
  <c r="AA95" i="11"/>
  <c r="Z95" i="11"/>
  <c r="AB94" i="11"/>
  <c r="V95" i="11"/>
  <c r="AC94" i="11"/>
  <c r="AC95" i="11" s="1"/>
  <c r="AB75" i="11"/>
  <c r="AC75" i="11"/>
  <c r="AC76" i="11" s="1"/>
  <c r="V76" i="11"/>
  <c r="V71" i="11"/>
  <c r="X71" i="11" s="1"/>
  <c r="AB71" i="11" s="1"/>
  <c r="X70" i="11"/>
  <c r="AB70" i="11" s="1"/>
  <c r="AC70" i="11"/>
  <c r="AC71" i="11" s="1"/>
  <c r="AB18" i="11"/>
  <c r="AA19" i="11"/>
  <c r="Z19" i="11"/>
  <c r="V19" i="11"/>
  <c r="AC18" i="11"/>
  <c r="AC19" i="11" s="1"/>
  <c r="M19" i="15"/>
  <c r="X76" i="11"/>
  <c r="X76" i="15"/>
  <c r="X19" i="15"/>
  <c r="X133" i="15"/>
  <c r="X152" i="10"/>
  <c r="X114" i="11"/>
  <c r="X19" i="11"/>
  <c r="X152" i="9"/>
  <c r="J19" i="9"/>
  <c r="X171" i="10"/>
  <c r="X171" i="11"/>
  <c r="X95" i="11"/>
  <c r="X57" i="15"/>
  <c r="J19" i="10"/>
  <c r="Y57" i="10"/>
  <c r="I18" i="9"/>
  <c r="X57" i="10"/>
  <c r="I18" i="10"/>
  <c r="X114" i="10"/>
  <c r="X152" i="15"/>
  <c r="X114" i="9"/>
  <c r="X56" i="11"/>
  <c r="X57" i="9"/>
  <c r="X171" i="9"/>
  <c r="X75" i="10"/>
  <c r="X171" i="15"/>
  <c r="X152" i="11"/>
  <c r="X95" i="10"/>
  <c r="Z147" i="11" l="1"/>
  <c r="X108" i="10"/>
  <c r="AB108" i="10" s="1"/>
  <c r="V109" i="10"/>
  <c r="AC108" i="10"/>
  <c r="AC109" i="10" s="1"/>
  <c r="Z14" i="11"/>
  <c r="AA128" i="10"/>
  <c r="Z109" i="10"/>
  <c r="X109" i="10"/>
  <c r="AB109" i="10" s="1"/>
  <c r="V19" i="10"/>
  <c r="AC18" i="10"/>
  <c r="AC19" i="10" s="1"/>
  <c r="AC132" i="11"/>
  <c r="AC133" i="11" s="1"/>
  <c r="V133" i="11"/>
  <c r="V109" i="11"/>
  <c r="X108" i="11"/>
  <c r="AB108" i="11" s="1"/>
  <c r="AC108" i="11"/>
  <c r="AC109" i="11" s="1"/>
  <c r="V14" i="11"/>
  <c r="X14" i="11" s="1"/>
  <c r="AB14" i="11" s="1"/>
  <c r="AC13" i="11"/>
  <c r="AC14" i="11" s="1"/>
  <c r="X13" i="11"/>
  <c r="AB13" i="11" s="1"/>
  <c r="U57" i="11"/>
  <c r="Z57" i="11" s="1"/>
  <c r="V51" i="11"/>
  <c r="V52" i="11" s="1"/>
  <c r="X47" i="11"/>
  <c r="W52" i="11"/>
  <c r="Y52" i="11" s="1"/>
  <c r="Y51" i="11"/>
  <c r="AA166" i="10"/>
  <c r="Y184" i="11"/>
  <c r="W185" i="11"/>
  <c r="Y185" i="11" s="1"/>
  <c r="V133" i="10"/>
  <c r="AC132" i="10"/>
  <c r="AC133" i="10" s="1"/>
  <c r="X14" i="10"/>
  <c r="AB14" i="10" s="1"/>
  <c r="AC165" i="10"/>
  <c r="AC166" i="10" s="1"/>
  <c r="V189" i="11"/>
  <c r="AA90" i="10"/>
  <c r="V90" i="10"/>
  <c r="X90" i="10" s="1"/>
  <c r="AB90" i="10" s="1"/>
  <c r="AC89" i="10"/>
  <c r="AC90" i="10" s="1"/>
  <c r="X89" i="10"/>
  <c r="AB89" i="10" s="1"/>
  <c r="X109" i="11"/>
  <c r="AB109" i="11" s="1"/>
  <c r="U185" i="11"/>
  <c r="V184" i="11"/>
  <c r="AA14" i="10"/>
  <c r="X51" i="11"/>
  <c r="AB51" i="11" s="1"/>
  <c r="AA190" i="11"/>
  <c r="X180" i="11"/>
  <c r="AA109" i="11"/>
  <c r="Z71" i="11"/>
  <c r="AB56" i="11"/>
  <c r="AC56" i="11"/>
  <c r="AC57" i="11" s="1"/>
  <c r="V57" i="11"/>
  <c r="W37" i="11"/>
  <c r="U37" i="11"/>
  <c r="U38" i="11" s="1"/>
  <c r="W32" i="11"/>
  <c r="W28" i="11"/>
  <c r="U32" i="11" s="1"/>
  <c r="AB75" i="10"/>
  <c r="V76" i="10"/>
  <c r="AC75" i="10"/>
  <c r="AC76" i="10" s="1"/>
  <c r="AB171" i="15"/>
  <c r="AB152" i="15"/>
  <c r="AB133" i="15"/>
  <c r="AB76" i="15"/>
  <c r="AB57" i="15"/>
  <c r="AB19" i="15"/>
  <c r="AB171" i="9"/>
  <c r="AB152" i="9"/>
  <c r="AB114" i="9"/>
  <c r="AB57" i="9"/>
  <c r="AB171" i="10"/>
  <c r="AB152" i="10"/>
  <c r="V147" i="10"/>
  <c r="X147" i="10" s="1"/>
  <c r="AB147" i="10" s="1"/>
  <c r="X146" i="10"/>
  <c r="AB146" i="10" s="1"/>
  <c r="AC146" i="10"/>
  <c r="AC147" i="10" s="1"/>
  <c r="AA147" i="10"/>
  <c r="Z147" i="10"/>
  <c r="AB114" i="10"/>
  <c r="AB95" i="10"/>
  <c r="AA71" i="10"/>
  <c r="Z71" i="10"/>
  <c r="V71" i="10"/>
  <c r="X71" i="10" s="1"/>
  <c r="AB71" i="10" s="1"/>
  <c r="X70" i="10"/>
  <c r="AB70" i="10" s="1"/>
  <c r="AC70" i="10"/>
  <c r="AC71" i="10" s="1"/>
  <c r="AB57" i="10"/>
  <c r="AB171" i="11"/>
  <c r="AB152" i="11"/>
  <c r="AB114" i="11"/>
  <c r="AB95" i="11"/>
  <c r="AB76" i="11"/>
  <c r="AB19" i="11"/>
  <c r="M18" i="9"/>
  <c r="M18" i="10"/>
  <c r="I19" i="9"/>
  <c r="X57" i="11"/>
  <c r="I19" i="10"/>
  <c r="X76" i="10"/>
  <c r="Y37" i="11"/>
  <c r="AA185" i="11" l="1"/>
  <c r="AA57" i="11"/>
  <c r="AC51" i="11"/>
  <c r="AC52" i="11" s="1"/>
  <c r="X52" i="11"/>
  <c r="AB52" i="11" s="1"/>
  <c r="AC189" i="11"/>
  <c r="AC190" i="11" s="1"/>
  <c r="V190" i="11"/>
  <c r="AC184" i="11"/>
  <c r="AC185" i="11" s="1"/>
  <c r="V185" i="11"/>
  <c r="X185" i="11" s="1"/>
  <c r="AB185" i="11" s="1"/>
  <c r="X184" i="11"/>
  <c r="AB184" i="11" s="1"/>
  <c r="Z185" i="11"/>
  <c r="AA52" i="11"/>
  <c r="Z52" i="11"/>
  <c r="AB57" i="11"/>
  <c r="W38" i="11"/>
  <c r="V37" i="11"/>
  <c r="Y32" i="11"/>
  <c r="W33" i="11"/>
  <c r="Y33" i="11" s="1"/>
  <c r="X28" i="11"/>
  <c r="V32" i="11"/>
  <c r="U33" i="11"/>
  <c r="AB76" i="10"/>
  <c r="M19" i="9"/>
  <c r="M19" i="10"/>
  <c r="Y38" i="11"/>
  <c r="X37" i="11"/>
  <c r="AB37" i="11" l="1"/>
  <c r="Z38" i="11"/>
  <c r="AA38" i="11"/>
  <c r="AC32" i="11"/>
  <c r="AC33" i="11" s="1"/>
  <c r="X32" i="11"/>
  <c r="AB32" i="11" s="1"/>
  <c r="V33" i="11"/>
  <c r="X33" i="11" s="1"/>
  <c r="AB33" i="11" s="1"/>
  <c r="V38" i="11"/>
  <c r="AC37" i="11"/>
  <c r="AC38" i="11" s="1"/>
  <c r="AA33" i="11"/>
  <c r="Z33" i="11"/>
  <c r="J16" i="11"/>
  <c r="X38" i="11"/>
  <c r="AB38" i="11" l="1"/>
  <c r="AN93" i="13" l="1"/>
  <c r="AK93" i="13" s="1"/>
  <c r="AI93" i="13"/>
  <c r="AH93" i="13"/>
  <c r="AG93" i="13"/>
  <c r="AD93" i="13"/>
  <c r="AB93" i="13"/>
  <c r="Y93" i="13"/>
  <c r="AC93" i="13" s="1"/>
  <c r="U93" i="13"/>
  <c r="T93" i="13"/>
  <c r="AE93" i="13" s="1"/>
  <c r="M93" i="13"/>
  <c r="C93" i="13"/>
  <c r="AN92" i="13"/>
  <c r="AK92" i="13" s="1"/>
  <c r="AI92" i="13"/>
  <c r="AH92" i="13"/>
  <c r="AG92" i="13"/>
  <c r="AD92" i="13"/>
  <c r="AB92" i="13"/>
  <c r="Y92" i="13"/>
  <c r="AC92" i="13" s="1"/>
  <c r="U92" i="13"/>
  <c r="T92" i="13"/>
  <c r="AE92" i="13" s="1"/>
  <c r="M92" i="13"/>
  <c r="C92" i="13"/>
  <c r="AN91" i="13"/>
  <c r="AK91" i="13" s="1"/>
  <c r="AI91" i="13"/>
  <c r="AH91" i="13"/>
  <c r="AG91" i="13"/>
  <c r="AB91" i="13"/>
  <c r="Y91" i="13"/>
  <c r="AC91" i="13" s="1"/>
  <c r="U91" i="13"/>
  <c r="T91" i="13"/>
  <c r="AE91" i="13" s="1"/>
  <c r="M91" i="13"/>
  <c r="C91" i="13"/>
  <c r="AN90" i="13"/>
  <c r="AK90" i="13" s="1"/>
  <c r="AI90" i="13"/>
  <c r="AH90" i="13"/>
  <c r="AG90" i="13"/>
  <c r="AD90" i="13"/>
  <c r="AB90" i="13"/>
  <c r="Y90" i="13"/>
  <c r="AA90" i="13" s="1"/>
  <c r="U90" i="13"/>
  <c r="T90" i="13"/>
  <c r="AE90" i="13" s="1"/>
  <c r="M90" i="13"/>
  <c r="C90" i="13"/>
  <c r="AN89" i="13"/>
  <c r="AK89" i="13" s="1"/>
  <c r="AI89" i="13"/>
  <c r="AH89" i="13"/>
  <c r="AG89" i="13"/>
  <c r="AD89" i="13"/>
  <c r="AB89" i="13"/>
  <c r="Y89" i="13"/>
  <c r="AC89" i="13" s="1"/>
  <c r="U89" i="13"/>
  <c r="T89" i="13"/>
  <c r="AE89" i="13" s="1"/>
  <c r="M89" i="13"/>
  <c r="C89" i="13"/>
  <c r="AN84" i="13"/>
  <c r="AK84" i="13" s="1"/>
  <c r="AI84" i="13"/>
  <c r="AH84" i="13"/>
  <c r="AG84" i="13"/>
  <c r="AJ84" i="13" s="1"/>
  <c r="AD84" i="13"/>
  <c r="AB84" i="13"/>
  <c r="Y84" i="13"/>
  <c r="AC84" i="13" s="1"/>
  <c r="U84" i="13"/>
  <c r="T84" i="13"/>
  <c r="AE84" i="13" s="1"/>
  <c r="M84" i="13"/>
  <c r="C84" i="13"/>
  <c r="AN83" i="13"/>
  <c r="AK83" i="13" s="1"/>
  <c r="AI83" i="13"/>
  <c r="AH83" i="13"/>
  <c r="AG83" i="13"/>
  <c r="AJ83" i="13" s="1"/>
  <c r="AD83" i="13"/>
  <c r="AB83" i="13"/>
  <c r="Y83" i="13"/>
  <c r="U83" i="13"/>
  <c r="T83" i="13"/>
  <c r="AE83" i="13" s="1"/>
  <c r="M83" i="13"/>
  <c r="C83" i="13"/>
  <c r="AN82" i="13"/>
  <c r="AK82" i="13" s="1"/>
  <c r="AI82" i="13"/>
  <c r="AH82" i="13"/>
  <c r="AG82" i="13"/>
  <c r="AJ82" i="13" s="1"/>
  <c r="AD82" i="13"/>
  <c r="AB82" i="13"/>
  <c r="Y82" i="13"/>
  <c r="AC82" i="13" s="1"/>
  <c r="U82" i="13"/>
  <c r="T82" i="13"/>
  <c r="AE82" i="13" s="1"/>
  <c r="M82" i="13"/>
  <c r="C82" i="13"/>
  <c r="AN81" i="13"/>
  <c r="AK81" i="13" s="1"/>
  <c r="AI81" i="13"/>
  <c r="AH81" i="13"/>
  <c r="AG81" i="13"/>
  <c r="AB81" i="13"/>
  <c r="Y81" i="13"/>
  <c r="AA81" i="13" s="1"/>
  <c r="U81" i="13"/>
  <c r="T81" i="13"/>
  <c r="AE81" i="13" s="1"/>
  <c r="M81" i="13"/>
  <c r="C81" i="13"/>
  <c r="AN77" i="13"/>
  <c r="AK77" i="13" s="1"/>
  <c r="AI77" i="13"/>
  <c r="AH77" i="13"/>
  <c r="AG77" i="13"/>
  <c r="AJ77" i="13" s="1"/>
  <c r="AD77" i="13"/>
  <c r="AB77" i="13"/>
  <c r="Y77" i="13"/>
  <c r="AC77" i="13" s="1"/>
  <c r="U77" i="13"/>
  <c r="T77" i="13"/>
  <c r="AE77" i="13" s="1"/>
  <c r="M77" i="13"/>
  <c r="C77" i="13"/>
  <c r="AN76" i="13"/>
  <c r="AK76" i="13" s="1"/>
  <c r="AI76" i="13"/>
  <c r="AH76" i="13"/>
  <c r="AG76" i="13"/>
  <c r="AJ76" i="13" s="1"/>
  <c r="AD76" i="13"/>
  <c r="AB76" i="13"/>
  <c r="Y76" i="13"/>
  <c r="AA76" i="13" s="1"/>
  <c r="U76" i="13"/>
  <c r="T76" i="13"/>
  <c r="AE76" i="13" s="1"/>
  <c r="M76" i="13"/>
  <c r="C76" i="13"/>
  <c r="AN61" i="13"/>
  <c r="AK61" i="13" s="1"/>
  <c r="AI61" i="13"/>
  <c r="AH61" i="13"/>
  <c r="AG61" i="13"/>
  <c r="AJ61" i="13" s="1"/>
  <c r="AB61" i="13"/>
  <c r="Y61" i="13"/>
  <c r="AC61" i="13" s="1"/>
  <c r="U61" i="13"/>
  <c r="T61" i="13"/>
  <c r="M61" i="13"/>
  <c r="F61" i="13"/>
  <c r="AD61" i="13" s="1"/>
  <c r="C61" i="13"/>
  <c r="AN60" i="13"/>
  <c r="AK60" i="13" s="1"/>
  <c r="AI60" i="13"/>
  <c r="AH60" i="13"/>
  <c r="AG60" i="13"/>
  <c r="AJ60" i="13" s="1"/>
  <c r="AB60" i="13"/>
  <c r="Y60" i="13"/>
  <c r="U60" i="13"/>
  <c r="T60" i="13"/>
  <c r="M60" i="13"/>
  <c r="F60" i="13"/>
  <c r="AD60" i="13" s="1"/>
  <c r="C60" i="13"/>
  <c r="AN41" i="13"/>
  <c r="AK41" i="13" s="1"/>
  <c r="AI41" i="13"/>
  <c r="AH41" i="13"/>
  <c r="AG41" i="13"/>
  <c r="AJ41" i="13" s="1"/>
  <c r="AD41" i="13"/>
  <c r="AB41" i="13"/>
  <c r="Y41" i="13"/>
  <c r="AA41" i="13" s="1"/>
  <c r="U41" i="13"/>
  <c r="T41" i="13"/>
  <c r="AE41" i="13" s="1"/>
  <c r="M41" i="13"/>
  <c r="C41" i="13"/>
  <c r="AN40" i="13"/>
  <c r="AK40" i="13" s="1"/>
  <c r="AI40" i="13"/>
  <c r="AH40" i="13"/>
  <c r="AG40" i="13"/>
  <c r="AJ40" i="13" s="1"/>
  <c r="AD40" i="13"/>
  <c r="AB40" i="13"/>
  <c r="Y40" i="13"/>
  <c r="AC40" i="13" s="1"/>
  <c r="U40" i="13"/>
  <c r="T40" i="13"/>
  <c r="AE40" i="13" s="1"/>
  <c r="M40" i="13"/>
  <c r="C40" i="13"/>
  <c r="AN39" i="13"/>
  <c r="AK39" i="13" s="1"/>
  <c r="AI39" i="13"/>
  <c r="AH39" i="13"/>
  <c r="AG39" i="13"/>
  <c r="AJ39" i="13" s="1"/>
  <c r="AD39" i="13"/>
  <c r="AB39" i="13"/>
  <c r="Y39" i="13"/>
  <c r="AA39" i="13" s="1"/>
  <c r="U39" i="13"/>
  <c r="T39" i="13"/>
  <c r="AE39" i="13" s="1"/>
  <c r="M39" i="13"/>
  <c r="C39" i="13"/>
  <c r="AN38" i="13"/>
  <c r="AK38" i="13" s="1"/>
  <c r="AI38" i="13"/>
  <c r="AH38" i="13"/>
  <c r="AG38" i="13"/>
  <c r="AJ38" i="13" s="1"/>
  <c r="AD38" i="13"/>
  <c r="AB38" i="13"/>
  <c r="Y38" i="13"/>
  <c r="AC38" i="13" s="1"/>
  <c r="U38" i="13"/>
  <c r="T38" i="13"/>
  <c r="AE38" i="13" s="1"/>
  <c r="M38" i="13"/>
  <c r="C38" i="13"/>
  <c r="AN37" i="13"/>
  <c r="AK37" i="13" s="1"/>
  <c r="AI37" i="13"/>
  <c r="AH37" i="13"/>
  <c r="AG37" i="13"/>
  <c r="AJ37" i="13" s="1"/>
  <c r="AD37" i="13"/>
  <c r="AB37" i="13"/>
  <c r="Y37" i="13"/>
  <c r="AA37" i="13" s="1"/>
  <c r="U37" i="13"/>
  <c r="T37" i="13"/>
  <c r="AE37" i="13" s="1"/>
  <c r="M37" i="13"/>
  <c r="C37" i="13"/>
  <c r="AN36" i="13"/>
  <c r="AK36" i="13" s="1"/>
  <c r="AI36" i="13"/>
  <c r="AH36" i="13"/>
  <c r="AG36" i="13"/>
  <c r="AJ36" i="13" s="1"/>
  <c r="AD36" i="13"/>
  <c r="AB36" i="13"/>
  <c r="Y36" i="13"/>
  <c r="AC36" i="13" s="1"/>
  <c r="U36" i="13"/>
  <c r="T36" i="13"/>
  <c r="AE36" i="13" s="1"/>
  <c r="M36" i="13"/>
  <c r="C36" i="13"/>
  <c r="AN35" i="13"/>
  <c r="AK35" i="13" s="1"/>
  <c r="AI35" i="13"/>
  <c r="AH35" i="13"/>
  <c r="AG35" i="13"/>
  <c r="AJ35" i="13" s="1"/>
  <c r="AD35" i="13"/>
  <c r="AB35" i="13"/>
  <c r="Y35" i="13"/>
  <c r="AA35" i="13" s="1"/>
  <c r="U35" i="13"/>
  <c r="T35" i="13"/>
  <c r="AE35" i="13" s="1"/>
  <c r="M35" i="13"/>
  <c r="C35" i="13"/>
  <c r="AN34" i="13"/>
  <c r="AK34" i="13" s="1"/>
  <c r="AH34" i="13"/>
  <c r="AG34" i="13"/>
  <c r="AD34" i="13"/>
  <c r="AB34" i="13"/>
  <c r="Y34" i="13"/>
  <c r="AA34" i="13" s="1"/>
  <c r="U34" i="13"/>
  <c r="T34" i="13"/>
  <c r="AE34" i="13" s="1"/>
  <c r="M34" i="13"/>
  <c r="C34" i="13"/>
  <c r="AN33" i="13"/>
  <c r="AK33" i="13" s="1"/>
  <c r="AI33" i="13"/>
  <c r="AH33" i="13"/>
  <c r="AG33" i="13"/>
  <c r="AJ33" i="13" s="1"/>
  <c r="AD33" i="13"/>
  <c r="AB33" i="13"/>
  <c r="Y33" i="13"/>
  <c r="AC33" i="13" s="1"/>
  <c r="U33" i="13"/>
  <c r="T33" i="13"/>
  <c r="AE33" i="13" s="1"/>
  <c r="M33" i="13"/>
  <c r="C33" i="13"/>
  <c r="AN32" i="13"/>
  <c r="AK32" i="13" s="1"/>
  <c r="AH32" i="13"/>
  <c r="AG32" i="13"/>
  <c r="AD32" i="13"/>
  <c r="AB32" i="13"/>
  <c r="Y32" i="13"/>
  <c r="AC32" i="13" s="1"/>
  <c r="U32" i="13"/>
  <c r="T32" i="13"/>
  <c r="AE32" i="13" s="1"/>
  <c r="M32" i="13"/>
  <c r="C32" i="13"/>
  <c r="AN59" i="13"/>
  <c r="AK59" i="13" s="1"/>
  <c r="AH59" i="13"/>
  <c r="AG59" i="13"/>
  <c r="AD59" i="13"/>
  <c r="AB59" i="13"/>
  <c r="Y59" i="13"/>
  <c r="AC59" i="13" s="1"/>
  <c r="U59" i="13"/>
  <c r="T59" i="13"/>
  <c r="AE59" i="13" s="1"/>
  <c r="M59" i="13"/>
  <c r="C59" i="13"/>
  <c r="AN58" i="13"/>
  <c r="AK58" i="13" s="1"/>
  <c r="AH58" i="13"/>
  <c r="AG58" i="13"/>
  <c r="AD58" i="13"/>
  <c r="AB58" i="13"/>
  <c r="Y58" i="13"/>
  <c r="AC58" i="13" s="1"/>
  <c r="U58" i="13"/>
  <c r="T58" i="13"/>
  <c r="AE58" i="13" s="1"/>
  <c r="M58" i="13"/>
  <c r="C58" i="13"/>
  <c r="AN57" i="13"/>
  <c r="AK57" i="13" s="1"/>
  <c r="AI57" i="13"/>
  <c r="AH57" i="13"/>
  <c r="AG57" i="13"/>
  <c r="AJ57" i="13" s="1"/>
  <c r="AD57" i="13"/>
  <c r="AB57" i="13"/>
  <c r="Y57" i="13"/>
  <c r="V57" i="13" s="1"/>
  <c r="U57" i="13"/>
  <c r="T57" i="13"/>
  <c r="AE57" i="13" s="1"/>
  <c r="M57" i="13"/>
  <c r="C57" i="13"/>
  <c r="AN31" i="13"/>
  <c r="AK31" i="13" s="1"/>
  <c r="AI31" i="13"/>
  <c r="AH31" i="13"/>
  <c r="AG31" i="13"/>
  <c r="AJ31" i="13" s="1"/>
  <c r="AD31" i="13"/>
  <c r="AB31" i="13"/>
  <c r="Y31" i="13"/>
  <c r="U31" i="13"/>
  <c r="T31" i="13"/>
  <c r="AE31" i="13" s="1"/>
  <c r="M31" i="13"/>
  <c r="C31" i="13"/>
  <c r="V30" i="13"/>
  <c r="U30" i="13"/>
  <c r="T30" i="13"/>
  <c r="V29" i="13"/>
  <c r="U29" i="13"/>
  <c r="T29" i="13"/>
  <c r="V28" i="13"/>
  <c r="U28" i="13"/>
  <c r="T28" i="13"/>
  <c r="V27" i="13"/>
  <c r="U27" i="13"/>
  <c r="T27" i="13"/>
  <c r="V26" i="13"/>
  <c r="U26" i="13"/>
  <c r="T26" i="13"/>
  <c r="V25" i="13"/>
  <c r="U25" i="13"/>
  <c r="T25" i="13"/>
  <c r="V24" i="13"/>
  <c r="U24" i="13"/>
  <c r="T24" i="13"/>
  <c r="V23" i="13"/>
  <c r="U23" i="13"/>
  <c r="T23" i="13"/>
  <c r="V22" i="13"/>
  <c r="U22" i="13"/>
  <c r="T22" i="13"/>
  <c r="V21" i="13"/>
  <c r="U21" i="13"/>
  <c r="T21" i="13"/>
  <c r="V20" i="13"/>
  <c r="U20" i="13"/>
  <c r="T20" i="13"/>
  <c r="AN19" i="13"/>
  <c r="AK19" i="13" s="1"/>
  <c r="AI19" i="13"/>
  <c r="AH19" i="13"/>
  <c r="AG19" i="13"/>
  <c r="AJ19" i="13" s="1"/>
  <c r="AD19" i="13"/>
  <c r="AB19" i="13"/>
  <c r="Y19" i="13"/>
  <c r="AC19" i="13" s="1"/>
  <c r="U19" i="13"/>
  <c r="T19" i="13"/>
  <c r="AE19" i="13" s="1"/>
  <c r="M19" i="13"/>
  <c r="C19" i="13"/>
  <c r="AN18" i="13"/>
  <c r="AK18" i="13" s="1"/>
  <c r="AI18" i="13"/>
  <c r="AH18" i="13"/>
  <c r="AG18" i="13"/>
  <c r="AJ18" i="13" s="1"/>
  <c r="AD18" i="13"/>
  <c r="AB18" i="13"/>
  <c r="Y18" i="13"/>
  <c r="AC18" i="13" s="1"/>
  <c r="U18" i="13"/>
  <c r="T18" i="13"/>
  <c r="AE18" i="13" s="1"/>
  <c r="M18" i="13"/>
  <c r="C18" i="13"/>
  <c r="V16" i="13"/>
  <c r="U16" i="13"/>
  <c r="T16" i="13"/>
  <c r="V15" i="13"/>
  <c r="U15" i="13"/>
  <c r="T15" i="13"/>
  <c r="V14" i="13"/>
  <c r="U14" i="13"/>
  <c r="T14" i="13"/>
  <c r="V13" i="13"/>
  <c r="U13" i="13"/>
  <c r="T13" i="13"/>
  <c r="V12" i="13"/>
  <c r="U12" i="13"/>
  <c r="T12" i="13"/>
  <c r="V11" i="13"/>
  <c r="U11" i="13"/>
  <c r="T11" i="13"/>
  <c r="V10" i="13"/>
  <c r="U10" i="13"/>
  <c r="T10" i="13"/>
  <c r="V9" i="13"/>
  <c r="U9" i="13"/>
  <c r="T9" i="13"/>
  <c r="V8" i="13"/>
  <c r="U8" i="13"/>
  <c r="T8" i="13"/>
  <c r="V7" i="13"/>
  <c r="U7" i="13"/>
  <c r="T7" i="13"/>
  <c r="V6" i="13"/>
  <c r="U6" i="13"/>
  <c r="T6" i="13"/>
  <c r="V5" i="13"/>
  <c r="U5" i="13"/>
  <c r="T5" i="13"/>
  <c r="AN4" i="13"/>
  <c r="AK4" i="13" s="1"/>
  <c r="AI4" i="13"/>
  <c r="AH4" i="13"/>
  <c r="AG4" i="13"/>
  <c r="AJ4" i="13" s="1"/>
  <c r="AD4" i="13"/>
  <c r="AB4" i="13"/>
  <c r="Y4" i="13"/>
  <c r="AC4" i="13" s="1"/>
  <c r="U4" i="13"/>
  <c r="T4" i="13"/>
  <c r="AE4" i="13" s="1"/>
  <c r="M4" i="13"/>
  <c r="C4" i="13"/>
  <c r="AC31" i="13" l="1"/>
  <c r="AA31" i="13"/>
  <c r="V18" i="13"/>
  <c r="AA59" i="13"/>
  <c r="Z38" i="13"/>
  <c r="Z59" i="13"/>
  <c r="V34" i="13"/>
  <c r="AF34" i="13"/>
  <c r="V84" i="13"/>
  <c r="Z36" i="13"/>
  <c r="Z84" i="13"/>
  <c r="Z92" i="13"/>
  <c r="Z19" i="13"/>
  <c r="AA58" i="13"/>
  <c r="AE60" i="13"/>
  <c r="AA92" i="13"/>
  <c r="Z31" i="13"/>
  <c r="Z33" i="13"/>
  <c r="V36" i="13"/>
  <c r="AF38" i="13"/>
  <c r="Z40" i="13"/>
  <c r="Z61" i="13"/>
  <c r="AF31" i="13"/>
  <c r="Z18" i="13"/>
  <c r="V31" i="13"/>
  <c r="AF36" i="13"/>
  <c r="AF81" i="13"/>
  <c r="AF90" i="13"/>
  <c r="Z4" i="13"/>
  <c r="AA18" i="13"/>
  <c r="AF18" i="13"/>
  <c r="Z32" i="13"/>
  <c r="AA33" i="13"/>
  <c r="AA36" i="13"/>
  <c r="AA38" i="13"/>
  <c r="AA40" i="13"/>
  <c r="V41" i="13"/>
  <c r="AF41" i="13"/>
  <c r="AE61" i="13"/>
  <c r="AA61" i="13"/>
  <c r="V76" i="13"/>
  <c r="AF76" i="13"/>
  <c r="Z77" i="13"/>
  <c r="Z82" i="13"/>
  <c r="AA84" i="13"/>
  <c r="AF84" i="13"/>
  <c r="Z91" i="13"/>
  <c r="AC57" i="13"/>
  <c r="AA32" i="13"/>
  <c r="V38" i="13"/>
  <c r="V40" i="13"/>
  <c r="AA77" i="13"/>
  <c r="AA82" i="13"/>
  <c r="AF82" i="13"/>
  <c r="AA91" i="13"/>
  <c r="AF91" i="13"/>
  <c r="Z58" i="13"/>
  <c r="V35" i="13"/>
  <c r="AF35" i="13"/>
  <c r="V37" i="13"/>
  <c r="AF37" i="13"/>
  <c r="V39" i="13"/>
  <c r="AF39" i="13"/>
  <c r="V81" i="13"/>
  <c r="V82" i="13"/>
  <c r="V90" i="13"/>
  <c r="V91" i="13"/>
  <c r="AF83" i="13"/>
  <c r="V83" i="13"/>
  <c r="Z83" i="13"/>
  <c r="AA83" i="13"/>
  <c r="AF19" i="13"/>
  <c r="V19" i="13"/>
  <c r="AA19" i="13"/>
  <c r="AF60" i="13"/>
  <c r="V60" i="13"/>
  <c r="AA60" i="13"/>
  <c r="Z60" i="13"/>
  <c r="AF4" i="13"/>
  <c r="V4" i="13"/>
  <c r="AA4" i="13"/>
  <c r="AA57" i="13"/>
  <c r="Z57" i="13"/>
  <c r="AF57" i="13"/>
  <c r="AC60" i="13"/>
  <c r="AC83" i="13"/>
  <c r="AF89" i="13"/>
  <c r="V89" i="13"/>
  <c r="AA89" i="13"/>
  <c r="Z89" i="13"/>
  <c r="AF93" i="13"/>
  <c r="V93" i="13"/>
  <c r="AA93" i="13"/>
  <c r="Z93" i="13"/>
  <c r="AC35" i="13"/>
  <c r="AC37" i="13"/>
  <c r="AC41" i="13"/>
  <c r="AC76" i="13"/>
  <c r="AC90" i="13"/>
  <c r="V58" i="13"/>
  <c r="AF58" i="13"/>
  <c r="V59" i="13"/>
  <c r="AF59" i="13"/>
  <c r="V32" i="13"/>
  <c r="AF32" i="13"/>
  <c r="V33" i="13"/>
  <c r="AF33" i="13"/>
  <c r="Z34" i="13"/>
  <c r="Z35" i="13"/>
  <c r="Z37" i="13"/>
  <c r="Z39" i="13"/>
  <c r="AF40" i="13"/>
  <c r="Z41" i="13"/>
  <c r="V61" i="13"/>
  <c r="AF61" i="13"/>
  <c r="Z76" i="13"/>
  <c r="V77" i="13"/>
  <c r="AF77" i="13"/>
  <c r="Z81" i="13"/>
  <c r="Z90" i="13"/>
  <c r="V92" i="13"/>
  <c r="AF92" i="13"/>
  <c r="AC34" i="13"/>
  <c r="AC39" i="13"/>
  <c r="AC81" i="13"/>
  <c r="J18" i="11"/>
  <c r="AE4" i="7" l="1"/>
  <c r="AE5" i="7"/>
  <c r="AE16" i="7"/>
  <c r="AE17" i="7"/>
  <c r="AE31" i="7"/>
  <c r="AE32" i="7"/>
  <c r="AE33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8" i="7"/>
  <c r="AE59" i="7"/>
  <c r="AE60" i="7"/>
  <c r="AE61" i="7"/>
  <c r="AE65" i="7"/>
  <c r="AE66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5" i="7"/>
  <c r="AE86" i="7"/>
  <c r="AE87" i="7"/>
  <c r="AE88" i="7"/>
  <c r="AE89" i="7"/>
  <c r="AE90" i="7"/>
  <c r="AE91" i="7"/>
  <c r="AE92" i="7"/>
  <c r="AD4" i="7"/>
  <c r="AD5" i="7"/>
  <c r="AD16" i="7"/>
  <c r="AD17" i="7"/>
  <c r="AD31" i="7"/>
  <c r="AD32" i="7"/>
  <c r="AD33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8" i="7"/>
  <c r="AD59" i="7"/>
  <c r="AD60" i="7"/>
  <c r="AD61" i="7"/>
  <c r="AD65" i="7"/>
  <c r="AD66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5" i="7"/>
  <c r="AD86" i="7"/>
  <c r="AD87" i="7"/>
  <c r="AD88" i="7"/>
  <c r="AD89" i="7"/>
  <c r="AD90" i="7"/>
  <c r="AD91" i="7"/>
  <c r="AD92" i="7"/>
  <c r="J19" i="11"/>
  <c r="I18" i="11"/>
  <c r="M18" i="11" l="1"/>
  <c r="I19" i="11"/>
  <c r="M19" i="11" l="1"/>
  <c r="N4" i="7" l="1"/>
  <c r="N5" i="7"/>
  <c r="N16" i="7"/>
  <c r="N17" i="7"/>
  <c r="N31" i="7"/>
  <c r="N32" i="7"/>
  <c r="N33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8" i="7"/>
  <c r="N59" i="7"/>
  <c r="N60" i="7"/>
  <c r="N61" i="7"/>
  <c r="N62" i="7"/>
  <c r="N63" i="7"/>
  <c r="N64" i="7"/>
  <c r="N65" i="7"/>
  <c r="N66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5" i="7"/>
  <c r="N86" i="7"/>
  <c r="N87" i="7"/>
  <c r="N88" i="7"/>
  <c r="N89" i="7"/>
  <c r="N90" i="7"/>
  <c r="N91" i="7"/>
  <c r="N92" i="7"/>
  <c r="L4" i="7"/>
  <c r="L5" i="7"/>
  <c r="L16" i="7"/>
  <c r="L17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4" i="7"/>
  <c r="L55" i="7"/>
  <c r="L56" i="7"/>
  <c r="L58" i="7"/>
  <c r="L59" i="7"/>
  <c r="L60" i="7"/>
  <c r="L61" i="7"/>
  <c r="L62" i="7"/>
  <c r="L63" i="7"/>
  <c r="L64" i="7"/>
  <c r="L65" i="7"/>
  <c r="L66" i="7"/>
  <c r="L72" i="7"/>
  <c r="L73" i="7"/>
  <c r="L76" i="7"/>
  <c r="L77" i="7"/>
  <c r="L78" i="7"/>
  <c r="K4" i="7"/>
  <c r="K5" i="7"/>
  <c r="K16" i="7"/>
  <c r="K17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4" i="7"/>
  <c r="K55" i="7"/>
  <c r="K56" i="7"/>
  <c r="K58" i="7"/>
  <c r="K59" i="7"/>
  <c r="K60" i="7"/>
  <c r="K61" i="7"/>
  <c r="K62" i="7"/>
  <c r="K63" i="7"/>
  <c r="K64" i="7"/>
  <c r="K65" i="7"/>
  <c r="K66" i="7"/>
  <c r="K72" i="7"/>
  <c r="K73" i="7"/>
  <c r="K76" i="7"/>
  <c r="K77" i="7"/>
  <c r="K78" i="7"/>
  <c r="AB4" i="5" l="1"/>
  <c r="AB18" i="5"/>
  <c r="AB19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60" i="5"/>
  <c r="AB61" i="5"/>
  <c r="AB76" i="5"/>
  <c r="AB77" i="5"/>
  <c r="AB81" i="5"/>
  <c r="AB82" i="5"/>
  <c r="AB83" i="5"/>
  <c r="AB84" i="5"/>
  <c r="AB89" i="5"/>
  <c r="AB90" i="5"/>
  <c r="AB91" i="5"/>
  <c r="AB92" i="5"/>
  <c r="AB93" i="5"/>
  <c r="AC4" i="4"/>
  <c r="AC10" i="4"/>
  <c r="AC11" i="4"/>
  <c r="AC12" i="4"/>
  <c r="AC18" i="4"/>
  <c r="AC19" i="4"/>
  <c r="AC32" i="4"/>
  <c r="AC33" i="4"/>
  <c r="AC34" i="4"/>
  <c r="AC35" i="4"/>
  <c r="AC37" i="4"/>
  <c r="AC38" i="4"/>
  <c r="AC39" i="4"/>
  <c r="AC40" i="4"/>
  <c r="AC41" i="4"/>
  <c r="AC44" i="4"/>
  <c r="AC45" i="4"/>
  <c r="AC47" i="4"/>
  <c r="AC48" i="4"/>
  <c r="AC49" i="4"/>
  <c r="AC51" i="4"/>
  <c r="AC52" i="4"/>
  <c r="AC55" i="4"/>
  <c r="AC56" i="4"/>
  <c r="AC57" i="4"/>
  <c r="AC58" i="4"/>
  <c r="AC59" i="4"/>
  <c r="AC60" i="4"/>
  <c r="AC61" i="4"/>
  <c r="AC64" i="4"/>
  <c r="AC65" i="4"/>
  <c r="AC66" i="4"/>
  <c r="AC67" i="4"/>
  <c r="AC68" i="4"/>
  <c r="AC69" i="4"/>
  <c r="AC70" i="4"/>
  <c r="AC71" i="4"/>
  <c r="AC72" i="4"/>
  <c r="AC73" i="4"/>
  <c r="AC74" i="4"/>
  <c r="AC77" i="4"/>
  <c r="AC78" i="4"/>
  <c r="AC81" i="4"/>
  <c r="AC82" i="4"/>
  <c r="AC83" i="4"/>
  <c r="AC84" i="4"/>
  <c r="AC85" i="4"/>
  <c r="AC86" i="4"/>
  <c r="AC87" i="4"/>
  <c r="AD4" i="5"/>
  <c r="AD18" i="5"/>
  <c r="AD19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76" i="5"/>
  <c r="AD77" i="5"/>
  <c r="AD81" i="5"/>
  <c r="AD82" i="5"/>
  <c r="AD83" i="5"/>
  <c r="AD84" i="5"/>
  <c r="AD89" i="5"/>
  <c r="AD90" i="5"/>
  <c r="AD91" i="5"/>
  <c r="AD92" i="5"/>
  <c r="AD93" i="5"/>
  <c r="M4" i="5"/>
  <c r="M18" i="5"/>
  <c r="M19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60" i="5"/>
  <c r="M61" i="5"/>
  <c r="M76" i="5"/>
  <c r="M77" i="5"/>
  <c r="M81" i="5"/>
  <c r="M82" i="5"/>
  <c r="M83" i="5"/>
  <c r="M84" i="5"/>
  <c r="M89" i="5"/>
  <c r="M90" i="5"/>
  <c r="M91" i="5"/>
  <c r="M92" i="5"/>
  <c r="M93" i="5"/>
  <c r="L4" i="4"/>
  <c r="L10" i="4"/>
  <c r="L11" i="4"/>
  <c r="L12" i="4"/>
  <c r="L18" i="4"/>
  <c r="L19" i="4"/>
  <c r="L32" i="4"/>
  <c r="L33" i="4"/>
  <c r="L34" i="4"/>
  <c r="L35" i="4"/>
  <c r="L37" i="4"/>
  <c r="L38" i="4"/>
  <c r="L39" i="4"/>
  <c r="L40" i="4"/>
  <c r="L41" i="4"/>
  <c r="L44" i="4"/>
  <c r="L45" i="4"/>
  <c r="L47" i="4"/>
  <c r="L48" i="4"/>
  <c r="L49" i="4"/>
  <c r="L51" i="4"/>
  <c r="L52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7" i="4"/>
  <c r="L78" i="4"/>
  <c r="L81" i="4"/>
  <c r="L82" i="4"/>
  <c r="L83" i="4"/>
  <c r="L84" i="4"/>
  <c r="L85" i="4"/>
  <c r="L86" i="4"/>
  <c r="L87" i="4"/>
  <c r="AD4" i="4"/>
  <c r="AD10" i="4"/>
  <c r="AD11" i="4"/>
  <c r="AD12" i="4"/>
  <c r="AD18" i="4"/>
  <c r="AD19" i="4"/>
  <c r="AD32" i="4"/>
  <c r="AD33" i="4"/>
  <c r="AD34" i="4"/>
  <c r="AD35" i="4"/>
  <c r="AD37" i="4"/>
  <c r="AD38" i="4"/>
  <c r="AD39" i="4"/>
  <c r="AD40" i="4"/>
  <c r="AD41" i="4"/>
  <c r="AD44" i="4"/>
  <c r="AD45" i="4"/>
  <c r="AD47" i="4"/>
  <c r="AD48" i="4"/>
  <c r="AD49" i="4"/>
  <c r="AD51" i="4"/>
  <c r="AD52" i="4"/>
  <c r="AD55" i="4"/>
  <c r="AD56" i="4"/>
  <c r="AD57" i="4"/>
  <c r="AD58" i="4"/>
  <c r="AD59" i="4"/>
  <c r="AD60" i="4"/>
  <c r="AD61" i="4"/>
  <c r="AD64" i="4"/>
  <c r="AD65" i="4"/>
  <c r="AD66" i="4"/>
  <c r="AD67" i="4"/>
  <c r="AD68" i="4"/>
  <c r="AD69" i="4"/>
  <c r="AD70" i="4"/>
  <c r="AD71" i="4"/>
  <c r="AD72" i="4"/>
  <c r="AD73" i="4"/>
  <c r="AD74" i="4"/>
  <c r="AD77" i="4"/>
  <c r="AD78" i="4"/>
  <c r="AD81" i="4"/>
  <c r="AD82" i="4"/>
  <c r="AD83" i="4"/>
  <c r="AD84" i="4"/>
  <c r="AD85" i="4"/>
  <c r="AD86" i="4"/>
  <c r="AD87" i="4"/>
  <c r="AA18" i="4"/>
  <c r="AA19" i="4"/>
  <c r="AA32" i="4"/>
  <c r="AA33" i="4"/>
  <c r="AA34" i="4"/>
  <c r="AA35" i="4"/>
  <c r="AA37" i="4"/>
  <c r="AA38" i="4"/>
  <c r="AA39" i="4"/>
  <c r="AA40" i="4"/>
  <c r="AA41" i="4"/>
  <c r="AA44" i="4"/>
  <c r="AA45" i="4"/>
  <c r="AA47" i="4"/>
  <c r="AA48" i="4"/>
  <c r="AA49" i="4"/>
  <c r="AA51" i="4"/>
  <c r="AA52" i="4"/>
  <c r="AA55" i="4"/>
  <c r="AA56" i="4"/>
  <c r="AA57" i="4"/>
  <c r="AA58" i="4"/>
  <c r="AA59" i="4"/>
  <c r="AA60" i="4"/>
  <c r="AA61" i="4"/>
  <c r="AA64" i="4"/>
  <c r="AA65" i="4"/>
  <c r="AA66" i="4"/>
  <c r="AA67" i="4"/>
  <c r="AA68" i="4"/>
  <c r="AA69" i="4"/>
  <c r="AA70" i="4"/>
  <c r="AA71" i="4"/>
  <c r="AA72" i="4"/>
  <c r="AA73" i="4"/>
  <c r="AA74" i="4"/>
  <c r="AA77" i="4"/>
  <c r="AA78" i="4"/>
  <c r="AA81" i="4"/>
  <c r="AA82" i="4"/>
  <c r="AA83" i="4"/>
  <c r="AA84" i="4"/>
  <c r="AA85" i="4"/>
  <c r="AA86" i="4"/>
  <c r="AA87" i="4"/>
  <c r="AA10" i="4"/>
  <c r="AA11" i="4"/>
  <c r="AA12" i="4"/>
  <c r="AA4" i="4"/>
  <c r="N4" i="3"/>
  <c r="N10" i="3"/>
  <c r="N11" i="3"/>
  <c r="N12" i="3"/>
  <c r="N14" i="3"/>
  <c r="N15" i="3"/>
  <c r="N18" i="3"/>
  <c r="N19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5" i="3"/>
  <c r="N46" i="3"/>
  <c r="N47" i="3"/>
  <c r="N48" i="3"/>
  <c r="N49" i="3"/>
  <c r="N50" i="3"/>
  <c r="N51" i="3"/>
  <c r="N52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73" i="3"/>
  <c r="AF4" i="3"/>
  <c r="AF10" i="3"/>
  <c r="AF11" i="3"/>
  <c r="AF12" i="3"/>
  <c r="AF14" i="3"/>
  <c r="AF15" i="3"/>
  <c r="AF18" i="3"/>
  <c r="AF19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5" i="3"/>
  <c r="AF46" i="3"/>
  <c r="AF47" i="3"/>
  <c r="AF48" i="3"/>
  <c r="AF49" i="3"/>
  <c r="AF50" i="3"/>
  <c r="AF51" i="3"/>
  <c r="AF52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73" i="3"/>
  <c r="H84" i="1"/>
  <c r="J84" i="1" s="1"/>
  <c r="AE4" i="3"/>
  <c r="AE10" i="3"/>
  <c r="AE11" i="3"/>
  <c r="AE12" i="3"/>
  <c r="AE14" i="3"/>
  <c r="AE15" i="3"/>
  <c r="AE18" i="3"/>
  <c r="AE19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5" i="3"/>
  <c r="AE46" i="3"/>
  <c r="AE47" i="3"/>
  <c r="AE48" i="3"/>
  <c r="AE49" i="3"/>
  <c r="AE50" i="3"/>
  <c r="AE51" i="3"/>
  <c r="AE52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73" i="3"/>
  <c r="F10" i="2"/>
  <c r="F11" i="2"/>
  <c r="F12" i="2"/>
  <c r="F13" i="2"/>
  <c r="F14" i="2"/>
  <c r="F15" i="2"/>
  <c r="F16" i="2"/>
  <c r="AH16" i="21" s="1"/>
  <c r="F17" i="2"/>
  <c r="AH17" i="21" s="1"/>
  <c r="F19" i="2"/>
  <c r="F31" i="2"/>
  <c r="F32" i="2"/>
  <c r="AH32" i="21" s="1"/>
  <c r="F33" i="2"/>
  <c r="AH33" i="21" s="1"/>
  <c r="F34" i="2"/>
  <c r="F35" i="2"/>
  <c r="F36" i="2"/>
  <c r="F37" i="2"/>
  <c r="F38" i="2"/>
  <c r="AH38" i="21" s="1"/>
  <c r="F39" i="2"/>
  <c r="AH39" i="21" s="1"/>
  <c r="F40" i="2"/>
  <c r="AH40" i="21" s="1"/>
  <c r="F41" i="2"/>
  <c r="AH41" i="21" s="1"/>
  <c r="F42" i="2"/>
  <c r="AH42" i="21" s="1"/>
  <c r="F43" i="2"/>
  <c r="AH43" i="21" s="1"/>
  <c r="F44" i="2"/>
  <c r="AH44" i="21" s="1"/>
  <c r="F45" i="2"/>
  <c r="AH45" i="21" s="1"/>
  <c r="F46" i="2"/>
  <c r="AH46" i="21" s="1"/>
  <c r="F47" i="2"/>
  <c r="AH47" i="21" s="1"/>
  <c r="F48" i="2"/>
  <c r="AH48" i="21" s="1"/>
  <c r="F49" i="2"/>
  <c r="AH49" i="21" s="1"/>
  <c r="F50" i="2"/>
  <c r="AH50" i="21" s="1"/>
  <c r="F51" i="2"/>
  <c r="F52" i="2"/>
  <c r="AH52" i="21" s="1"/>
  <c r="F53" i="2"/>
  <c r="AH53" i="21" s="1"/>
  <c r="F54" i="2"/>
  <c r="AH54" i="21" s="1"/>
  <c r="F55" i="2"/>
  <c r="AH55" i="21" s="1"/>
  <c r="F56" i="2"/>
  <c r="AH56" i="21" s="1"/>
  <c r="F57" i="2"/>
  <c r="F58" i="2"/>
  <c r="AH58" i="21" s="1"/>
  <c r="F59" i="2"/>
  <c r="AH59" i="21" s="1"/>
  <c r="F60" i="2"/>
  <c r="AH60" i="21" s="1"/>
  <c r="F61" i="2"/>
  <c r="AH61" i="21" s="1"/>
  <c r="F62" i="2"/>
  <c r="AH62" i="21" s="1"/>
  <c r="F63" i="2"/>
  <c r="AH63" i="21" s="1"/>
  <c r="F64" i="2"/>
  <c r="AH64" i="21" s="1"/>
  <c r="F65" i="2"/>
  <c r="F66" i="2"/>
  <c r="AH66" i="21" s="1"/>
  <c r="F67" i="2"/>
  <c r="F68" i="2"/>
  <c r="F69" i="2"/>
  <c r="AH69" i="21" s="1"/>
  <c r="F70" i="2"/>
  <c r="AH70" i="21" s="1"/>
  <c r="F71" i="2"/>
  <c r="AH71" i="21" s="1"/>
  <c r="F72" i="2"/>
  <c r="AH72" i="21" s="1"/>
  <c r="F73" i="2"/>
  <c r="AH73" i="21" s="1"/>
  <c r="F74" i="2"/>
  <c r="AH74" i="21" s="1"/>
  <c r="F75" i="2"/>
  <c r="AH75" i="21" s="1"/>
  <c r="F76" i="2"/>
  <c r="AH76" i="21" s="1"/>
  <c r="F77" i="2"/>
  <c r="AH77" i="21" s="1"/>
  <c r="F78" i="2"/>
  <c r="AH78" i="21" s="1"/>
  <c r="F79" i="2"/>
  <c r="AH79" i="21" s="1"/>
  <c r="F80" i="2"/>
  <c r="AH80" i="21" s="1"/>
  <c r="F81" i="2"/>
  <c r="AH81" i="21" s="1"/>
  <c r="F82" i="2"/>
  <c r="F83" i="2"/>
  <c r="F84" i="2"/>
  <c r="F85" i="2"/>
  <c r="AH85" i="21" s="1"/>
  <c r="F86" i="2"/>
  <c r="AH86" i="21" s="1"/>
  <c r="F87" i="2"/>
  <c r="AH87" i="21" s="1"/>
  <c r="F88" i="2"/>
  <c r="AH88" i="21" s="1"/>
  <c r="F89" i="2"/>
  <c r="AH89" i="21" s="1"/>
  <c r="F90" i="2"/>
  <c r="AH90" i="21" s="1"/>
  <c r="F91" i="2"/>
  <c r="AH91" i="21" s="1"/>
  <c r="F92" i="2"/>
  <c r="AH92" i="21" s="1"/>
  <c r="F93" i="2"/>
  <c r="F61" i="5"/>
  <c r="AD61" i="5" s="1"/>
  <c r="F60" i="5"/>
  <c r="AD60" i="5" s="1"/>
  <c r="C16" i="23" l="1"/>
  <c r="AH51" i="21"/>
  <c r="C18" i="23"/>
  <c r="AH31" i="21"/>
  <c r="C17" i="23"/>
  <c r="AI19" i="21"/>
  <c r="AH19" i="21"/>
  <c r="AI65" i="21"/>
  <c r="AH65" i="21"/>
  <c r="AH37" i="21"/>
  <c r="AI37" i="21"/>
  <c r="R53" i="15"/>
  <c r="U46" i="15" s="1"/>
  <c r="R55" i="15"/>
  <c r="R51" i="15"/>
  <c r="V46" i="15" s="1"/>
  <c r="R52" i="15"/>
  <c r="W46" i="15" s="1"/>
  <c r="R54" i="15"/>
  <c r="R55" i="9"/>
  <c r="R51" i="9"/>
  <c r="V46" i="9" s="1"/>
  <c r="R54" i="9"/>
  <c r="R53" i="9"/>
  <c r="U46" i="9" s="1"/>
  <c r="R52" i="9"/>
  <c r="W46" i="9" s="1"/>
  <c r="R54" i="10"/>
  <c r="R53" i="10"/>
  <c r="U46" i="10" s="1"/>
  <c r="R52" i="10"/>
  <c r="W46" i="10" s="1"/>
  <c r="R55" i="10"/>
  <c r="R51" i="10"/>
  <c r="V46" i="10" s="1"/>
  <c r="R49" i="15"/>
  <c r="R45" i="15"/>
  <c r="R41" i="15"/>
  <c r="R47" i="9"/>
  <c r="R43" i="9"/>
  <c r="R46" i="9"/>
  <c r="V45" i="9" s="1"/>
  <c r="R47" i="15"/>
  <c r="R43" i="15"/>
  <c r="R48" i="15"/>
  <c r="U45" i="15" s="1"/>
  <c r="R44" i="15"/>
  <c r="R50" i="9"/>
  <c r="R42" i="9"/>
  <c r="W45" i="9" s="1"/>
  <c r="R46" i="15"/>
  <c r="V45" i="15" s="1"/>
  <c r="R45" i="9"/>
  <c r="R49" i="9"/>
  <c r="R41" i="9"/>
  <c r="R50" i="15"/>
  <c r="R42" i="15"/>
  <c r="W45" i="15" s="1"/>
  <c r="R44" i="9"/>
  <c r="R48" i="9"/>
  <c r="U45" i="9" s="1"/>
  <c r="R50" i="10"/>
  <c r="R46" i="10"/>
  <c r="V45" i="10" s="1"/>
  <c r="R42" i="10"/>
  <c r="W45" i="10" s="1"/>
  <c r="R49" i="10"/>
  <c r="R45" i="10"/>
  <c r="R41" i="10"/>
  <c r="R48" i="10"/>
  <c r="U45" i="10" s="1"/>
  <c r="R44" i="10"/>
  <c r="R47" i="10"/>
  <c r="R43" i="10"/>
  <c r="D4" i="3"/>
  <c r="G4" i="3"/>
  <c r="AI4" i="3" s="1"/>
  <c r="U4" i="3"/>
  <c r="W4" i="3"/>
  <c r="Z4" i="3"/>
  <c r="AB4" i="3" s="1"/>
  <c r="AC4" i="3"/>
  <c r="AH4" i="3"/>
  <c r="AN4" i="3"/>
  <c r="U5" i="3"/>
  <c r="V5" i="3"/>
  <c r="W5" i="3"/>
  <c r="U6" i="3"/>
  <c r="V6" i="3"/>
  <c r="W6" i="3"/>
  <c r="U7" i="3"/>
  <c r="V7" i="3"/>
  <c r="W7" i="3"/>
  <c r="D10" i="3"/>
  <c r="G10" i="3"/>
  <c r="AI10" i="3" s="1"/>
  <c r="U10" i="3"/>
  <c r="W10" i="3"/>
  <c r="Z10" i="3"/>
  <c r="AB10" i="3" s="1"/>
  <c r="AC10" i="3"/>
  <c r="AH10" i="3"/>
  <c r="AN10" i="3"/>
  <c r="D11" i="3"/>
  <c r="G11" i="3"/>
  <c r="AI11" i="3" s="1"/>
  <c r="U11" i="3"/>
  <c r="W11" i="3"/>
  <c r="Z11" i="3"/>
  <c r="AB11" i="3" s="1"/>
  <c r="AC11" i="3"/>
  <c r="AH11" i="3"/>
  <c r="AN11" i="3"/>
  <c r="D12" i="3"/>
  <c r="G12" i="3"/>
  <c r="AI12" i="3" s="1"/>
  <c r="U12" i="3"/>
  <c r="W12" i="3"/>
  <c r="Z12" i="3"/>
  <c r="AB12" i="3" s="1"/>
  <c r="AC12" i="3"/>
  <c r="AH12" i="3"/>
  <c r="AN12" i="3"/>
  <c r="U13" i="3"/>
  <c r="V13" i="3"/>
  <c r="W13" i="3"/>
  <c r="D14" i="3"/>
  <c r="G14" i="3"/>
  <c r="AI14" i="3" s="1"/>
  <c r="U14" i="3"/>
  <c r="W14" i="3"/>
  <c r="Z14" i="3"/>
  <c r="AB14" i="3" s="1"/>
  <c r="AC14" i="3"/>
  <c r="AH14" i="3"/>
  <c r="AN14" i="3"/>
  <c r="D15" i="3"/>
  <c r="G15" i="3"/>
  <c r="AI15" i="3" s="1"/>
  <c r="U15" i="3"/>
  <c r="W15" i="3"/>
  <c r="Z15" i="3"/>
  <c r="AB15" i="3" s="1"/>
  <c r="AC15" i="3"/>
  <c r="AH15" i="3"/>
  <c r="AN15" i="3"/>
  <c r="U16" i="3"/>
  <c r="V16" i="3"/>
  <c r="W16" i="3"/>
  <c r="U17" i="3"/>
  <c r="V17" i="3"/>
  <c r="W17" i="3"/>
  <c r="D18" i="3"/>
  <c r="G18" i="3"/>
  <c r="AI18" i="3" s="1"/>
  <c r="U18" i="3"/>
  <c r="W18" i="3"/>
  <c r="Z18" i="3"/>
  <c r="AB18" i="3" s="1"/>
  <c r="AC18" i="3"/>
  <c r="AH18" i="3"/>
  <c r="AN18" i="3"/>
  <c r="D19" i="3"/>
  <c r="G19" i="3"/>
  <c r="AI19" i="3" s="1"/>
  <c r="U19" i="3"/>
  <c r="W19" i="3"/>
  <c r="Z19" i="3"/>
  <c r="AB19" i="3" s="1"/>
  <c r="AC19" i="3"/>
  <c r="AH19" i="3"/>
  <c r="AN19" i="3"/>
  <c r="U20" i="3"/>
  <c r="V20" i="3"/>
  <c r="W20" i="3"/>
  <c r="U21" i="3"/>
  <c r="V21" i="3"/>
  <c r="W21" i="3"/>
  <c r="U22" i="3"/>
  <c r="V22" i="3"/>
  <c r="W22" i="3"/>
  <c r="U23" i="3"/>
  <c r="V23" i="3"/>
  <c r="W23" i="3"/>
  <c r="U24" i="3"/>
  <c r="V24" i="3"/>
  <c r="W24" i="3"/>
  <c r="U25" i="3"/>
  <c r="V25" i="3"/>
  <c r="W25" i="3"/>
  <c r="U26" i="3"/>
  <c r="V26" i="3"/>
  <c r="W26" i="3"/>
  <c r="U27" i="3"/>
  <c r="V27" i="3"/>
  <c r="W27" i="3"/>
  <c r="U28" i="3"/>
  <c r="V28" i="3"/>
  <c r="W28" i="3"/>
  <c r="U29" i="3"/>
  <c r="V29" i="3"/>
  <c r="W29" i="3"/>
  <c r="D31" i="3"/>
  <c r="G31" i="3"/>
  <c r="AI31" i="3" s="1"/>
  <c r="U31" i="3"/>
  <c r="W31" i="3"/>
  <c r="Z31" i="3"/>
  <c r="AB31" i="3" s="1"/>
  <c r="AC31" i="3"/>
  <c r="AH31" i="3"/>
  <c r="AN31" i="3"/>
  <c r="D32" i="3"/>
  <c r="G32" i="3"/>
  <c r="AI32" i="3" s="1"/>
  <c r="U32" i="3"/>
  <c r="W32" i="3"/>
  <c r="Z32" i="3"/>
  <c r="AB32" i="3" s="1"/>
  <c r="AC32" i="3"/>
  <c r="AH32" i="3"/>
  <c r="AN32" i="3"/>
  <c r="D33" i="3"/>
  <c r="G33" i="3"/>
  <c r="AI33" i="3" s="1"/>
  <c r="U33" i="3"/>
  <c r="W33" i="3"/>
  <c r="Z33" i="3"/>
  <c r="AB33" i="3" s="1"/>
  <c r="AC33" i="3"/>
  <c r="AH33" i="3"/>
  <c r="AN33" i="3"/>
  <c r="D34" i="3"/>
  <c r="G34" i="3"/>
  <c r="AI34" i="3" s="1"/>
  <c r="U34" i="3"/>
  <c r="W34" i="3"/>
  <c r="Z34" i="3"/>
  <c r="AB34" i="3" s="1"/>
  <c r="AC34" i="3"/>
  <c r="AH34" i="3"/>
  <c r="AN34" i="3"/>
  <c r="D35" i="3"/>
  <c r="G35" i="3"/>
  <c r="AI35" i="3" s="1"/>
  <c r="U35" i="3"/>
  <c r="W35" i="3"/>
  <c r="Z35" i="3"/>
  <c r="AB35" i="3" s="1"/>
  <c r="AC35" i="3"/>
  <c r="AH35" i="3"/>
  <c r="AN35" i="3"/>
  <c r="D36" i="3"/>
  <c r="G36" i="3"/>
  <c r="AI36" i="3" s="1"/>
  <c r="U36" i="3"/>
  <c r="W36" i="3"/>
  <c r="Z36" i="3"/>
  <c r="AB36" i="3" s="1"/>
  <c r="AC36" i="3"/>
  <c r="AH36" i="3"/>
  <c r="AN36" i="3"/>
  <c r="D37" i="3"/>
  <c r="G37" i="3"/>
  <c r="AI37" i="3" s="1"/>
  <c r="U37" i="3"/>
  <c r="W37" i="3"/>
  <c r="Z37" i="3"/>
  <c r="AB37" i="3" s="1"/>
  <c r="AC37" i="3"/>
  <c r="AH37" i="3"/>
  <c r="AN37" i="3"/>
  <c r="D38" i="3"/>
  <c r="G38" i="3"/>
  <c r="AI38" i="3" s="1"/>
  <c r="U38" i="3"/>
  <c r="W38" i="3"/>
  <c r="Z38" i="3"/>
  <c r="AB38" i="3" s="1"/>
  <c r="AC38" i="3"/>
  <c r="AH38" i="3"/>
  <c r="AN38" i="3"/>
  <c r="D39" i="3"/>
  <c r="G39" i="3"/>
  <c r="AI39" i="3" s="1"/>
  <c r="U39" i="3"/>
  <c r="W39" i="3"/>
  <c r="Z39" i="3"/>
  <c r="AB39" i="3" s="1"/>
  <c r="AC39" i="3"/>
  <c r="AH39" i="3"/>
  <c r="AN39" i="3"/>
  <c r="D40" i="3"/>
  <c r="G40" i="3"/>
  <c r="AI40" i="3" s="1"/>
  <c r="U40" i="3"/>
  <c r="W40" i="3"/>
  <c r="Z40" i="3"/>
  <c r="AB40" i="3" s="1"/>
  <c r="AC40" i="3"/>
  <c r="AH40" i="3"/>
  <c r="AN40" i="3"/>
  <c r="D41" i="3"/>
  <c r="G41" i="3"/>
  <c r="AI41" i="3" s="1"/>
  <c r="U41" i="3"/>
  <c r="W41" i="3"/>
  <c r="Z41" i="3"/>
  <c r="AB41" i="3" s="1"/>
  <c r="AC41" i="3"/>
  <c r="AH41" i="3"/>
  <c r="AN41" i="3"/>
  <c r="D42" i="3"/>
  <c r="G42" i="3"/>
  <c r="AI42" i="3" s="1"/>
  <c r="U42" i="3"/>
  <c r="W42" i="3"/>
  <c r="Z42" i="3"/>
  <c r="AB42" i="3" s="1"/>
  <c r="AC42" i="3"/>
  <c r="AH42" i="3"/>
  <c r="AN42" i="3"/>
  <c r="D43" i="3"/>
  <c r="G43" i="3"/>
  <c r="AI43" i="3" s="1"/>
  <c r="U43" i="3"/>
  <c r="W43" i="3"/>
  <c r="Z43" i="3"/>
  <c r="AB43" i="3" s="1"/>
  <c r="AC43" i="3"/>
  <c r="AH43" i="3"/>
  <c r="AN43" i="3"/>
  <c r="D45" i="3"/>
  <c r="G45" i="3"/>
  <c r="U45" i="3"/>
  <c r="W45" i="3"/>
  <c r="Z45" i="3"/>
  <c r="AC45" i="3"/>
  <c r="AH45" i="3"/>
  <c r="AN45" i="3"/>
  <c r="D46" i="3"/>
  <c r="G46" i="3"/>
  <c r="AI46" i="3" s="1"/>
  <c r="U46" i="3"/>
  <c r="W46" i="3"/>
  <c r="Z46" i="3"/>
  <c r="AB46" i="3" s="1"/>
  <c r="AC46" i="3"/>
  <c r="AH46" i="3"/>
  <c r="AN46" i="3"/>
  <c r="D47" i="3"/>
  <c r="G47" i="3"/>
  <c r="AI47" i="3" s="1"/>
  <c r="U47" i="3"/>
  <c r="W47" i="3"/>
  <c r="Z47" i="3"/>
  <c r="AB47" i="3" s="1"/>
  <c r="AC47" i="3"/>
  <c r="AH47" i="3"/>
  <c r="AN47" i="3"/>
  <c r="D48" i="3"/>
  <c r="G48" i="3"/>
  <c r="AI48" i="3" s="1"/>
  <c r="U48" i="3"/>
  <c r="W48" i="3"/>
  <c r="Z48" i="3"/>
  <c r="AB48" i="3" s="1"/>
  <c r="AC48" i="3"/>
  <c r="AH48" i="3"/>
  <c r="AN48" i="3"/>
  <c r="D49" i="3"/>
  <c r="G49" i="3"/>
  <c r="AI49" i="3" s="1"/>
  <c r="U49" i="3"/>
  <c r="W49" i="3"/>
  <c r="Z49" i="3"/>
  <c r="AC49" i="3"/>
  <c r="AH49" i="3"/>
  <c r="AN49" i="3"/>
  <c r="D50" i="3"/>
  <c r="G50" i="3"/>
  <c r="AI50" i="3" s="1"/>
  <c r="U50" i="3"/>
  <c r="W50" i="3"/>
  <c r="Z50" i="3"/>
  <c r="AB50" i="3" s="1"/>
  <c r="AC50" i="3"/>
  <c r="AH50" i="3"/>
  <c r="AN50" i="3"/>
  <c r="D51" i="3"/>
  <c r="G51" i="3"/>
  <c r="AI51" i="3" s="1"/>
  <c r="U51" i="3"/>
  <c r="W51" i="3"/>
  <c r="Z51" i="3"/>
  <c r="AB51" i="3" s="1"/>
  <c r="AC51" i="3"/>
  <c r="AH51" i="3"/>
  <c r="AN51" i="3"/>
  <c r="D52" i="3"/>
  <c r="G52" i="3"/>
  <c r="AI52" i="3" s="1"/>
  <c r="U52" i="3"/>
  <c r="W52" i="3"/>
  <c r="Z52" i="3"/>
  <c r="AB52" i="3" s="1"/>
  <c r="AC52" i="3"/>
  <c r="AH52" i="3"/>
  <c r="AN52" i="3"/>
  <c r="D54" i="3"/>
  <c r="G54" i="3"/>
  <c r="AI54" i="3" s="1"/>
  <c r="U54" i="3"/>
  <c r="W54" i="3"/>
  <c r="Z54" i="3"/>
  <c r="AB54" i="3" s="1"/>
  <c r="AC54" i="3"/>
  <c r="AH54" i="3"/>
  <c r="AN54" i="3"/>
  <c r="D55" i="3"/>
  <c r="G55" i="3"/>
  <c r="AI55" i="3" s="1"/>
  <c r="U55" i="3"/>
  <c r="W55" i="3"/>
  <c r="Z55" i="3"/>
  <c r="AB55" i="3" s="1"/>
  <c r="AC55" i="3"/>
  <c r="AH55" i="3"/>
  <c r="AN55" i="3"/>
  <c r="D56" i="3"/>
  <c r="G56" i="3"/>
  <c r="AI56" i="3" s="1"/>
  <c r="U56" i="3"/>
  <c r="W56" i="3"/>
  <c r="Z56" i="3"/>
  <c r="AB56" i="3" s="1"/>
  <c r="AC56" i="3"/>
  <c r="AH56" i="3"/>
  <c r="AN56" i="3"/>
  <c r="D57" i="3"/>
  <c r="G57" i="3"/>
  <c r="U57" i="3"/>
  <c r="W57" i="3"/>
  <c r="Z57" i="3"/>
  <c r="AB57" i="3" s="1"/>
  <c r="AC57" i="3"/>
  <c r="AH57" i="3"/>
  <c r="AN57" i="3"/>
  <c r="D58" i="3"/>
  <c r="G58" i="3"/>
  <c r="AI58" i="3" s="1"/>
  <c r="U58" i="3"/>
  <c r="W58" i="3"/>
  <c r="Z58" i="3"/>
  <c r="AB58" i="3" s="1"/>
  <c r="AC58" i="3"/>
  <c r="AH58" i="3"/>
  <c r="AN58" i="3"/>
  <c r="D59" i="3"/>
  <c r="G59" i="3"/>
  <c r="AI59" i="3" s="1"/>
  <c r="U59" i="3"/>
  <c r="W59" i="3"/>
  <c r="Z59" i="3"/>
  <c r="AB59" i="3" s="1"/>
  <c r="AC59" i="3"/>
  <c r="AH59" i="3"/>
  <c r="AN59" i="3"/>
  <c r="D60" i="3"/>
  <c r="G60" i="3"/>
  <c r="AI60" i="3" s="1"/>
  <c r="U60" i="3"/>
  <c r="W60" i="3"/>
  <c r="Z60" i="3"/>
  <c r="AB60" i="3" s="1"/>
  <c r="AC60" i="3"/>
  <c r="AH60" i="3"/>
  <c r="AN60" i="3"/>
  <c r="D61" i="3"/>
  <c r="G61" i="3"/>
  <c r="AI61" i="3" s="1"/>
  <c r="U61" i="3"/>
  <c r="W61" i="3"/>
  <c r="Z61" i="3"/>
  <c r="AB61" i="3" s="1"/>
  <c r="AC61" i="3"/>
  <c r="AH61" i="3"/>
  <c r="AN61" i="3"/>
  <c r="D62" i="3"/>
  <c r="G62" i="3"/>
  <c r="AI62" i="3" s="1"/>
  <c r="U62" i="3"/>
  <c r="W62" i="3"/>
  <c r="Z62" i="3"/>
  <c r="AB62" i="3" s="1"/>
  <c r="AC62" i="3"/>
  <c r="AH62" i="3"/>
  <c r="AN62" i="3"/>
  <c r="D63" i="3"/>
  <c r="G63" i="3"/>
  <c r="AI63" i="3" s="1"/>
  <c r="U63" i="3"/>
  <c r="W63" i="3"/>
  <c r="Z63" i="3"/>
  <c r="AB63" i="3" s="1"/>
  <c r="AC63" i="3"/>
  <c r="AH63" i="3"/>
  <c r="AN63" i="3"/>
  <c r="D64" i="3"/>
  <c r="G64" i="3"/>
  <c r="AI64" i="3" s="1"/>
  <c r="U64" i="3"/>
  <c r="W64" i="3"/>
  <c r="Z64" i="3"/>
  <c r="AB64" i="3" s="1"/>
  <c r="AC64" i="3"/>
  <c r="AH64" i="3"/>
  <c r="AN64" i="3"/>
  <c r="D65" i="3"/>
  <c r="G65" i="3"/>
  <c r="AI65" i="3" s="1"/>
  <c r="U65" i="3"/>
  <c r="W65" i="3"/>
  <c r="Z65" i="3"/>
  <c r="AB65" i="3" s="1"/>
  <c r="AC65" i="3"/>
  <c r="AH65" i="3"/>
  <c r="AN65" i="3"/>
  <c r="D66" i="3"/>
  <c r="G66" i="3"/>
  <c r="AI66" i="3" s="1"/>
  <c r="U66" i="3"/>
  <c r="W66" i="3"/>
  <c r="Z66" i="3"/>
  <c r="AB66" i="3" s="1"/>
  <c r="AC66" i="3"/>
  <c r="AH66" i="3"/>
  <c r="AN66" i="3"/>
  <c r="D67" i="3"/>
  <c r="G67" i="3"/>
  <c r="AI67" i="3" s="1"/>
  <c r="U67" i="3"/>
  <c r="W67" i="3"/>
  <c r="Z67" i="3"/>
  <c r="AB67" i="3" s="1"/>
  <c r="AC67" i="3"/>
  <c r="AH67" i="3"/>
  <c r="AN67" i="3"/>
  <c r="D73" i="3"/>
  <c r="G73" i="3"/>
  <c r="AI73" i="3" s="1"/>
  <c r="U73" i="3"/>
  <c r="W73" i="3"/>
  <c r="Z73" i="3"/>
  <c r="AB73" i="3" s="1"/>
  <c r="AC73" i="3"/>
  <c r="AH73" i="3"/>
  <c r="AN73" i="3"/>
  <c r="W51" i="9" l="1"/>
  <c r="W47" i="9"/>
  <c r="U51" i="9" s="1"/>
  <c r="U52" i="9" s="1"/>
  <c r="W56" i="9"/>
  <c r="W57" i="9" s="1"/>
  <c r="U56" i="9"/>
  <c r="U57" i="9" s="1"/>
  <c r="Z57" i="9" s="1"/>
  <c r="W51" i="10"/>
  <c r="W47" i="10"/>
  <c r="U51" i="10" s="1"/>
  <c r="U52" i="10" s="1"/>
  <c r="U56" i="10"/>
  <c r="U57" i="10" s="1"/>
  <c r="AA57" i="10" s="1"/>
  <c r="W56" i="10"/>
  <c r="W57" i="10" s="1"/>
  <c r="W47" i="15"/>
  <c r="U51" i="15" s="1"/>
  <c r="U52" i="15" s="1"/>
  <c r="W51" i="15"/>
  <c r="AD49" i="3"/>
  <c r="AB49" i="3"/>
  <c r="AD45" i="3"/>
  <c r="AB45" i="3"/>
  <c r="V56" i="10"/>
  <c r="U56" i="15"/>
  <c r="U57" i="15" s="1"/>
  <c r="AA57" i="15" s="1"/>
  <c r="W56" i="15"/>
  <c r="W57" i="15" s="1"/>
  <c r="X47" i="9"/>
  <c r="AA12" i="3"/>
  <c r="AD12" i="3"/>
  <c r="AG11" i="3"/>
  <c r="AD11" i="3"/>
  <c r="V10" i="3"/>
  <c r="AD10" i="3"/>
  <c r="AA61" i="3"/>
  <c r="AD61" i="3"/>
  <c r="AA60" i="3"/>
  <c r="AD60" i="3"/>
  <c r="AA59" i="3"/>
  <c r="AD59" i="3"/>
  <c r="AA58" i="3"/>
  <c r="AD58" i="3"/>
  <c r="V57" i="3"/>
  <c r="AD57" i="3"/>
  <c r="AA56" i="3"/>
  <c r="AD56" i="3"/>
  <c r="AA55" i="3"/>
  <c r="AD55" i="3"/>
  <c r="AG54" i="3"/>
  <c r="AD54" i="3"/>
  <c r="V52" i="3"/>
  <c r="AD52" i="3"/>
  <c r="AA51" i="3"/>
  <c r="AD51" i="3"/>
  <c r="AA50" i="3"/>
  <c r="AD50" i="3"/>
  <c r="V48" i="3"/>
  <c r="AD48" i="3"/>
  <c r="AA47" i="3"/>
  <c r="AD47" i="3"/>
  <c r="AA46" i="3"/>
  <c r="AD46" i="3"/>
  <c r="V43" i="3"/>
  <c r="AD43" i="3"/>
  <c r="AA42" i="3"/>
  <c r="AD42" i="3"/>
  <c r="AA41" i="3"/>
  <c r="AD41" i="3"/>
  <c r="AG40" i="3"/>
  <c r="AD40" i="3"/>
  <c r="V39" i="3"/>
  <c r="AD39" i="3"/>
  <c r="AA38" i="3"/>
  <c r="AD38" i="3"/>
  <c r="V37" i="3"/>
  <c r="AD37" i="3"/>
  <c r="AG36" i="3"/>
  <c r="AD36" i="3"/>
  <c r="V35" i="3"/>
  <c r="AD35" i="3"/>
  <c r="AA34" i="3"/>
  <c r="AD34" i="3"/>
  <c r="V33" i="3"/>
  <c r="AD33" i="3"/>
  <c r="AG32" i="3"/>
  <c r="AD32" i="3"/>
  <c r="V31" i="3"/>
  <c r="AD31" i="3"/>
  <c r="AA15" i="3"/>
  <c r="AD15" i="3"/>
  <c r="V14" i="3"/>
  <c r="AD14" i="3"/>
  <c r="AA73" i="3"/>
  <c r="AD73" i="3"/>
  <c r="V67" i="3"/>
  <c r="AD67" i="3"/>
  <c r="AA66" i="3"/>
  <c r="AD66" i="3"/>
  <c r="AA65" i="3"/>
  <c r="AD65" i="3"/>
  <c r="V64" i="3"/>
  <c r="AD64" i="3"/>
  <c r="AA63" i="3"/>
  <c r="AD63" i="3"/>
  <c r="AA19" i="3"/>
  <c r="AD19" i="3"/>
  <c r="V18" i="3"/>
  <c r="AD18" i="3"/>
  <c r="AA62" i="3"/>
  <c r="AD62" i="3"/>
  <c r="AG62" i="3"/>
  <c r="V62" i="3"/>
  <c r="AK61" i="3"/>
  <c r="AK60" i="3"/>
  <c r="V4" i="3"/>
  <c r="AD4" i="3"/>
  <c r="AK47" i="3"/>
  <c r="AK34" i="3"/>
  <c r="AG46" i="3"/>
  <c r="AG34" i="3"/>
  <c r="V46" i="3"/>
  <c r="AG47" i="3"/>
  <c r="V47" i="3"/>
  <c r="AJ19" i="3"/>
  <c r="AG58" i="3"/>
  <c r="V58" i="3"/>
  <c r="AG48" i="3"/>
  <c r="AG14" i="3"/>
  <c r="AG41" i="3"/>
  <c r="V41" i="3"/>
  <c r="AA18" i="3"/>
  <c r="AG12" i="3"/>
  <c r="AG10" i="3"/>
  <c r="AJ73" i="3"/>
  <c r="AJ67" i="3"/>
  <c r="AK66" i="3"/>
  <c r="V51" i="3"/>
  <c r="V50" i="3"/>
  <c r="AK49" i="3"/>
  <c r="AG42" i="3"/>
  <c r="V42" i="3"/>
  <c r="AA31" i="3"/>
  <c r="AA14" i="3"/>
  <c r="V12" i="3"/>
  <c r="AK11" i="3"/>
  <c r="AG4" i="3"/>
  <c r="AG50" i="3"/>
  <c r="AG67" i="3"/>
  <c r="AG59" i="3"/>
  <c r="AA57" i="3"/>
  <c r="AG56" i="3"/>
  <c r="V56" i="3"/>
  <c r="AK32" i="3"/>
  <c r="AA10" i="3"/>
  <c r="AG52" i="3"/>
  <c r="AG37" i="3"/>
  <c r="AG33" i="3"/>
  <c r="AJ18" i="3"/>
  <c r="AG73" i="3"/>
  <c r="AA67" i="3"/>
  <c r="AG60" i="3"/>
  <c r="V60" i="3"/>
  <c r="V59" i="3"/>
  <c r="AA48" i="3"/>
  <c r="AG31" i="3"/>
  <c r="AG18" i="3"/>
  <c r="AG15" i="3"/>
  <c r="AG63" i="3"/>
  <c r="AA52" i="3"/>
  <c r="AA39" i="3"/>
  <c r="AA37" i="3"/>
  <c r="AA33" i="3"/>
  <c r="V15" i="3"/>
  <c r="AK63" i="3"/>
  <c r="AG43" i="3"/>
  <c r="AG35" i="3"/>
  <c r="AG19" i="3"/>
  <c r="AG55" i="3"/>
  <c r="AK65" i="3"/>
  <c r="AG64" i="3"/>
  <c r="V73" i="3"/>
  <c r="AK67" i="3"/>
  <c r="AG66" i="3"/>
  <c r="V63" i="3"/>
  <c r="AK62" i="3"/>
  <c r="AG57" i="3"/>
  <c r="V55" i="3"/>
  <c r="AG39" i="3"/>
  <c r="AK38" i="3"/>
  <c r="AG38" i="3"/>
  <c r="V19" i="3"/>
  <c r="AJ4" i="3"/>
  <c r="AG65" i="3"/>
  <c r="AA64" i="3"/>
  <c r="AG51" i="3"/>
  <c r="AA43" i="3"/>
  <c r="V38" i="3"/>
  <c r="AA35" i="3"/>
  <c r="AJ35" i="3"/>
  <c r="V34" i="3"/>
  <c r="AK51" i="3"/>
  <c r="AJ43" i="3"/>
  <c r="AJ41" i="3"/>
  <c r="AJ31" i="3"/>
  <c r="AJ14" i="3"/>
  <c r="AK12" i="3"/>
  <c r="AK73" i="3"/>
  <c r="AK55" i="3"/>
  <c r="AK43" i="3"/>
  <c r="AK42" i="3"/>
  <c r="AK54" i="3"/>
  <c r="AK41" i="3"/>
  <c r="AK31" i="3"/>
  <c r="AJ15" i="3"/>
  <c r="AK14" i="3"/>
  <c r="AK59" i="3"/>
  <c r="AJ57" i="3"/>
  <c r="AJ55" i="3"/>
  <c r="AJ52" i="3"/>
  <c r="AJ50" i="3"/>
  <c r="AJ48" i="3"/>
  <c r="AJ46" i="3"/>
  <c r="AJ39" i="3"/>
  <c r="AJ37" i="3"/>
  <c r="AK35" i="3"/>
  <c r="AJ33" i="3"/>
  <c r="AK19" i="3"/>
  <c r="AK18" i="3"/>
  <c r="AJ10" i="3"/>
  <c r="AJ63" i="3"/>
  <c r="AK58" i="3"/>
  <c r="AK57" i="3"/>
  <c r="AK56" i="3"/>
  <c r="AK39" i="3"/>
  <c r="AK36" i="3"/>
  <c r="AK15" i="3"/>
  <c r="AJ12" i="3"/>
  <c r="AI57" i="3"/>
  <c r="AK64" i="3"/>
  <c r="AJ64" i="3"/>
  <c r="AJ59" i="3"/>
  <c r="AK52" i="3"/>
  <c r="AK50" i="3"/>
  <c r="AK48" i="3"/>
  <c r="AK46" i="3"/>
  <c r="AK37" i="3"/>
  <c r="AK33" i="3"/>
  <c r="AK10" i="3"/>
  <c r="AK4" i="3"/>
  <c r="AJ62" i="3"/>
  <c r="AJ66" i="3"/>
  <c r="AJ61" i="3"/>
  <c r="AJ65" i="3"/>
  <c r="AG61" i="3"/>
  <c r="V66" i="3"/>
  <c r="AK45" i="3"/>
  <c r="AA45" i="3"/>
  <c r="V45" i="3"/>
  <c r="AJ40" i="3"/>
  <c r="AA49" i="3"/>
  <c r="V49" i="3"/>
  <c r="AJ45" i="3"/>
  <c r="V65" i="3"/>
  <c r="V61" i="3"/>
  <c r="AJ60" i="3"/>
  <c r="AJ54" i="3"/>
  <c r="AG49" i="3"/>
  <c r="AK40" i="3"/>
  <c r="AA40" i="3"/>
  <c r="V40" i="3"/>
  <c r="AJ36" i="3"/>
  <c r="AJ11" i="3"/>
  <c r="AA32" i="3"/>
  <c r="V32" i="3"/>
  <c r="AJ58" i="3"/>
  <c r="AA54" i="3"/>
  <c r="V54" i="3"/>
  <c r="AJ49" i="3"/>
  <c r="AI45" i="3"/>
  <c r="AG45" i="3"/>
  <c r="AA36" i="3"/>
  <c r="V36" i="3"/>
  <c r="AJ32" i="3"/>
  <c r="AA11" i="3"/>
  <c r="V11" i="3"/>
  <c r="AJ56" i="3"/>
  <c r="AJ51" i="3"/>
  <c r="AJ47" i="3"/>
  <c r="AJ42" i="3"/>
  <c r="AJ38" i="3"/>
  <c r="AJ34" i="3"/>
  <c r="AA4" i="3"/>
  <c r="Y37" i="9"/>
  <c r="Y37" i="10"/>
  <c r="Y37" i="15"/>
  <c r="V51" i="9" l="1"/>
  <c r="X47" i="10"/>
  <c r="Z57" i="10"/>
  <c r="V51" i="10"/>
  <c r="X51" i="10" s="1"/>
  <c r="AB51" i="10" s="1"/>
  <c r="AA57" i="9"/>
  <c r="V56" i="9"/>
  <c r="V57" i="9" s="1"/>
  <c r="Z57" i="15"/>
  <c r="X47" i="15"/>
  <c r="W52" i="10"/>
  <c r="Y52" i="10" s="1"/>
  <c r="Y51" i="10"/>
  <c r="Y51" i="9"/>
  <c r="W52" i="9"/>
  <c r="Y52" i="9" s="1"/>
  <c r="AC56" i="10"/>
  <c r="AC57" i="10" s="1"/>
  <c r="V57" i="10"/>
  <c r="V56" i="15"/>
  <c r="AC51" i="9"/>
  <c r="AC52" i="9" s="1"/>
  <c r="V52" i="9"/>
  <c r="X51" i="9"/>
  <c r="AB51" i="9" s="1"/>
  <c r="AC51" i="10"/>
  <c r="AC52" i="10" s="1"/>
  <c r="W52" i="15"/>
  <c r="Y52" i="15" s="1"/>
  <c r="Y51" i="15"/>
  <c r="V51" i="15"/>
  <c r="C60" i="5"/>
  <c r="T60" i="5"/>
  <c r="AE60" i="5" s="1"/>
  <c r="U60" i="5"/>
  <c r="Y60" i="5"/>
  <c r="AG60" i="5"/>
  <c r="AJ60" i="5" s="1"/>
  <c r="AH60" i="5"/>
  <c r="AI60" i="5"/>
  <c r="AN60" i="5"/>
  <c r="AK60" i="5" s="1"/>
  <c r="C61" i="5"/>
  <c r="T61" i="5"/>
  <c r="AE61" i="5" s="1"/>
  <c r="U61" i="5"/>
  <c r="Y61" i="5"/>
  <c r="AG61" i="5"/>
  <c r="AJ61" i="5" s="1"/>
  <c r="AH61" i="5"/>
  <c r="AI61" i="5"/>
  <c r="AN61" i="5"/>
  <c r="AK61" i="5" s="1"/>
  <c r="X37" i="9"/>
  <c r="Y38" i="10"/>
  <c r="X37" i="15"/>
  <c r="Y38" i="15"/>
  <c r="Y38" i="9"/>
  <c r="X37" i="10"/>
  <c r="V52" i="10" l="1"/>
  <c r="X52" i="10" s="1"/>
  <c r="AB52" i="10" s="1"/>
  <c r="AC56" i="9"/>
  <c r="AC57" i="9" s="1"/>
  <c r="X52" i="9"/>
  <c r="AB52" i="9" s="1"/>
  <c r="V57" i="15"/>
  <c r="AC56" i="15"/>
  <c r="AC57" i="15" s="1"/>
  <c r="AA52" i="10"/>
  <c r="Z52" i="10"/>
  <c r="X51" i="15"/>
  <c r="AB51" i="15" s="1"/>
  <c r="V52" i="15"/>
  <c r="X52" i="15" s="1"/>
  <c r="AB52" i="15" s="1"/>
  <c r="AC51" i="15"/>
  <c r="AC52" i="15" s="1"/>
  <c r="AA52" i="15"/>
  <c r="Z52" i="15"/>
  <c r="AA52" i="9"/>
  <c r="Z52" i="9"/>
  <c r="AA61" i="5"/>
  <c r="AC61" i="5"/>
  <c r="AA60" i="5"/>
  <c r="AC60" i="5"/>
  <c r="AB37" i="9"/>
  <c r="AB37" i="15"/>
  <c r="AB37" i="10"/>
  <c r="V61" i="5"/>
  <c r="Z60" i="5"/>
  <c r="V60" i="5"/>
  <c r="AF60" i="5"/>
  <c r="AF61" i="5"/>
  <c r="Z61" i="5"/>
  <c r="C81" i="5"/>
  <c r="C82" i="5"/>
  <c r="C83" i="5"/>
  <c r="C84" i="5"/>
  <c r="C89" i="5"/>
  <c r="C90" i="5"/>
  <c r="C91" i="5"/>
  <c r="C92" i="5"/>
  <c r="C93" i="5"/>
  <c r="T81" i="5"/>
  <c r="AE81" i="5" s="1"/>
  <c r="T82" i="5"/>
  <c r="AE82" i="5" s="1"/>
  <c r="T83" i="5"/>
  <c r="AE83" i="5" s="1"/>
  <c r="T84" i="5"/>
  <c r="AE84" i="5" s="1"/>
  <c r="T89" i="5"/>
  <c r="AE89" i="5" s="1"/>
  <c r="T90" i="5"/>
  <c r="AE90" i="5" s="1"/>
  <c r="T91" i="5"/>
  <c r="AE91" i="5" s="1"/>
  <c r="T92" i="5"/>
  <c r="AE92" i="5" s="1"/>
  <c r="T93" i="5"/>
  <c r="AE93" i="5" s="1"/>
  <c r="U81" i="5"/>
  <c r="U82" i="5"/>
  <c r="U83" i="5"/>
  <c r="U84" i="5"/>
  <c r="U89" i="5"/>
  <c r="U90" i="5"/>
  <c r="U91" i="5"/>
  <c r="U92" i="5"/>
  <c r="U93" i="5"/>
  <c r="Y81" i="5"/>
  <c r="Y82" i="5"/>
  <c r="Y83" i="5"/>
  <c r="Y84" i="5"/>
  <c r="Y89" i="5"/>
  <c r="Y90" i="5"/>
  <c r="Y91" i="5"/>
  <c r="Y92" i="5"/>
  <c r="Y93" i="5"/>
  <c r="Z82" i="5"/>
  <c r="AG81" i="5"/>
  <c r="AG82" i="5"/>
  <c r="AJ82" i="5" s="1"/>
  <c r="AG83" i="5"/>
  <c r="AJ83" i="5" s="1"/>
  <c r="AG84" i="5"/>
  <c r="AJ84" i="5" s="1"/>
  <c r="AG89" i="5"/>
  <c r="AG90" i="5"/>
  <c r="AG91" i="5"/>
  <c r="AG92" i="5"/>
  <c r="AG93" i="5"/>
  <c r="AH81" i="5"/>
  <c r="AH82" i="5"/>
  <c r="AH83" i="5"/>
  <c r="AH84" i="5"/>
  <c r="AH89" i="5"/>
  <c r="AH90" i="5"/>
  <c r="AH91" i="5"/>
  <c r="AH92" i="5"/>
  <c r="AH93" i="5"/>
  <c r="AI81" i="5"/>
  <c r="AI82" i="5"/>
  <c r="AI83" i="5"/>
  <c r="AI84" i="5"/>
  <c r="AI89" i="5"/>
  <c r="AI90" i="5"/>
  <c r="AI91" i="5"/>
  <c r="AI92" i="5"/>
  <c r="AI93" i="5"/>
  <c r="AN81" i="5"/>
  <c r="AK81" i="5" s="1"/>
  <c r="AN82" i="5"/>
  <c r="AK82" i="5" s="1"/>
  <c r="AN83" i="5"/>
  <c r="AK83" i="5" s="1"/>
  <c r="AN84" i="5"/>
  <c r="AK84" i="5" s="1"/>
  <c r="AN89" i="5"/>
  <c r="AK89" i="5" s="1"/>
  <c r="AN90" i="5"/>
  <c r="AK90" i="5" s="1"/>
  <c r="AN91" i="5"/>
  <c r="AK91" i="5" s="1"/>
  <c r="AN92" i="5"/>
  <c r="AK92" i="5" s="1"/>
  <c r="AN93" i="5"/>
  <c r="AK93" i="5" s="1"/>
  <c r="X38" i="9"/>
  <c r="X38" i="10"/>
  <c r="X38" i="15"/>
  <c r="AA91" i="5" l="1"/>
  <c r="AC91" i="5"/>
  <c r="AA83" i="5"/>
  <c r="AC83" i="5"/>
  <c r="AF92" i="5"/>
  <c r="AA92" i="5"/>
  <c r="AC92" i="5"/>
  <c r="AA90" i="5"/>
  <c r="AC90" i="5"/>
  <c r="AA82" i="5"/>
  <c r="AC82" i="5"/>
  <c r="AA84" i="5"/>
  <c r="AC84" i="5"/>
  <c r="AA93" i="5"/>
  <c r="AC93" i="5"/>
  <c r="AA89" i="5"/>
  <c r="AC89" i="5"/>
  <c r="AA81" i="5"/>
  <c r="AC81" i="5"/>
  <c r="AB38" i="9"/>
  <c r="AB38" i="10"/>
  <c r="AB38" i="15"/>
  <c r="V84" i="5"/>
  <c r="V91" i="5"/>
  <c r="V83" i="5"/>
  <c r="V89" i="5"/>
  <c r="V92" i="5"/>
  <c r="V90" i="5"/>
  <c r="V82" i="5"/>
  <c r="AF91" i="5"/>
  <c r="AF90" i="5"/>
  <c r="AF82" i="5"/>
  <c r="AF83" i="5"/>
  <c r="Z90" i="5"/>
  <c r="AF84" i="5"/>
  <c r="Z84" i="5"/>
  <c r="Z89" i="5"/>
  <c r="Z92" i="5"/>
  <c r="Z81" i="5"/>
  <c r="V93" i="5"/>
  <c r="Z93" i="5"/>
  <c r="V81" i="5"/>
  <c r="AF93" i="5"/>
  <c r="AF89" i="5"/>
  <c r="AF81" i="5"/>
  <c r="Z91" i="5"/>
  <c r="Z83" i="5"/>
  <c r="D86" i="7"/>
  <c r="F86" i="7" s="1"/>
  <c r="AF86" i="7" s="1"/>
  <c r="D87" i="7"/>
  <c r="D88" i="7"/>
  <c r="F88" i="7" s="1"/>
  <c r="AF88" i="7" s="1"/>
  <c r="D89" i="7"/>
  <c r="F89" i="7" s="1"/>
  <c r="AF89" i="7" s="1"/>
  <c r="D90" i="7"/>
  <c r="F90" i="7" s="1"/>
  <c r="AF90" i="7" s="1"/>
  <c r="D91" i="7"/>
  <c r="D92" i="7"/>
  <c r="F92" i="7" s="1"/>
  <c r="AF92" i="7" s="1"/>
  <c r="F87" i="7"/>
  <c r="AF87" i="7" s="1"/>
  <c r="F91" i="7"/>
  <c r="AF91" i="7" s="1"/>
  <c r="Z86" i="7"/>
  <c r="Z87" i="7"/>
  <c r="Z88" i="7"/>
  <c r="Z89" i="7"/>
  <c r="Z90" i="7"/>
  <c r="Z91" i="7"/>
  <c r="Z92" i="7"/>
  <c r="AK86" i="7"/>
  <c r="AK87" i="7"/>
  <c r="AK88" i="7"/>
  <c r="AK89" i="7"/>
  <c r="AK90" i="7"/>
  <c r="AK91" i="7"/>
  <c r="AK92" i="7"/>
  <c r="D80" i="7"/>
  <c r="F80" i="7" s="1"/>
  <c r="AF80" i="7" s="1"/>
  <c r="D81" i="7"/>
  <c r="F81" i="7" s="1"/>
  <c r="D85" i="7"/>
  <c r="F85" i="7" s="1"/>
  <c r="AF85" i="7" s="1"/>
  <c r="Z80" i="7"/>
  <c r="Z81" i="7"/>
  <c r="Z85" i="7"/>
  <c r="AK80" i="7"/>
  <c r="AK81" i="7"/>
  <c r="AK85" i="7"/>
  <c r="AA85" i="7" l="1"/>
  <c r="AB85" i="7"/>
  <c r="AA89" i="7"/>
  <c r="AB89" i="7"/>
  <c r="AA81" i="7"/>
  <c r="AB81" i="7"/>
  <c r="AA92" i="7"/>
  <c r="AB92" i="7"/>
  <c r="AA80" i="7"/>
  <c r="AB80" i="7"/>
  <c r="AA91" i="7"/>
  <c r="AB91" i="7"/>
  <c r="AA87" i="7"/>
  <c r="AB87" i="7"/>
  <c r="AA88" i="7"/>
  <c r="AB88" i="7"/>
  <c r="AA90" i="7"/>
  <c r="AB90" i="7"/>
  <c r="AA86" i="7"/>
  <c r="AB86" i="7"/>
  <c r="AF81" i="7"/>
  <c r="AH90" i="7"/>
  <c r="AH86" i="7"/>
  <c r="AH92" i="7"/>
  <c r="AH88" i="7"/>
  <c r="AH91" i="7"/>
  <c r="AH87" i="7"/>
  <c r="AH80" i="7"/>
  <c r="AH89" i="7"/>
  <c r="AH85" i="7"/>
  <c r="AH81" i="7"/>
  <c r="M89" i="2" l="1"/>
  <c r="M90" i="2"/>
  <c r="M91" i="2"/>
  <c r="M92" i="2"/>
  <c r="M93" i="2"/>
  <c r="O89" i="2"/>
  <c r="N89" i="2" s="1"/>
  <c r="O90" i="2"/>
  <c r="N90" i="2" s="1"/>
  <c r="O91" i="2"/>
  <c r="N91" i="2" s="1"/>
  <c r="O92" i="2"/>
  <c r="N92" i="2" s="1"/>
  <c r="O93" i="2"/>
  <c r="N93" i="2" s="1"/>
  <c r="R80" i="2"/>
  <c r="S80" i="2" s="1"/>
  <c r="R81" i="2"/>
  <c r="S81" i="2" s="1"/>
  <c r="R82" i="2"/>
  <c r="S82" i="2" s="1"/>
  <c r="R83" i="2"/>
  <c r="S83" i="2" s="1"/>
  <c r="R84" i="2"/>
  <c r="S84" i="2" s="1"/>
  <c r="R85" i="2"/>
  <c r="S85" i="2" s="1"/>
  <c r="R86" i="2"/>
  <c r="S86" i="2" s="1"/>
  <c r="R87" i="2"/>
  <c r="S87" i="2" s="1"/>
  <c r="R88" i="2"/>
  <c r="S88" i="2" s="1"/>
  <c r="R89" i="2"/>
  <c r="S89" i="2" s="1"/>
  <c r="R90" i="2"/>
  <c r="S90" i="2" s="1"/>
  <c r="R91" i="2"/>
  <c r="S91" i="2" s="1"/>
  <c r="R92" i="2"/>
  <c r="S92" i="2" s="1"/>
  <c r="R93" i="2"/>
  <c r="S93" i="2" s="1"/>
  <c r="AL93" i="20" s="1"/>
  <c r="V80" i="2"/>
  <c r="V81" i="2"/>
  <c r="V82" i="2"/>
  <c r="V83" i="2"/>
  <c r="V84" i="2"/>
  <c r="V85" i="2"/>
  <c r="V86" i="2"/>
  <c r="V87" i="2"/>
  <c r="V88" i="2"/>
  <c r="AL89" i="20" l="1"/>
  <c r="AK89" i="21"/>
  <c r="AN89" i="21"/>
  <c r="AL89" i="21" s="1"/>
  <c r="AO89" i="20"/>
  <c r="AK85" i="21"/>
  <c r="AN85" i="21"/>
  <c r="AL85" i="21" s="1"/>
  <c r="AR85" i="19"/>
  <c r="AO85" i="19"/>
  <c r="AL81" i="20"/>
  <c r="AK81" i="21"/>
  <c r="AO81" i="19"/>
  <c r="AN81" i="21"/>
  <c r="AL81" i="21" s="1"/>
  <c r="AR81" i="19"/>
  <c r="AK88" i="21"/>
  <c r="AN88" i="21"/>
  <c r="AL88" i="21" s="1"/>
  <c r="AL84" i="20"/>
  <c r="AO84" i="19"/>
  <c r="AR84" i="19"/>
  <c r="AK80" i="21"/>
  <c r="AN80" i="21"/>
  <c r="AL80" i="21" s="1"/>
  <c r="AL92" i="20"/>
  <c r="AK92" i="21"/>
  <c r="AO92" i="20"/>
  <c r="AM92" i="20" s="1"/>
  <c r="AN92" i="21"/>
  <c r="AL92" i="21" s="1"/>
  <c r="AL91" i="20"/>
  <c r="AK91" i="21"/>
  <c r="AN91" i="21"/>
  <c r="AL91" i="21" s="1"/>
  <c r="AO91" i="20"/>
  <c r="T87" i="2"/>
  <c r="AR87" i="19"/>
  <c r="AK87" i="21"/>
  <c r="AN87" i="21"/>
  <c r="AL87" i="21" s="1"/>
  <c r="AO87" i="19"/>
  <c r="AL83" i="20"/>
  <c r="AR83" i="19"/>
  <c r="AO83" i="19"/>
  <c r="AL90" i="20"/>
  <c r="AN90" i="21"/>
  <c r="AL90" i="21" s="1"/>
  <c r="AK90" i="21"/>
  <c r="AO90" i="20"/>
  <c r="AN86" i="21"/>
  <c r="AL86" i="21" s="1"/>
  <c r="AO86" i="19"/>
  <c r="AR86" i="19"/>
  <c r="AK86" i="21"/>
  <c r="AL82" i="20"/>
  <c r="AO82" i="19"/>
  <c r="AR82" i="19"/>
  <c r="AI89" i="7"/>
  <c r="AL89" i="13"/>
  <c r="AO89" i="13"/>
  <c r="AM89" i="13" s="1"/>
  <c r="T89" i="2"/>
  <c r="AI88" i="7"/>
  <c r="T88" i="2"/>
  <c r="AL84" i="13"/>
  <c r="AO84" i="13"/>
  <c r="T84" i="2"/>
  <c r="U80" i="2"/>
  <c r="T80" i="2"/>
  <c r="AI85" i="7"/>
  <c r="T85" i="2"/>
  <c r="AL91" i="13"/>
  <c r="AO91" i="13"/>
  <c r="AM91" i="13" s="1"/>
  <c r="T91" i="2"/>
  <c r="AL83" i="13"/>
  <c r="AO83" i="13"/>
  <c r="T83" i="2"/>
  <c r="AL93" i="13"/>
  <c r="AO93" i="13"/>
  <c r="T93" i="2"/>
  <c r="AL81" i="13"/>
  <c r="AO81" i="13"/>
  <c r="T81" i="2"/>
  <c r="AI92" i="7"/>
  <c r="AL92" i="13"/>
  <c r="AO92" i="13"/>
  <c r="T92" i="2"/>
  <c r="AI90" i="7"/>
  <c r="AL90" i="13"/>
  <c r="AO90" i="13"/>
  <c r="T90" i="2"/>
  <c r="AI86" i="7"/>
  <c r="T86" i="2"/>
  <c r="AL82" i="13"/>
  <c r="AO82" i="13"/>
  <c r="T82" i="2"/>
  <c r="U91" i="2"/>
  <c r="AI91" i="7"/>
  <c r="U87" i="2"/>
  <c r="AI87" i="7"/>
  <c r="AL93" i="5"/>
  <c r="AO93" i="5"/>
  <c r="AM93" i="5" s="1"/>
  <c r="AL92" i="5"/>
  <c r="AO92" i="5"/>
  <c r="AL91" i="5"/>
  <c r="AO91" i="5"/>
  <c r="U83" i="2"/>
  <c r="AL83" i="5"/>
  <c r="AO83" i="5"/>
  <c r="AL89" i="5"/>
  <c r="AO89" i="5"/>
  <c r="AL81" i="5"/>
  <c r="AO81" i="5"/>
  <c r="AL84" i="5"/>
  <c r="AO84" i="5"/>
  <c r="AL90" i="5"/>
  <c r="AO90" i="5"/>
  <c r="AL82" i="5"/>
  <c r="AO82" i="5"/>
  <c r="AL88" i="7"/>
  <c r="AJ88" i="7" s="1"/>
  <c r="AL90" i="7"/>
  <c r="AJ90" i="7" s="1"/>
  <c r="AL89" i="7"/>
  <c r="AJ89" i="7" s="1"/>
  <c r="AL85" i="7"/>
  <c r="AJ85" i="7" s="1"/>
  <c r="AI81" i="7"/>
  <c r="AL81" i="7"/>
  <c r="AJ81" i="7" s="1"/>
  <c r="AL80" i="7"/>
  <c r="AJ80" i="7" s="1"/>
  <c r="AI80" i="7"/>
  <c r="U88" i="2"/>
  <c r="AL92" i="7"/>
  <c r="AJ92" i="7" s="1"/>
  <c r="AL86" i="7"/>
  <c r="AJ86" i="7" s="1"/>
  <c r="AL87" i="7"/>
  <c r="AJ87" i="7" s="1"/>
  <c r="U92" i="2"/>
  <c r="U84" i="2"/>
  <c r="AL91" i="7"/>
  <c r="AJ91" i="7" s="1"/>
  <c r="U89" i="2"/>
  <c r="U90" i="2"/>
  <c r="U86" i="2"/>
  <c r="U82" i="2"/>
  <c r="U93" i="2"/>
  <c r="U85" i="2"/>
  <c r="U81" i="2"/>
  <c r="D81" i="4"/>
  <c r="AH81" i="4" s="1"/>
  <c r="D82" i="4"/>
  <c r="AE82" i="4" s="1"/>
  <c r="D83" i="4"/>
  <c r="E83" i="4" s="1"/>
  <c r="D84" i="4"/>
  <c r="AG84" i="4" s="1"/>
  <c r="D85" i="4"/>
  <c r="E85" i="4" s="1"/>
  <c r="D86" i="4"/>
  <c r="E86" i="4" s="1"/>
  <c r="D87" i="4"/>
  <c r="E87" i="4" s="1"/>
  <c r="S81" i="4"/>
  <c r="S82" i="4"/>
  <c r="S83" i="4"/>
  <c r="S84" i="4"/>
  <c r="S85" i="4"/>
  <c r="S86" i="4"/>
  <c r="T81" i="4"/>
  <c r="T82" i="4"/>
  <c r="T83" i="4"/>
  <c r="T84" i="4"/>
  <c r="T85" i="4"/>
  <c r="T86" i="4"/>
  <c r="X81" i="4"/>
  <c r="X82" i="4"/>
  <c r="X83" i="4"/>
  <c r="X84" i="4"/>
  <c r="X85" i="4"/>
  <c r="Z85" i="4" s="1"/>
  <c r="X86" i="4"/>
  <c r="X87" i="4"/>
  <c r="Z87" i="4" s="1"/>
  <c r="AJ81" i="4"/>
  <c r="AJ82" i="4"/>
  <c r="AJ83" i="4"/>
  <c r="AJ84" i="4"/>
  <c r="AJ85" i="4"/>
  <c r="AJ86" i="4"/>
  <c r="AJ87" i="4"/>
  <c r="AK81" i="4"/>
  <c r="AK82" i="4"/>
  <c r="AK83" i="4"/>
  <c r="AK84" i="4"/>
  <c r="AK85" i="4"/>
  <c r="AK86" i="4"/>
  <c r="AK87" i="4"/>
  <c r="AH84" i="4"/>
  <c r="AQ81" i="4"/>
  <c r="AQ82" i="4"/>
  <c r="AQ83" i="4"/>
  <c r="AQ84" i="4"/>
  <c r="AQ85" i="4"/>
  <c r="AQ86" i="4"/>
  <c r="AQ87" i="4"/>
  <c r="AM92" i="13" l="1"/>
  <c r="AM91" i="5"/>
  <c r="AM90" i="13"/>
  <c r="AM81" i="13"/>
  <c r="AP82" i="19"/>
  <c r="AF84" i="4"/>
  <c r="AE84" i="4"/>
  <c r="E84" i="4"/>
  <c r="AL84" i="4" s="1"/>
  <c r="AM89" i="20"/>
  <c r="AM91" i="20"/>
  <c r="AP83" i="19"/>
  <c r="AP85" i="19"/>
  <c r="AP84" i="19"/>
  <c r="AP86" i="19"/>
  <c r="AM90" i="20"/>
  <c r="AP87" i="19"/>
  <c r="AP81" i="19"/>
  <c r="AB81" i="4"/>
  <c r="Z81" i="4"/>
  <c r="AB84" i="4"/>
  <c r="Z84" i="4"/>
  <c r="AM84" i="13"/>
  <c r="AB83" i="4"/>
  <c r="Z83" i="4"/>
  <c r="AM92" i="5"/>
  <c r="AB86" i="4"/>
  <c r="Z86" i="4"/>
  <c r="AB82" i="4"/>
  <c r="Z82" i="4"/>
  <c r="AM82" i="13"/>
  <c r="AM93" i="13"/>
  <c r="AM83" i="13"/>
  <c r="U86" i="4"/>
  <c r="AB87" i="4"/>
  <c r="AI85" i="4"/>
  <c r="AB85" i="4"/>
  <c r="U85" i="4"/>
  <c r="U82" i="4"/>
  <c r="AE83" i="4"/>
  <c r="AG87" i="4"/>
  <c r="AE87" i="4"/>
  <c r="U81" i="4"/>
  <c r="U83" i="4"/>
  <c r="AM84" i="5"/>
  <c r="AM89" i="5"/>
  <c r="AM82" i="5"/>
  <c r="AM90" i="5"/>
  <c r="AM81" i="5"/>
  <c r="AM83" i="5"/>
  <c r="U84" i="4"/>
  <c r="Y84" i="4"/>
  <c r="AR84" i="4" s="1"/>
  <c r="Y86" i="4"/>
  <c r="AR86" i="4" s="1"/>
  <c r="AG86" i="4"/>
  <c r="AH85" i="4"/>
  <c r="AG83" i="4"/>
  <c r="AF81" i="4"/>
  <c r="AI81" i="4"/>
  <c r="AH82" i="4"/>
  <c r="AE86" i="4"/>
  <c r="AI87" i="4"/>
  <c r="AI82" i="4"/>
  <c r="Y83" i="4"/>
  <c r="AR83" i="4" s="1"/>
  <c r="E82" i="4"/>
  <c r="AN82" i="4" s="1"/>
  <c r="AI83" i="4"/>
  <c r="AI86" i="4"/>
  <c r="Y87" i="4"/>
  <c r="AR87" i="4" s="1"/>
  <c r="Y82" i="4"/>
  <c r="AR82" i="4" s="1"/>
  <c r="AO86" i="4"/>
  <c r="AL86" i="4"/>
  <c r="AM86" i="4"/>
  <c r="AN86" i="4"/>
  <c r="AH86" i="4"/>
  <c r="AF86" i="4"/>
  <c r="AI84" i="4"/>
  <c r="AG82" i="4"/>
  <c r="AF82" i="4"/>
  <c r="AL85" i="4"/>
  <c r="AM85" i="4"/>
  <c r="AO85" i="4"/>
  <c r="AG85" i="4"/>
  <c r="AG81" i="4"/>
  <c r="AF85" i="4"/>
  <c r="AO84" i="4"/>
  <c r="AE85" i="4"/>
  <c r="AE81" i="4"/>
  <c r="E81" i="4"/>
  <c r="AN81" i="4" s="1"/>
  <c r="AM84" i="4"/>
  <c r="AO87" i="4"/>
  <c r="AN87" i="4"/>
  <c r="AL87" i="4"/>
  <c r="AO83" i="4"/>
  <c r="AL83" i="4"/>
  <c r="AN83" i="4"/>
  <c r="AM87" i="4"/>
  <c r="AM83" i="4"/>
  <c r="AN85" i="4"/>
  <c r="AH87" i="4"/>
  <c r="AH83" i="4"/>
  <c r="AF87" i="4"/>
  <c r="AF83" i="4"/>
  <c r="Y85" i="4"/>
  <c r="AR85" i="4" s="1"/>
  <c r="Y81" i="4"/>
  <c r="AR81" i="4" s="1"/>
  <c r="D66" i="7"/>
  <c r="F66" i="7" s="1"/>
  <c r="AF66" i="7" s="1"/>
  <c r="D69" i="7"/>
  <c r="F69" i="7" s="1"/>
  <c r="AF69" i="7" s="1"/>
  <c r="D70" i="7"/>
  <c r="F70" i="7" s="1"/>
  <c r="AF70" i="7" s="1"/>
  <c r="D71" i="7"/>
  <c r="F71" i="7" s="1"/>
  <c r="D72" i="7"/>
  <c r="F72" i="7" s="1"/>
  <c r="AF72" i="7" s="1"/>
  <c r="D73" i="7"/>
  <c r="F73" i="7" s="1"/>
  <c r="AF73" i="7" s="1"/>
  <c r="D74" i="7"/>
  <c r="F74" i="7" s="1"/>
  <c r="AF74" i="7" s="1"/>
  <c r="D75" i="7"/>
  <c r="F75" i="7" s="1"/>
  <c r="D76" i="7"/>
  <c r="F76" i="7" s="1"/>
  <c r="AF76" i="7" s="1"/>
  <c r="D77" i="7"/>
  <c r="F77" i="7" s="1"/>
  <c r="AF77" i="7" s="1"/>
  <c r="D78" i="7"/>
  <c r="F78" i="7" s="1"/>
  <c r="AF78" i="7" s="1"/>
  <c r="D79" i="7"/>
  <c r="F79" i="7" s="1"/>
  <c r="AF79" i="7" s="1"/>
  <c r="Z66" i="7"/>
  <c r="Z69" i="7"/>
  <c r="Z70" i="7"/>
  <c r="Z71" i="7"/>
  <c r="Z72" i="7"/>
  <c r="Z73" i="7"/>
  <c r="Z74" i="7"/>
  <c r="Z75" i="7"/>
  <c r="Z76" i="7"/>
  <c r="Z77" i="7"/>
  <c r="Z78" i="7"/>
  <c r="Z79" i="7"/>
  <c r="AK66" i="7"/>
  <c r="AK69" i="7"/>
  <c r="AK70" i="7"/>
  <c r="AK71" i="7"/>
  <c r="AK72" i="7"/>
  <c r="AK73" i="7"/>
  <c r="AK74" i="7"/>
  <c r="AK75" i="7"/>
  <c r="AK76" i="7"/>
  <c r="AK77" i="7"/>
  <c r="AK78" i="7"/>
  <c r="AK79" i="7"/>
  <c r="C76" i="5"/>
  <c r="C77" i="5"/>
  <c r="T76" i="5"/>
  <c r="AE76" i="5" s="1"/>
  <c r="T77" i="5"/>
  <c r="AE77" i="5" s="1"/>
  <c r="U76" i="5"/>
  <c r="U77" i="5"/>
  <c r="Y76" i="5"/>
  <c r="Y77" i="5"/>
  <c r="AG76" i="5"/>
  <c r="AJ76" i="5" s="1"/>
  <c r="AG77" i="5"/>
  <c r="AJ77" i="5" s="1"/>
  <c r="AH76" i="5"/>
  <c r="AH77" i="5"/>
  <c r="AI76" i="5"/>
  <c r="AI77" i="5"/>
  <c r="AN76" i="5"/>
  <c r="AK76" i="5" s="1"/>
  <c r="AN77" i="5"/>
  <c r="AK77" i="5" s="1"/>
  <c r="D66" i="4"/>
  <c r="E66" i="4" s="1"/>
  <c r="D67" i="4"/>
  <c r="E67" i="4" s="1"/>
  <c r="D68" i="4"/>
  <c r="AH68" i="4" s="1"/>
  <c r="D69" i="4"/>
  <c r="E69" i="4" s="1"/>
  <c r="D70" i="4"/>
  <c r="E70" i="4" s="1"/>
  <c r="D71" i="4"/>
  <c r="E71" i="4" s="1"/>
  <c r="AL71" i="4" s="1"/>
  <c r="D72" i="4"/>
  <c r="AG72" i="4" s="1"/>
  <c r="D73" i="4"/>
  <c r="E73" i="4" s="1"/>
  <c r="D74" i="4"/>
  <c r="E74" i="4" s="1"/>
  <c r="D77" i="4"/>
  <c r="E77" i="4" s="1"/>
  <c r="D78" i="4"/>
  <c r="E78" i="4" s="1"/>
  <c r="S66" i="4"/>
  <c r="S67" i="4"/>
  <c r="S68" i="4"/>
  <c r="S69" i="4"/>
  <c r="S70" i="4"/>
  <c r="S71" i="4"/>
  <c r="S72" i="4"/>
  <c r="S73" i="4"/>
  <c r="S74" i="4"/>
  <c r="S77" i="4"/>
  <c r="S78" i="4"/>
  <c r="T66" i="4"/>
  <c r="T67" i="4"/>
  <c r="T68" i="4"/>
  <c r="T69" i="4"/>
  <c r="T70" i="4"/>
  <c r="T71" i="4"/>
  <c r="T72" i="4"/>
  <c r="T73" i="4"/>
  <c r="T74" i="4"/>
  <c r="T77" i="4"/>
  <c r="T78" i="4"/>
  <c r="X66" i="4"/>
  <c r="Z66" i="4" s="1"/>
  <c r="X67" i="4"/>
  <c r="Z67" i="4" s="1"/>
  <c r="X68" i="4"/>
  <c r="Z68" i="4" s="1"/>
  <c r="X69" i="4"/>
  <c r="Z69" i="4" s="1"/>
  <c r="X70" i="4"/>
  <c r="Z70" i="4" s="1"/>
  <c r="X71" i="4"/>
  <c r="Z71" i="4" s="1"/>
  <c r="X72" i="4"/>
  <c r="Z72" i="4" s="1"/>
  <c r="X73" i="4"/>
  <c r="Z73" i="4" s="1"/>
  <c r="X74" i="4"/>
  <c r="Z74" i="4" s="1"/>
  <c r="X77" i="4"/>
  <c r="Z77" i="4" s="1"/>
  <c r="X78" i="4"/>
  <c r="Z78" i="4" s="1"/>
  <c r="AJ66" i="4"/>
  <c r="AJ67" i="4"/>
  <c r="AJ68" i="4"/>
  <c r="AJ69" i="4"/>
  <c r="AJ70" i="4"/>
  <c r="AJ71" i="4"/>
  <c r="AJ72" i="4"/>
  <c r="AJ73" i="4"/>
  <c r="AJ74" i="4"/>
  <c r="AJ77" i="4"/>
  <c r="AJ78" i="4"/>
  <c r="AK66" i="4"/>
  <c r="AK67" i="4"/>
  <c r="AK68" i="4"/>
  <c r="AK69" i="4"/>
  <c r="AK70" i="4"/>
  <c r="AK71" i="4"/>
  <c r="AK72" i="4"/>
  <c r="AK73" i="4"/>
  <c r="AK74" i="4"/>
  <c r="AK77" i="4"/>
  <c r="AK78" i="4"/>
  <c r="AQ66" i="4"/>
  <c r="AQ67" i="4"/>
  <c r="AQ68" i="4"/>
  <c r="AQ69" i="4"/>
  <c r="AQ70" i="4"/>
  <c r="AQ71" i="4"/>
  <c r="AQ72" i="4"/>
  <c r="AQ73" i="4"/>
  <c r="AQ74" i="4"/>
  <c r="AQ77" i="4"/>
  <c r="AQ78" i="4"/>
  <c r="M77" i="2"/>
  <c r="M78" i="2"/>
  <c r="M79" i="2"/>
  <c r="O77" i="2"/>
  <c r="N77" i="2" s="1"/>
  <c r="O78" i="2"/>
  <c r="N78" i="2" s="1"/>
  <c r="O79" i="2"/>
  <c r="N79" i="2" s="1"/>
  <c r="R77" i="2"/>
  <c r="S77" i="2" s="1"/>
  <c r="R78" i="2"/>
  <c r="S78" i="2" s="1"/>
  <c r="R79" i="2"/>
  <c r="S79" i="2" s="1"/>
  <c r="V77" i="2"/>
  <c r="V78" i="2"/>
  <c r="V79" i="2"/>
  <c r="M75" i="2"/>
  <c r="M76" i="2"/>
  <c r="O75" i="2"/>
  <c r="N75" i="2" s="1"/>
  <c r="O76" i="2"/>
  <c r="N76" i="2" s="1"/>
  <c r="R75" i="2"/>
  <c r="S75" i="2" s="1"/>
  <c r="R76" i="2"/>
  <c r="S76" i="2" s="1"/>
  <c r="V75" i="2"/>
  <c r="V76" i="2"/>
  <c r="M73" i="2"/>
  <c r="M74" i="2"/>
  <c r="O73" i="2"/>
  <c r="N73" i="2" s="1"/>
  <c r="O74" i="2"/>
  <c r="N74" i="2" s="1"/>
  <c r="R73" i="2"/>
  <c r="S73" i="2" s="1"/>
  <c r="R74" i="2"/>
  <c r="S74" i="2" s="1"/>
  <c r="V73" i="2"/>
  <c r="V74" i="2"/>
  <c r="M69" i="2"/>
  <c r="M70" i="2"/>
  <c r="M71" i="2"/>
  <c r="M72" i="2"/>
  <c r="O69" i="2"/>
  <c r="N69" i="2" s="1"/>
  <c r="O70" i="2"/>
  <c r="N70" i="2" s="1"/>
  <c r="O71" i="2"/>
  <c r="N71" i="2" s="1"/>
  <c r="O72" i="2"/>
  <c r="N72" i="2" s="1"/>
  <c r="R69" i="2"/>
  <c r="S69" i="2" s="1"/>
  <c r="R70" i="2"/>
  <c r="S70" i="2" s="1"/>
  <c r="R71" i="2"/>
  <c r="S71" i="2" s="1"/>
  <c r="R72" i="2"/>
  <c r="S72" i="2" s="1"/>
  <c r="V69" i="2"/>
  <c r="V70" i="2"/>
  <c r="V71" i="2"/>
  <c r="V72" i="2"/>
  <c r="M66" i="2"/>
  <c r="M67" i="2"/>
  <c r="M68" i="2"/>
  <c r="O66" i="2"/>
  <c r="N66" i="2" s="1"/>
  <c r="O67" i="2"/>
  <c r="N67" i="2" s="1"/>
  <c r="O68" i="2"/>
  <c r="N68" i="2" s="1"/>
  <c r="R66" i="2"/>
  <c r="S66" i="2" s="1"/>
  <c r="R67" i="2"/>
  <c r="S67" i="2" s="1"/>
  <c r="R68" i="2"/>
  <c r="S68" i="2" s="1"/>
  <c r="V66" i="2"/>
  <c r="V67" i="2"/>
  <c r="V68" i="2"/>
  <c r="AN84" i="4" l="1"/>
  <c r="T68" i="2"/>
  <c r="AR68" i="19"/>
  <c r="AO68" i="19"/>
  <c r="T69" i="2"/>
  <c r="AN69" i="21"/>
  <c r="AL69" i="21" s="1"/>
  <c r="AO69" i="19"/>
  <c r="AK69" i="21"/>
  <c r="AR69" i="19"/>
  <c r="T73" i="2"/>
  <c r="AK73" i="21"/>
  <c r="AO73" i="19"/>
  <c r="AN73" i="21"/>
  <c r="AL73" i="21" s="1"/>
  <c r="AL73" i="18"/>
  <c r="AR73" i="19"/>
  <c r="AO73" i="18"/>
  <c r="T75" i="2"/>
  <c r="AK75" i="21"/>
  <c r="AN75" i="21"/>
  <c r="AL75" i="21" s="1"/>
  <c r="T79" i="2"/>
  <c r="AN79" i="21"/>
  <c r="AL79" i="21" s="1"/>
  <c r="AK79" i="21"/>
  <c r="T70" i="2"/>
  <c r="AN70" i="21"/>
  <c r="AL70" i="21" s="1"/>
  <c r="AK70" i="21"/>
  <c r="AO70" i="19"/>
  <c r="AR70" i="19"/>
  <c r="AL76" i="20"/>
  <c r="AK76" i="21"/>
  <c r="AN76" i="21"/>
  <c r="AL76" i="21" s="1"/>
  <c r="AO76" i="20"/>
  <c r="AM76" i="20" s="1"/>
  <c r="T67" i="2"/>
  <c r="AO67" i="18"/>
  <c r="AO67" i="19"/>
  <c r="AL67" i="18"/>
  <c r="AR67" i="19"/>
  <c r="T72" i="2"/>
  <c r="AK72" i="21"/>
  <c r="AN72" i="21"/>
  <c r="AL72" i="21" s="1"/>
  <c r="AO72" i="19"/>
  <c r="AR72" i="19"/>
  <c r="T78" i="2"/>
  <c r="AK78" i="21"/>
  <c r="AR78" i="19"/>
  <c r="AN78" i="21"/>
  <c r="AL78" i="21" s="1"/>
  <c r="AO78" i="19"/>
  <c r="T66" i="2"/>
  <c r="AL66" i="18"/>
  <c r="AK66" i="21"/>
  <c r="AO66" i="18"/>
  <c r="AR66" i="19"/>
  <c r="AN66" i="21"/>
  <c r="AL66" i="21" s="1"/>
  <c r="AO66" i="19"/>
  <c r="AL77" i="20"/>
  <c r="AK77" i="21"/>
  <c r="AO77" i="19"/>
  <c r="AN77" i="21"/>
  <c r="AL77" i="21" s="1"/>
  <c r="AO77" i="20"/>
  <c r="AR77" i="19"/>
  <c r="T71" i="2"/>
  <c r="AO71" i="19"/>
  <c r="AK71" i="21"/>
  <c r="AN71" i="21"/>
  <c r="AL71" i="21" s="1"/>
  <c r="AR71" i="19"/>
  <c r="T74" i="2"/>
  <c r="AK74" i="21"/>
  <c r="AO74" i="19"/>
  <c r="AR74" i="19"/>
  <c r="AN74" i="21"/>
  <c r="AL74" i="21" s="1"/>
  <c r="AA77" i="7"/>
  <c r="AB77" i="7"/>
  <c r="AA76" i="7"/>
  <c r="AL76" i="7" s="1"/>
  <c r="AJ76" i="7" s="1"/>
  <c r="AB76" i="7"/>
  <c r="AA72" i="7"/>
  <c r="AB72" i="7"/>
  <c r="AA66" i="7"/>
  <c r="AL66" i="7" s="1"/>
  <c r="AJ66" i="7" s="1"/>
  <c r="AB66" i="7"/>
  <c r="AA69" i="7"/>
  <c r="AL69" i="7" s="1"/>
  <c r="AJ69" i="7" s="1"/>
  <c r="AB69" i="7"/>
  <c r="AL77" i="5"/>
  <c r="AL77" i="13"/>
  <c r="AO77" i="13"/>
  <c r="T77" i="2"/>
  <c r="AA77" i="5"/>
  <c r="AC77" i="5"/>
  <c r="AA79" i="7"/>
  <c r="AL79" i="7" s="1"/>
  <c r="AJ79" i="7" s="1"/>
  <c r="AB79" i="7"/>
  <c r="AA75" i="7"/>
  <c r="AL75" i="7" s="1"/>
  <c r="AJ75" i="7" s="1"/>
  <c r="AB75" i="7"/>
  <c r="AA71" i="7"/>
  <c r="AL71" i="7" s="1"/>
  <c r="AJ71" i="7" s="1"/>
  <c r="AB71" i="7"/>
  <c r="AA73" i="7"/>
  <c r="AL73" i="7" s="1"/>
  <c r="AJ73" i="7" s="1"/>
  <c r="AB73" i="7"/>
  <c r="AL76" i="5"/>
  <c r="AL76" i="13"/>
  <c r="AO76" i="13"/>
  <c r="AM76" i="13" s="1"/>
  <c r="T76" i="2"/>
  <c r="AA76" i="5"/>
  <c r="AC76" i="5"/>
  <c r="AA78" i="7"/>
  <c r="AL78" i="7" s="1"/>
  <c r="AJ78" i="7" s="1"/>
  <c r="AB78" i="7"/>
  <c r="AA74" i="7"/>
  <c r="AL74" i="7" s="1"/>
  <c r="AJ74" i="7" s="1"/>
  <c r="AB74" i="7"/>
  <c r="AA70" i="7"/>
  <c r="AL70" i="7" s="1"/>
  <c r="AJ70" i="7" s="1"/>
  <c r="AB70" i="7"/>
  <c r="AF75" i="7"/>
  <c r="AF71" i="7"/>
  <c r="V77" i="5"/>
  <c r="V76" i="5"/>
  <c r="U72" i="4"/>
  <c r="AB72" i="4"/>
  <c r="U68" i="4"/>
  <c r="AB68" i="4"/>
  <c r="U77" i="4"/>
  <c r="AB77" i="4"/>
  <c r="U71" i="4"/>
  <c r="AB71" i="4"/>
  <c r="U67" i="4"/>
  <c r="AB67" i="4"/>
  <c r="U78" i="4"/>
  <c r="AB78" i="4"/>
  <c r="U74" i="4"/>
  <c r="AB74" i="4"/>
  <c r="U70" i="4"/>
  <c r="AB70" i="4"/>
  <c r="U66" i="4"/>
  <c r="AB66" i="4"/>
  <c r="U73" i="4"/>
  <c r="AB73" i="4"/>
  <c r="Y69" i="4"/>
  <c r="AB69" i="4"/>
  <c r="AG69" i="4"/>
  <c r="AO73" i="3"/>
  <c r="AL73" i="3"/>
  <c r="U67" i="2"/>
  <c r="AL67" i="3"/>
  <c r="AO67" i="3"/>
  <c r="AL66" i="3"/>
  <c r="AO66" i="3"/>
  <c r="AP85" i="4"/>
  <c r="AP84" i="4"/>
  <c r="AF76" i="5"/>
  <c r="AF77" i="5"/>
  <c r="AM82" i="4"/>
  <c r="AP86" i="4"/>
  <c r="AE67" i="4"/>
  <c r="AL82" i="4"/>
  <c r="AO82" i="4"/>
  <c r="AP82" i="4" s="1"/>
  <c r="AP83" i="4"/>
  <c r="AP87" i="4"/>
  <c r="AG67" i="4"/>
  <c r="Y66" i="4"/>
  <c r="AR66" i="4" s="1"/>
  <c r="AH71" i="4"/>
  <c r="AF67" i="4"/>
  <c r="AH67" i="4"/>
  <c r="AE71" i="4"/>
  <c r="AI70" i="4"/>
  <c r="AH70" i="7"/>
  <c r="AF68" i="4"/>
  <c r="AL67" i="4"/>
  <c r="AM67" i="4"/>
  <c r="E68" i="4"/>
  <c r="AN68" i="4" s="1"/>
  <c r="AG71" i="4"/>
  <c r="AF71" i="4"/>
  <c r="AE72" i="4"/>
  <c r="AH72" i="4"/>
  <c r="AG68" i="4"/>
  <c r="AF72" i="4"/>
  <c r="AE68" i="4"/>
  <c r="Y78" i="4"/>
  <c r="AR78" i="4" s="1"/>
  <c r="E72" i="4"/>
  <c r="AI78" i="4"/>
  <c r="Y74" i="4"/>
  <c r="AR74" i="4" s="1"/>
  <c r="AG73" i="4"/>
  <c r="AE69" i="4"/>
  <c r="AG77" i="4"/>
  <c r="AE73" i="4"/>
  <c r="AE77" i="4"/>
  <c r="AL81" i="4"/>
  <c r="AO81" i="4"/>
  <c r="AP81" i="4" s="1"/>
  <c r="AR69" i="4"/>
  <c r="AL72" i="7"/>
  <c r="AJ72" i="7" s="1"/>
  <c r="AI78" i="7"/>
  <c r="AO67" i="4"/>
  <c r="AG78" i="4"/>
  <c r="AG74" i="4"/>
  <c r="AG70" i="4"/>
  <c r="AG66" i="4"/>
  <c r="AH74" i="4"/>
  <c r="AF70" i="4"/>
  <c r="AO71" i="4"/>
  <c r="AI77" i="4"/>
  <c r="AO74" i="4"/>
  <c r="AN74" i="4"/>
  <c r="AL74" i="4"/>
  <c r="AH78" i="4"/>
  <c r="AF74" i="4"/>
  <c r="AE78" i="4"/>
  <c r="AE74" i="4"/>
  <c r="AE70" i="4"/>
  <c r="AE66" i="4"/>
  <c r="AH66" i="4"/>
  <c r="AF78" i="4"/>
  <c r="AM71" i="4"/>
  <c r="AH70" i="4"/>
  <c r="AF66" i="4"/>
  <c r="AM74" i="4"/>
  <c r="AL70" i="4"/>
  <c r="AN70" i="4"/>
  <c r="AO70" i="4"/>
  <c r="AL78" i="4"/>
  <c r="AN78" i="4"/>
  <c r="AO78" i="4"/>
  <c r="AO66" i="4"/>
  <c r="AM66" i="4"/>
  <c r="AN66" i="4"/>
  <c r="AL66" i="4"/>
  <c r="AM78" i="4"/>
  <c r="AM70" i="4"/>
  <c r="AI70" i="7"/>
  <c r="AH79" i="7"/>
  <c r="AI74" i="7"/>
  <c r="AI66" i="7"/>
  <c r="AH74" i="7"/>
  <c r="AI76" i="7"/>
  <c r="AH75" i="7"/>
  <c r="AH76" i="7"/>
  <c r="AI72" i="7"/>
  <c r="AH72" i="7"/>
  <c r="AH71" i="7"/>
  <c r="AH78" i="7"/>
  <c r="AH66" i="7"/>
  <c r="AI69" i="7"/>
  <c r="AI77" i="7"/>
  <c r="AI73" i="7"/>
  <c r="AH77" i="7"/>
  <c r="AH73" i="7"/>
  <c r="AH69" i="7"/>
  <c r="AL77" i="7"/>
  <c r="AJ77" i="7" s="1"/>
  <c r="AI79" i="7"/>
  <c r="AI75" i="7"/>
  <c r="AI71" i="7"/>
  <c r="Z77" i="5"/>
  <c r="AO77" i="5" s="1"/>
  <c r="Z76" i="5"/>
  <c r="AO76" i="5" s="1"/>
  <c r="AM76" i="5" s="1"/>
  <c r="AI69" i="4"/>
  <c r="AI73" i="4"/>
  <c r="AI74" i="4"/>
  <c r="AI66" i="4"/>
  <c r="Y70" i="4"/>
  <c r="AR70" i="4" s="1"/>
  <c r="AI71" i="4"/>
  <c r="AI67" i="4"/>
  <c r="Y73" i="4"/>
  <c r="AR73" i="4" s="1"/>
  <c r="AI72" i="4"/>
  <c r="Y72" i="4"/>
  <c r="AR72" i="4" s="1"/>
  <c r="AI68" i="4"/>
  <c r="Y68" i="4"/>
  <c r="AR68" i="4" s="1"/>
  <c r="Y77" i="4"/>
  <c r="AR77" i="4" s="1"/>
  <c r="U69" i="4"/>
  <c r="AN77" i="4"/>
  <c r="AO77" i="4"/>
  <c r="AL77" i="4"/>
  <c r="AL69" i="4"/>
  <c r="AO69" i="4"/>
  <c r="AN69" i="4"/>
  <c r="AO73" i="4"/>
  <c r="AL73" i="4"/>
  <c r="AN73" i="4"/>
  <c r="AM77" i="4"/>
  <c r="AM73" i="4"/>
  <c r="AM69" i="4"/>
  <c r="AN71" i="4"/>
  <c r="AN67" i="4"/>
  <c r="AH77" i="4"/>
  <c r="AH73" i="4"/>
  <c r="AH69" i="4"/>
  <c r="AF77" i="4"/>
  <c r="AF73" i="4"/>
  <c r="AF69" i="4"/>
  <c r="Y71" i="4"/>
  <c r="AR71" i="4" s="1"/>
  <c r="Y67" i="4"/>
  <c r="AR67" i="4" s="1"/>
  <c r="U77" i="2"/>
  <c r="U79" i="2"/>
  <c r="U78" i="2"/>
  <c r="U70" i="2"/>
  <c r="U76" i="2"/>
  <c r="U75" i="2"/>
  <c r="U69" i="2"/>
  <c r="U73" i="2"/>
  <c r="U74" i="2"/>
  <c r="U72" i="2"/>
  <c r="U71" i="2"/>
  <c r="U68" i="2"/>
  <c r="U66" i="2"/>
  <c r="AM77" i="5" l="1"/>
  <c r="AM77" i="20"/>
  <c r="AP72" i="19"/>
  <c r="AP77" i="19"/>
  <c r="AP73" i="19"/>
  <c r="AP74" i="19"/>
  <c r="AP78" i="19"/>
  <c r="AM67" i="18"/>
  <c r="AM73" i="18"/>
  <c r="AM77" i="13"/>
  <c r="AP71" i="19"/>
  <c r="AP66" i="19"/>
  <c r="AP69" i="19"/>
  <c r="AM66" i="18"/>
  <c r="AP67" i="19"/>
  <c r="AP68" i="19"/>
  <c r="AP70" i="19"/>
  <c r="AM73" i="3"/>
  <c r="AM67" i="3"/>
  <c r="AM66" i="3"/>
  <c r="AL68" i="4"/>
  <c r="AO68" i="4"/>
  <c r="AP68" i="4" s="1"/>
  <c r="AM68" i="4"/>
  <c r="AP67" i="4"/>
  <c r="AN72" i="4"/>
  <c r="AO72" i="4"/>
  <c r="AP72" i="4" s="1"/>
  <c r="AL72" i="4"/>
  <c r="AM72" i="4"/>
  <c r="AP66" i="4"/>
  <c r="AP74" i="4"/>
  <c r="AP71" i="4"/>
  <c r="AP69" i="4"/>
  <c r="AP78" i="4"/>
  <c r="AP77" i="4"/>
  <c r="AP70" i="4"/>
  <c r="AP73" i="4"/>
  <c r="D48" i="7"/>
  <c r="F48" i="7" s="1"/>
  <c r="AF48" i="7" s="1"/>
  <c r="D49" i="7"/>
  <c r="F49" i="7" s="1"/>
  <c r="D50" i="7"/>
  <c r="F50" i="7" s="1"/>
  <c r="AF50" i="7" s="1"/>
  <c r="D51" i="7"/>
  <c r="F51" i="7" s="1"/>
  <c r="AF51" i="7" s="1"/>
  <c r="D52" i="7"/>
  <c r="F52" i="7" s="1"/>
  <c r="D53" i="7"/>
  <c r="F53" i="7" s="1"/>
  <c r="D54" i="7"/>
  <c r="F54" i="7" s="1"/>
  <c r="AF54" i="7" s="1"/>
  <c r="D55" i="7"/>
  <c r="F55" i="7" s="1"/>
  <c r="AF55" i="7" s="1"/>
  <c r="D56" i="7"/>
  <c r="F56" i="7" s="1"/>
  <c r="AF56" i="7" s="1"/>
  <c r="D58" i="7"/>
  <c r="F58" i="7" s="1"/>
  <c r="AF58" i="7" s="1"/>
  <c r="D59" i="7"/>
  <c r="F59" i="7" s="1"/>
  <c r="AF59" i="7" s="1"/>
  <c r="D60" i="7"/>
  <c r="F60" i="7" s="1"/>
  <c r="D61" i="7"/>
  <c r="F61" i="7" s="1"/>
  <c r="AF61" i="7" s="1"/>
  <c r="D62" i="7"/>
  <c r="F62" i="7" s="1"/>
  <c r="AF62" i="7" s="1"/>
  <c r="D63" i="7"/>
  <c r="F63" i="7" s="1"/>
  <c r="AF63" i="7" s="1"/>
  <c r="D64" i="7"/>
  <c r="F64" i="7" s="1"/>
  <c r="D65" i="7"/>
  <c r="F65" i="7" s="1"/>
  <c r="AG65" i="7" s="1"/>
  <c r="Z48" i="7"/>
  <c r="Z49" i="7"/>
  <c r="Z50" i="7"/>
  <c r="Z51" i="7"/>
  <c r="Z52" i="7"/>
  <c r="Z53" i="7"/>
  <c r="Z54" i="7"/>
  <c r="Z55" i="7"/>
  <c r="Z56" i="7"/>
  <c r="Z58" i="7"/>
  <c r="Z59" i="7"/>
  <c r="Z60" i="7"/>
  <c r="Z61" i="7"/>
  <c r="Z65" i="7"/>
  <c r="AK48" i="7"/>
  <c r="AK49" i="7"/>
  <c r="AK50" i="7"/>
  <c r="AK51" i="7"/>
  <c r="AK52" i="7"/>
  <c r="AK53" i="7"/>
  <c r="AK54" i="7"/>
  <c r="AK55" i="7"/>
  <c r="AK56" i="7"/>
  <c r="AK58" i="7"/>
  <c r="AK59" i="7"/>
  <c r="AK60" i="7"/>
  <c r="AK61" i="7"/>
  <c r="AK62" i="7"/>
  <c r="AK63" i="7"/>
  <c r="AK64" i="7"/>
  <c r="AK65" i="7"/>
  <c r="D48" i="4"/>
  <c r="E48" i="4" s="1"/>
  <c r="D49" i="4"/>
  <c r="E49" i="4" s="1"/>
  <c r="AL49" i="4" s="1"/>
  <c r="D51" i="4"/>
  <c r="E51" i="4" s="1"/>
  <c r="D52" i="4"/>
  <c r="AE52" i="4" s="1"/>
  <c r="D55" i="4"/>
  <c r="E55" i="4" s="1"/>
  <c r="D56" i="4"/>
  <c r="AE56" i="4" s="1"/>
  <c r="D57" i="4"/>
  <c r="E57" i="4" s="1"/>
  <c r="AL57" i="4" s="1"/>
  <c r="D58" i="4"/>
  <c r="E58" i="4" s="1"/>
  <c r="D59" i="4"/>
  <c r="E59" i="4" s="1"/>
  <c r="D60" i="4"/>
  <c r="E60" i="4" s="1"/>
  <c r="AL60" i="4" s="1"/>
  <c r="D61" i="4"/>
  <c r="E61" i="4" s="1"/>
  <c r="AL61" i="4" s="1"/>
  <c r="D62" i="4"/>
  <c r="E62" i="4" s="1"/>
  <c r="D63" i="4"/>
  <c r="E63" i="4" s="1"/>
  <c r="D64" i="4"/>
  <c r="E64" i="4" s="1"/>
  <c r="AN64" i="4" s="1"/>
  <c r="D65" i="4"/>
  <c r="E65" i="4" s="1"/>
  <c r="AL65" i="4" s="1"/>
  <c r="S48" i="4"/>
  <c r="S49" i="4"/>
  <c r="S51" i="4"/>
  <c r="S52" i="4"/>
  <c r="S55" i="4"/>
  <c r="S56" i="4"/>
  <c r="S57" i="4"/>
  <c r="S58" i="4"/>
  <c r="S59" i="4"/>
  <c r="S60" i="4"/>
  <c r="S61" i="4"/>
  <c r="S62" i="4"/>
  <c r="S63" i="4"/>
  <c r="S64" i="4"/>
  <c r="S65" i="4"/>
  <c r="T48" i="4"/>
  <c r="T49" i="4"/>
  <c r="T51" i="4"/>
  <c r="T52" i="4"/>
  <c r="T55" i="4"/>
  <c r="T56" i="4"/>
  <c r="T57" i="4"/>
  <c r="T58" i="4"/>
  <c r="T59" i="4"/>
  <c r="T60" i="4"/>
  <c r="T61" i="4"/>
  <c r="T62" i="4"/>
  <c r="T63" i="4"/>
  <c r="T64" i="4"/>
  <c r="T65" i="4"/>
  <c r="X48" i="4"/>
  <c r="Z48" i="4" s="1"/>
  <c r="X49" i="4"/>
  <c r="Z49" i="4" s="1"/>
  <c r="X51" i="4"/>
  <c r="Z51" i="4" s="1"/>
  <c r="X52" i="4"/>
  <c r="Z52" i="4" s="1"/>
  <c r="X55" i="4"/>
  <c r="Z55" i="4" s="1"/>
  <c r="X56" i="4"/>
  <c r="Z56" i="4" s="1"/>
  <c r="X57" i="4"/>
  <c r="Z57" i="4" s="1"/>
  <c r="X58" i="4"/>
  <c r="Z58" i="4" s="1"/>
  <c r="X59" i="4"/>
  <c r="Z59" i="4" s="1"/>
  <c r="X60" i="4"/>
  <c r="Z60" i="4" s="1"/>
  <c r="X61" i="4"/>
  <c r="Z61" i="4" s="1"/>
  <c r="U62" i="4"/>
  <c r="U63" i="4"/>
  <c r="X64" i="4"/>
  <c r="Z64" i="4" s="1"/>
  <c r="X65" i="4"/>
  <c r="Z65" i="4" s="1"/>
  <c r="AJ48" i="4"/>
  <c r="AJ49" i="4"/>
  <c r="AJ51" i="4"/>
  <c r="AJ52" i="4"/>
  <c r="AJ55" i="4"/>
  <c r="AJ56" i="4"/>
  <c r="AJ57" i="4"/>
  <c r="AJ58" i="4"/>
  <c r="AJ59" i="4"/>
  <c r="AJ60" i="4"/>
  <c r="AJ61" i="4"/>
  <c r="AJ62" i="4"/>
  <c r="AJ63" i="4"/>
  <c r="AJ64" i="4"/>
  <c r="AJ65" i="4"/>
  <c r="AK48" i="4"/>
  <c r="AK49" i="4"/>
  <c r="AK51" i="4"/>
  <c r="AK52" i="4"/>
  <c r="AK55" i="4"/>
  <c r="AK56" i="4"/>
  <c r="AK57" i="4"/>
  <c r="AK58" i="4"/>
  <c r="AK59" i="4"/>
  <c r="AK60" i="4"/>
  <c r="AK61" i="4"/>
  <c r="AK62" i="4"/>
  <c r="AK63" i="4"/>
  <c r="AK64" i="4"/>
  <c r="AK65" i="4"/>
  <c r="AQ48" i="4"/>
  <c r="AQ49" i="4"/>
  <c r="AQ51" i="4"/>
  <c r="AQ52" i="4"/>
  <c r="AQ55" i="4"/>
  <c r="AQ56" i="4"/>
  <c r="AQ57" i="4"/>
  <c r="AQ58" i="4"/>
  <c r="AQ59" i="4"/>
  <c r="AQ60" i="4"/>
  <c r="AQ61" i="4"/>
  <c r="AQ62" i="4"/>
  <c r="AQ63" i="4"/>
  <c r="AQ64" i="4"/>
  <c r="AQ65" i="4"/>
  <c r="M63" i="2"/>
  <c r="M64" i="2"/>
  <c r="M65" i="2"/>
  <c r="O63" i="2"/>
  <c r="N63" i="2" s="1"/>
  <c r="O64" i="2"/>
  <c r="N64" i="2" s="1"/>
  <c r="O65" i="2"/>
  <c r="N65" i="2" s="1"/>
  <c r="R63" i="2"/>
  <c r="S63" i="2" s="1"/>
  <c r="R64" i="2"/>
  <c r="S64" i="2" s="1"/>
  <c r="R65" i="2"/>
  <c r="S65" i="2" s="1"/>
  <c r="V63" i="2"/>
  <c r="V64" i="2"/>
  <c r="V65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O48" i="2"/>
  <c r="N48" i="2" s="1"/>
  <c r="O49" i="2"/>
  <c r="N49" i="2" s="1"/>
  <c r="O50" i="2"/>
  <c r="N50" i="2" s="1"/>
  <c r="O51" i="2"/>
  <c r="N51" i="2" s="1"/>
  <c r="O52" i="2"/>
  <c r="N52" i="2" s="1"/>
  <c r="O53" i="2"/>
  <c r="N53" i="2" s="1"/>
  <c r="O54" i="2"/>
  <c r="N54" i="2" s="1"/>
  <c r="O55" i="2"/>
  <c r="N55" i="2" s="1"/>
  <c r="O56" i="2"/>
  <c r="N56" i="2" s="1"/>
  <c r="O57" i="2"/>
  <c r="N57" i="2" s="1"/>
  <c r="O58" i="2"/>
  <c r="N58" i="2" s="1"/>
  <c r="O59" i="2"/>
  <c r="N59" i="2" s="1"/>
  <c r="O60" i="2"/>
  <c r="N60" i="2" s="1"/>
  <c r="O61" i="2"/>
  <c r="N61" i="2" s="1"/>
  <c r="O62" i="2"/>
  <c r="N62" i="2" s="1"/>
  <c r="R48" i="2"/>
  <c r="S48" i="2" s="1"/>
  <c r="R49" i="2"/>
  <c r="R50" i="2"/>
  <c r="S50" i="2" s="1"/>
  <c r="R51" i="2"/>
  <c r="S51" i="2" s="1"/>
  <c r="R52" i="2"/>
  <c r="S52" i="2" s="1"/>
  <c r="R53" i="2"/>
  <c r="S53" i="2" s="1"/>
  <c r="R54" i="2"/>
  <c r="R55" i="2"/>
  <c r="R56" i="2"/>
  <c r="S56" i="2" s="1"/>
  <c r="R57" i="2"/>
  <c r="S57" i="2" s="1"/>
  <c r="R58" i="2"/>
  <c r="S58" i="2" s="1"/>
  <c r="R59" i="2"/>
  <c r="S59" i="2" s="1"/>
  <c r="R60" i="2"/>
  <c r="S60" i="2" s="1"/>
  <c r="R61" i="2"/>
  <c r="S61" i="2" s="1"/>
  <c r="R62" i="2"/>
  <c r="S62" i="2" s="1"/>
  <c r="S55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Y52" i="4" l="1"/>
  <c r="E52" i="4"/>
  <c r="T55" i="2"/>
  <c r="AL55" i="18"/>
  <c r="AR55" i="19"/>
  <c r="AK55" i="21"/>
  <c r="AO55" i="19"/>
  <c r="AO55" i="18"/>
  <c r="AL59" i="20"/>
  <c r="AL59" i="18"/>
  <c r="AO59" i="19"/>
  <c r="AK59" i="21"/>
  <c r="AN59" i="21"/>
  <c r="AL59" i="21" s="1"/>
  <c r="AO59" i="18"/>
  <c r="AR59" i="19"/>
  <c r="T51" i="2"/>
  <c r="AN51" i="21"/>
  <c r="AL51" i="21" s="1"/>
  <c r="AL51" i="18"/>
  <c r="AK51" i="21"/>
  <c r="AO51" i="19"/>
  <c r="AR51" i="19"/>
  <c r="AO51" i="18"/>
  <c r="T62" i="2"/>
  <c r="AL62" i="18"/>
  <c r="AK62" i="21"/>
  <c r="AO62" i="18"/>
  <c r="AO62" i="19"/>
  <c r="AL58" i="20"/>
  <c r="AN58" i="21"/>
  <c r="AL58" i="21" s="1"/>
  <c r="AL58" i="18"/>
  <c r="AK58" i="21"/>
  <c r="AR58" i="19"/>
  <c r="AO58" i="18"/>
  <c r="AO58" i="19"/>
  <c r="T50" i="2"/>
  <c r="AN50" i="21"/>
  <c r="AL50" i="21" s="1"/>
  <c r="AK50" i="21"/>
  <c r="AL50" i="18"/>
  <c r="AO50" i="18"/>
  <c r="T65" i="2"/>
  <c r="AO65" i="19"/>
  <c r="AL65" i="18"/>
  <c r="AK65" i="21"/>
  <c r="AO65" i="18"/>
  <c r="AL61" i="20"/>
  <c r="AO61" i="18"/>
  <c r="AK61" i="21"/>
  <c r="AN61" i="21"/>
  <c r="AL61" i="21" s="1"/>
  <c r="AL61" i="18"/>
  <c r="AO61" i="19"/>
  <c r="AR61" i="19"/>
  <c r="AO61" i="20"/>
  <c r="AL57" i="20"/>
  <c r="AO57" i="18"/>
  <c r="AL57" i="18"/>
  <c r="AO57" i="19"/>
  <c r="AR57" i="19"/>
  <c r="T53" i="2"/>
  <c r="AK53" i="21"/>
  <c r="AN53" i="21"/>
  <c r="AL53" i="21" s="1"/>
  <c r="T64" i="2"/>
  <c r="AL64" i="18"/>
  <c r="AK64" i="21"/>
  <c r="AO64" i="18"/>
  <c r="AO64" i="19"/>
  <c r="AL60" i="20"/>
  <c r="AL60" i="18"/>
  <c r="AK60" i="21"/>
  <c r="AR60" i="19"/>
  <c r="AO60" i="20"/>
  <c r="AO60" i="19"/>
  <c r="AO60" i="18"/>
  <c r="AN60" i="21"/>
  <c r="AL60" i="21" s="1"/>
  <c r="T56" i="2"/>
  <c r="AK56" i="21"/>
  <c r="AL56" i="18"/>
  <c r="AO56" i="19"/>
  <c r="AN56" i="21"/>
  <c r="AL56" i="21" s="1"/>
  <c r="AR56" i="19"/>
  <c r="AO56" i="18"/>
  <c r="T52" i="2"/>
  <c r="AN52" i="21"/>
  <c r="AL52" i="21" s="1"/>
  <c r="AK52" i="21"/>
  <c r="AL52" i="18"/>
  <c r="AR52" i="19"/>
  <c r="AO52" i="19"/>
  <c r="AO52" i="18"/>
  <c r="T48" i="2"/>
  <c r="AO48" i="19"/>
  <c r="AN48" i="21"/>
  <c r="AL48" i="21" s="1"/>
  <c r="AK48" i="21"/>
  <c r="AL48" i="18"/>
  <c r="AO48" i="18"/>
  <c r="T63" i="2"/>
  <c r="AL63" i="18"/>
  <c r="AK63" i="21"/>
  <c r="AO63" i="18"/>
  <c r="AO63" i="19"/>
  <c r="AL57" i="13"/>
  <c r="AO57" i="13"/>
  <c r="T57" i="2"/>
  <c r="AA54" i="7"/>
  <c r="AB54" i="7"/>
  <c r="AA65" i="7"/>
  <c r="AL65" i="7" s="1"/>
  <c r="AJ65" i="7" s="1"/>
  <c r="AB65" i="7"/>
  <c r="AA58" i="7"/>
  <c r="AL58" i="7" s="1"/>
  <c r="AJ58" i="7" s="1"/>
  <c r="AB58" i="7"/>
  <c r="AA53" i="7"/>
  <c r="AB53" i="7"/>
  <c r="AA49" i="7"/>
  <c r="AB49" i="7"/>
  <c r="AL61" i="13"/>
  <c r="AO61" i="13"/>
  <c r="T61" i="2"/>
  <c r="S49" i="2"/>
  <c r="AO49" i="3" s="1"/>
  <c r="R187" i="9"/>
  <c r="R186" i="9"/>
  <c r="U179" i="9" s="1"/>
  <c r="R185" i="9"/>
  <c r="W179" i="9" s="1"/>
  <c r="R188" i="9"/>
  <c r="R184" i="9"/>
  <c r="V179" i="9" s="1"/>
  <c r="AA59" i="7"/>
  <c r="AL59" i="7" s="1"/>
  <c r="AJ59" i="7" s="1"/>
  <c r="AB59" i="7"/>
  <c r="AA50" i="7"/>
  <c r="AB50" i="7"/>
  <c r="AL60" i="13"/>
  <c r="AO60" i="13"/>
  <c r="T60" i="2"/>
  <c r="AL59" i="13"/>
  <c r="AO59" i="13"/>
  <c r="T59" i="2"/>
  <c r="AA61" i="7"/>
  <c r="AB61" i="7"/>
  <c r="AA56" i="7"/>
  <c r="AB56" i="7"/>
  <c r="AA52" i="7"/>
  <c r="AL52" i="7" s="1"/>
  <c r="AJ52" i="7" s="1"/>
  <c r="AB52" i="7"/>
  <c r="AA48" i="7"/>
  <c r="AB48" i="7"/>
  <c r="AL58" i="13"/>
  <c r="AO58" i="13"/>
  <c r="T58" i="2"/>
  <c r="S54" i="2"/>
  <c r="R186" i="10"/>
  <c r="U179" i="10" s="1"/>
  <c r="R185" i="10"/>
  <c r="W179" i="10" s="1"/>
  <c r="R188" i="10"/>
  <c r="R184" i="10"/>
  <c r="V179" i="10" s="1"/>
  <c r="R187" i="10"/>
  <c r="AG62" i="4"/>
  <c r="AA60" i="7"/>
  <c r="AL60" i="7" s="1"/>
  <c r="AJ60" i="7" s="1"/>
  <c r="AB60" i="7"/>
  <c r="AA55" i="7"/>
  <c r="AB55" i="7"/>
  <c r="AA51" i="7"/>
  <c r="AL51" i="7" s="1"/>
  <c r="AJ51" i="7" s="1"/>
  <c r="AB51" i="7"/>
  <c r="AF53" i="7"/>
  <c r="AF49" i="7"/>
  <c r="AF64" i="7"/>
  <c r="AF60" i="7"/>
  <c r="AF65" i="7"/>
  <c r="AF52" i="7"/>
  <c r="U65" i="4"/>
  <c r="AB65" i="4"/>
  <c r="U51" i="4"/>
  <c r="AB51" i="4"/>
  <c r="U64" i="4"/>
  <c r="AB64" i="4"/>
  <c r="U60" i="4"/>
  <c r="AB60" i="4"/>
  <c r="U56" i="4"/>
  <c r="AB56" i="4"/>
  <c r="U49" i="4"/>
  <c r="AB49" i="4"/>
  <c r="U61" i="4"/>
  <c r="AB61" i="4"/>
  <c r="U59" i="4"/>
  <c r="AB59" i="4"/>
  <c r="U55" i="4"/>
  <c r="AB55" i="4"/>
  <c r="U48" i="4"/>
  <c r="AB48" i="4"/>
  <c r="U57" i="4"/>
  <c r="AB57" i="4"/>
  <c r="U58" i="4"/>
  <c r="AB58" i="4"/>
  <c r="U52" i="4"/>
  <c r="AB52" i="4"/>
  <c r="U55" i="2"/>
  <c r="AO55" i="3"/>
  <c r="AL55" i="3"/>
  <c r="AO59" i="3"/>
  <c r="AL59" i="3"/>
  <c r="AL51" i="3"/>
  <c r="AO51" i="3"/>
  <c r="AL62" i="3"/>
  <c r="AO62" i="3"/>
  <c r="AO58" i="3"/>
  <c r="AL58" i="3"/>
  <c r="AL54" i="3"/>
  <c r="AO50" i="3"/>
  <c r="AL50" i="3"/>
  <c r="AO65" i="3"/>
  <c r="AL65" i="3"/>
  <c r="AO61" i="3"/>
  <c r="AL61" i="3"/>
  <c r="AO57" i="3"/>
  <c r="AL57" i="3"/>
  <c r="AL49" i="3"/>
  <c r="AO64" i="3"/>
  <c r="AL64" i="3"/>
  <c r="AL60" i="3"/>
  <c r="AO60" i="3"/>
  <c r="AO56" i="3"/>
  <c r="AL56" i="3"/>
  <c r="AL52" i="3"/>
  <c r="AO52" i="3"/>
  <c r="AL48" i="3"/>
  <c r="AO48" i="3"/>
  <c r="U63" i="2"/>
  <c r="AO63" i="3"/>
  <c r="AL63" i="3"/>
  <c r="AL61" i="5"/>
  <c r="AO61" i="5"/>
  <c r="U60" i="2"/>
  <c r="AL60" i="5"/>
  <c r="AO60" i="5"/>
  <c r="AH56" i="4"/>
  <c r="AF56" i="4"/>
  <c r="AE60" i="4"/>
  <c r="AG60" i="4"/>
  <c r="AH64" i="4"/>
  <c r="AF64" i="4"/>
  <c r="AF62" i="4"/>
  <c r="AH62" i="4"/>
  <c r="AF58" i="4"/>
  <c r="AE58" i="4"/>
  <c r="AH58" i="4"/>
  <c r="AG58" i="4"/>
  <c r="AE62" i="4"/>
  <c r="E56" i="4"/>
  <c r="AL56" i="4" s="1"/>
  <c r="AN58" i="4"/>
  <c r="AH60" i="4"/>
  <c r="AG64" i="4"/>
  <c r="AG56" i="4"/>
  <c r="AF60" i="4"/>
  <c r="AE64" i="4"/>
  <c r="AL58" i="4"/>
  <c r="AI58" i="4"/>
  <c r="AR52" i="4"/>
  <c r="AO52" i="4"/>
  <c r="AL50" i="7"/>
  <c r="AJ50" i="7" s="1"/>
  <c r="AI56" i="7"/>
  <c r="AH56" i="7"/>
  <c r="AH52" i="7"/>
  <c r="AI52" i="7"/>
  <c r="AH53" i="7"/>
  <c r="AI58" i="7"/>
  <c r="AH61" i="7"/>
  <c r="AH58" i="7"/>
  <c r="AI50" i="7"/>
  <c r="AI62" i="7"/>
  <c r="AH62" i="7"/>
  <c r="AH50" i="7"/>
  <c r="AH49" i="7"/>
  <c r="AH64" i="7"/>
  <c r="AH48" i="7"/>
  <c r="AI48" i="7"/>
  <c r="AH65" i="7"/>
  <c r="AI64" i="7"/>
  <c r="AH60" i="7"/>
  <c r="AI60" i="7"/>
  <c r="AH63" i="7"/>
  <c r="AH59" i="7"/>
  <c r="AH55" i="7"/>
  <c r="AH51" i="7"/>
  <c r="AH54" i="7"/>
  <c r="AL56" i="7"/>
  <c r="AJ56" i="7" s="1"/>
  <c r="AL48" i="7"/>
  <c r="AJ48" i="7" s="1"/>
  <c r="AI63" i="7"/>
  <c r="AI59" i="7"/>
  <c r="AI55" i="7"/>
  <c r="AI51" i="7"/>
  <c r="AL61" i="7"/>
  <c r="AJ61" i="7" s="1"/>
  <c r="AL53" i="7"/>
  <c r="AJ53" i="7" s="1"/>
  <c r="AI65" i="7"/>
  <c r="AI61" i="7"/>
  <c r="AI53" i="7"/>
  <c r="AI49" i="7"/>
  <c r="AG57" i="4"/>
  <c r="AH57" i="4"/>
  <c r="AL64" i="4"/>
  <c r="AH61" i="4"/>
  <c r="AE57" i="4"/>
  <c r="AO64" i="4"/>
  <c r="AF61" i="4"/>
  <c r="AE61" i="4"/>
  <c r="AG65" i="4"/>
  <c r="AF65" i="4"/>
  <c r="AE65" i="4"/>
  <c r="AH65" i="4"/>
  <c r="AG61" i="4"/>
  <c r="AF57" i="4"/>
  <c r="AM64" i="4"/>
  <c r="AI48" i="4"/>
  <c r="AF49" i="4"/>
  <c r="AO58" i="4"/>
  <c r="AL52" i="4"/>
  <c r="AH48" i="4"/>
  <c r="AG48" i="4"/>
  <c r="AF48" i="4"/>
  <c r="AE48" i="4"/>
  <c r="AM62" i="4"/>
  <c r="AM58" i="4"/>
  <c r="AM52" i="4"/>
  <c r="AH49" i="4"/>
  <c r="AG49" i="4"/>
  <c r="AE49" i="4"/>
  <c r="AN52" i="4"/>
  <c r="AH52" i="4"/>
  <c r="AG52" i="4"/>
  <c r="AF52" i="4"/>
  <c r="AI62" i="4"/>
  <c r="AI64" i="4"/>
  <c r="Y64" i="4"/>
  <c r="AR64" i="4" s="1"/>
  <c r="AI60" i="4"/>
  <c r="Y60" i="4"/>
  <c r="AR60" i="4" s="1"/>
  <c r="AI56" i="4"/>
  <c r="AM57" i="4"/>
  <c r="AO57" i="4"/>
  <c r="AL48" i="4"/>
  <c r="AM48" i="4"/>
  <c r="AN48" i="4"/>
  <c r="AO48" i="4"/>
  <c r="AO61" i="4"/>
  <c r="AM61" i="4"/>
  <c r="AI61" i="4"/>
  <c r="AI65" i="4"/>
  <c r="AI49" i="4"/>
  <c r="AN62" i="4"/>
  <c r="AO62" i="4"/>
  <c r="AL62" i="4"/>
  <c r="Y58" i="4"/>
  <c r="AR58" i="4" s="1"/>
  <c r="AI57" i="4"/>
  <c r="AI52" i="4"/>
  <c r="Y56" i="4"/>
  <c r="AR56" i="4" s="1"/>
  <c r="Y48" i="4"/>
  <c r="AR48" i="4" s="1"/>
  <c r="AM65" i="4"/>
  <c r="AM60" i="4"/>
  <c r="AG63" i="4"/>
  <c r="AG59" i="4"/>
  <c r="AG55" i="4"/>
  <c r="AG51" i="4"/>
  <c r="AE63" i="4"/>
  <c r="AE59" i="4"/>
  <c r="AE55" i="4"/>
  <c r="AE51" i="4"/>
  <c r="Y55" i="4"/>
  <c r="AR55" i="4" s="1"/>
  <c r="AO65" i="4"/>
  <c r="AO60" i="4"/>
  <c r="AO49" i="4"/>
  <c r="AN60" i="4"/>
  <c r="AM49" i="4"/>
  <c r="AI63" i="4"/>
  <c r="AI59" i="4"/>
  <c r="AI55" i="4"/>
  <c r="AI51" i="4"/>
  <c r="Y59" i="4"/>
  <c r="AR59" i="4" s="1"/>
  <c r="Y51" i="4"/>
  <c r="AR51" i="4" s="1"/>
  <c r="AO51" i="4"/>
  <c r="AL51" i="4"/>
  <c r="AN51" i="4"/>
  <c r="AN55" i="4"/>
  <c r="AO55" i="4"/>
  <c r="AL55" i="4"/>
  <c r="AO63" i="4"/>
  <c r="AL63" i="4"/>
  <c r="AN63" i="4"/>
  <c r="AO59" i="4"/>
  <c r="AL59" i="4"/>
  <c r="AN59" i="4"/>
  <c r="AM63" i="4"/>
  <c r="AM59" i="4"/>
  <c r="AM55" i="4"/>
  <c r="AM51" i="4"/>
  <c r="AN65" i="4"/>
  <c r="AN61" i="4"/>
  <c r="AN57" i="4"/>
  <c r="AN49" i="4"/>
  <c r="AH63" i="4"/>
  <c r="AH59" i="4"/>
  <c r="AH55" i="4"/>
  <c r="AH51" i="4"/>
  <c r="AF63" i="4"/>
  <c r="AF59" i="4"/>
  <c r="AF55" i="4"/>
  <c r="AF51" i="4"/>
  <c r="Y65" i="4"/>
  <c r="AR65" i="4" s="1"/>
  <c r="Y61" i="4"/>
  <c r="AR61" i="4" s="1"/>
  <c r="Y57" i="4"/>
  <c r="AR57" i="4" s="1"/>
  <c r="Y49" i="4"/>
  <c r="AR49" i="4" s="1"/>
  <c r="U52" i="2"/>
  <c r="U48" i="2"/>
  <c r="U64" i="2"/>
  <c r="U65" i="2"/>
  <c r="U56" i="2"/>
  <c r="U62" i="2"/>
  <c r="U50" i="2"/>
  <c r="U53" i="2"/>
  <c r="U49" i="2"/>
  <c r="U61" i="2"/>
  <c r="U58" i="2"/>
  <c r="U57" i="2"/>
  <c r="U59" i="2"/>
  <c r="U51" i="2"/>
  <c r="AM60" i="13" l="1"/>
  <c r="AL49" i="7"/>
  <c r="AJ49" i="7" s="1"/>
  <c r="AM60" i="20"/>
  <c r="AM61" i="20"/>
  <c r="AP59" i="19"/>
  <c r="I18" i="23"/>
  <c r="AP61" i="19"/>
  <c r="AM57" i="18"/>
  <c r="AM59" i="13"/>
  <c r="AP56" i="19"/>
  <c r="AP52" i="19"/>
  <c r="AP55" i="19"/>
  <c r="AM64" i="18"/>
  <c r="AM48" i="18"/>
  <c r="AM63" i="18"/>
  <c r="AM62" i="18"/>
  <c r="AM65" i="18"/>
  <c r="AP60" i="19"/>
  <c r="AP57" i="19"/>
  <c r="AM61" i="18"/>
  <c r="AM50" i="18"/>
  <c r="AP58" i="19"/>
  <c r="AM58" i="18"/>
  <c r="AM51" i="18"/>
  <c r="AM59" i="18"/>
  <c r="AM58" i="13"/>
  <c r="AM57" i="13"/>
  <c r="AM52" i="18"/>
  <c r="AM56" i="18"/>
  <c r="AM60" i="18"/>
  <c r="AP51" i="19"/>
  <c r="T49" i="2"/>
  <c r="R35" i="9" s="1"/>
  <c r="AK49" i="21"/>
  <c r="AL49" i="18"/>
  <c r="AO49" i="19"/>
  <c r="AN49" i="21"/>
  <c r="AL49" i="21" s="1"/>
  <c r="AR49" i="19"/>
  <c r="AO49" i="18"/>
  <c r="AM55" i="18"/>
  <c r="T54" i="2"/>
  <c r="F18" i="23" s="1"/>
  <c r="AK54" i="21"/>
  <c r="AL54" i="18"/>
  <c r="AO54" i="18"/>
  <c r="C18" i="10"/>
  <c r="C17" i="10"/>
  <c r="C15" i="10"/>
  <c r="C20" i="10"/>
  <c r="C16" i="10"/>
  <c r="C19" i="10"/>
  <c r="AM61" i="5"/>
  <c r="R33" i="15"/>
  <c r="W27" i="15" s="1"/>
  <c r="R35" i="15"/>
  <c r="R36" i="15"/>
  <c r="R32" i="15"/>
  <c r="V27" i="15" s="1"/>
  <c r="R34" i="15"/>
  <c r="U27" i="15" s="1"/>
  <c r="AI54" i="7"/>
  <c r="C20" i="9"/>
  <c r="C19" i="9"/>
  <c r="C15" i="9"/>
  <c r="G8" i="9" s="1"/>
  <c r="C18" i="9"/>
  <c r="C17" i="9"/>
  <c r="F8" i="9" s="1"/>
  <c r="C16" i="9"/>
  <c r="H8" i="9" s="1"/>
  <c r="AM61" i="13"/>
  <c r="R34" i="10"/>
  <c r="U27" i="10" s="1"/>
  <c r="R33" i="10"/>
  <c r="W27" i="10" s="1"/>
  <c r="U54" i="2"/>
  <c r="C20" i="15"/>
  <c r="C19" i="15"/>
  <c r="C17" i="15"/>
  <c r="F8" i="15" s="1"/>
  <c r="C18" i="15"/>
  <c r="C15" i="15"/>
  <c r="G8" i="15" s="1"/>
  <c r="C16" i="15"/>
  <c r="H8" i="15" s="1"/>
  <c r="AO54" i="3"/>
  <c r="R32" i="9"/>
  <c r="V27" i="9" s="1"/>
  <c r="R36" i="9"/>
  <c r="C20" i="11"/>
  <c r="C19" i="11"/>
  <c r="C15" i="11"/>
  <c r="G8" i="11" s="1"/>
  <c r="C18" i="11"/>
  <c r="C17" i="11"/>
  <c r="F8" i="11" s="1"/>
  <c r="C16" i="11"/>
  <c r="H8" i="11" s="1"/>
  <c r="AM55" i="3"/>
  <c r="AM63" i="3"/>
  <c r="AM49" i="3"/>
  <c r="AM54" i="3"/>
  <c r="AM62" i="3"/>
  <c r="AM51" i="3"/>
  <c r="AM64" i="3"/>
  <c r="AM57" i="3"/>
  <c r="AM50" i="3"/>
  <c r="AM58" i="3"/>
  <c r="AM60" i="3"/>
  <c r="AM52" i="3"/>
  <c r="AM59" i="3"/>
  <c r="AM48" i="3"/>
  <c r="AM56" i="3"/>
  <c r="AM61" i="3"/>
  <c r="AM65" i="3"/>
  <c r="AM60" i="5"/>
  <c r="AM56" i="4"/>
  <c r="AN56" i="4"/>
  <c r="AO56" i="4"/>
  <c r="AP56" i="4" s="1"/>
  <c r="AP52" i="4"/>
  <c r="AP64" i="4"/>
  <c r="AP48" i="4"/>
  <c r="AP57" i="4"/>
  <c r="AP61" i="4"/>
  <c r="AP65" i="4"/>
  <c r="AP60" i="4"/>
  <c r="AP58" i="4"/>
  <c r="AP51" i="4"/>
  <c r="AP55" i="4"/>
  <c r="AP49" i="4"/>
  <c r="AP59" i="4"/>
  <c r="N93" i="8"/>
  <c r="M93" i="8"/>
  <c r="L93" i="8"/>
  <c r="K93" i="8"/>
  <c r="N92" i="8"/>
  <c r="M92" i="8"/>
  <c r="L92" i="8"/>
  <c r="K92" i="8"/>
  <c r="N91" i="8"/>
  <c r="M91" i="8"/>
  <c r="L91" i="8"/>
  <c r="K91" i="8"/>
  <c r="N90" i="8"/>
  <c r="M90" i="8"/>
  <c r="L90" i="8"/>
  <c r="K90" i="8"/>
  <c r="N89" i="8"/>
  <c r="M89" i="8"/>
  <c r="L89" i="8"/>
  <c r="K89" i="8"/>
  <c r="N88" i="8"/>
  <c r="M88" i="8"/>
  <c r="L88" i="8"/>
  <c r="K88" i="8"/>
  <c r="C98" i="8"/>
  <c r="B98" i="8"/>
  <c r="F92" i="8"/>
  <c r="E92" i="8"/>
  <c r="D92" i="8"/>
  <c r="C92" i="8"/>
  <c r="B92" i="8"/>
  <c r="A92" i="8"/>
  <c r="F91" i="8"/>
  <c r="E91" i="8"/>
  <c r="D91" i="8"/>
  <c r="C91" i="8"/>
  <c r="B91" i="8"/>
  <c r="A91" i="8"/>
  <c r="F90" i="8"/>
  <c r="E90" i="8"/>
  <c r="D90" i="8"/>
  <c r="C90" i="8"/>
  <c r="B90" i="8"/>
  <c r="A90" i="8"/>
  <c r="F89" i="8"/>
  <c r="E89" i="8"/>
  <c r="D89" i="8"/>
  <c r="C89" i="8"/>
  <c r="B89" i="8"/>
  <c r="A89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38" i="8"/>
  <c r="R34" i="9" l="1"/>
  <c r="U27" i="9" s="1"/>
  <c r="R33" i="9"/>
  <c r="W27" i="9" s="1"/>
  <c r="R35" i="10"/>
  <c r="R32" i="10"/>
  <c r="V27" i="10" s="1"/>
  <c r="R36" i="10"/>
  <c r="AP49" i="19"/>
  <c r="AM54" i="18"/>
  <c r="AM49" i="18"/>
  <c r="F8" i="10"/>
  <c r="H8" i="10"/>
  <c r="G8" i="10"/>
  <c r="C96" i="8"/>
  <c r="C97" i="8" s="1"/>
  <c r="B97" i="8"/>
  <c r="B96" i="8" s="1"/>
  <c r="D98" i="8"/>
  <c r="D96" i="8" l="1"/>
  <c r="D97" i="8"/>
  <c r="G96" i="8"/>
  <c r="G90" i="8" l="1"/>
  <c r="H96" i="8"/>
  <c r="G92" i="8"/>
  <c r="G91" i="8"/>
  <c r="G89" i="8"/>
  <c r="I96" i="8"/>
  <c r="E96" i="8"/>
  <c r="F96" i="8" l="1"/>
  <c r="I91" i="8"/>
  <c r="H91" i="8"/>
  <c r="I92" i="8"/>
  <c r="H92" i="8"/>
  <c r="I89" i="8"/>
  <c r="H89" i="8"/>
  <c r="I90" i="8"/>
  <c r="H90" i="8"/>
  <c r="D41" i="7" l="1"/>
  <c r="F41" i="7" s="1"/>
  <c r="AF41" i="7" s="1"/>
  <c r="D42" i="7"/>
  <c r="F42" i="7" s="1"/>
  <c r="AF42" i="7" s="1"/>
  <c r="D43" i="7"/>
  <c r="F43" i="7" s="1"/>
  <c r="AF43" i="7" s="1"/>
  <c r="D44" i="7"/>
  <c r="F44" i="7" s="1"/>
  <c r="AF44" i="7" s="1"/>
  <c r="D45" i="7"/>
  <c r="F45" i="7" s="1"/>
  <c r="AF45" i="7" s="1"/>
  <c r="D46" i="7"/>
  <c r="F46" i="7" s="1"/>
  <c r="AF46" i="7" s="1"/>
  <c r="D47" i="7"/>
  <c r="F47" i="7" s="1"/>
  <c r="AF47" i="7" s="1"/>
  <c r="Z41" i="7"/>
  <c r="Z42" i="7"/>
  <c r="Z43" i="7"/>
  <c r="Z44" i="7"/>
  <c r="Z45" i="7"/>
  <c r="Z46" i="7"/>
  <c r="Z47" i="7"/>
  <c r="AK41" i="7"/>
  <c r="AK42" i="7"/>
  <c r="AK43" i="7"/>
  <c r="AK44" i="7"/>
  <c r="AK45" i="7"/>
  <c r="AK46" i="7"/>
  <c r="AK47" i="7"/>
  <c r="C41" i="5"/>
  <c r="C42" i="5"/>
  <c r="C43" i="5"/>
  <c r="C44" i="5"/>
  <c r="T41" i="5"/>
  <c r="AE41" i="5" s="1"/>
  <c r="T42" i="5"/>
  <c r="AE42" i="5" s="1"/>
  <c r="T43" i="5"/>
  <c r="AE43" i="5" s="1"/>
  <c r="T44" i="5"/>
  <c r="AE44" i="5" s="1"/>
  <c r="U41" i="5"/>
  <c r="U42" i="5"/>
  <c r="U43" i="5"/>
  <c r="U44" i="5"/>
  <c r="Y41" i="5"/>
  <c r="Y42" i="5"/>
  <c r="Y43" i="5"/>
  <c r="Y44" i="5"/>
  <c r="AG41" i="5"/>
  <c r="AJ41" i="5" s="1"/>
  <c r="AG42" i="5"/>
  <c r="AJ42" i="5" s="1"/>
  <c r="AG43" i="5"/>
  <c r="AJ43" i="5" s="1"/>
  <c r="AG44" i="5"/>
  <c r="AJ44" i="5" s="1"/>
  <c r="AH41" i="5"/>
  <c r="AH42" i="5"/>
  <c r="AH43" i="5"/>
  <c r="AH44" i="5"/>
  <c r="AI41" i="5"/>
  <c r="AI42" i="5"/>
  <c r="AI43" i="5"/>
  <c r="AI44" i="5"/>
  <c r="AN41" i="5"/>
  <c r="AK41" i="5" s="1"/>
  <c r="AN42" i="5"/>
  <c r="AK42" i="5" s="1"/>
  <c r="AN43" i="5"/>
  <c r="AK43" i="5" s="1"/>
  <c r="AN44" i="5"/>
  <c r="AK44" i="5" s="1"/>
  <c r="D41" i="4"/>
  <c r="AE41" i="4" s="1"/>
  <c r="D44" i="4"/>
  <c r="AF44" i="4" s="1"/>
  <c r="D45" i="4"/>
  <c r="E45" i="4" s="1"/>
  <c r="D47" i="4"/>
  <c r="AE47" i="4" s="1"/>
  <c r="S41" i="4"/>
  <c r="S44" i="4"/>
  <c r="S45" i="4"/>
  <c r="S47" i="4"/>
  <c r="T41" i="4"/>
  <c r="T44" i="4"/>
  <c r="T45" i="4"/>
  <c r="T47" i="4"/>
  <c r="X41" i="4"/>
  <c r="Z41" i="4" s="1"/>
  <c r="X44" i="4"/>
  <c r="Z44" i="4" s="1"/>
  <c r="X45" i="4"/>
  <c r="Z45" i="4" s="1"/>
  <c r="X47" i="4"/>
  <c r="Z47" i="4" s="1"/>
  <c r="AJ41" i="4"/>
  <c r="AJ44" i="4"/>
  <c r="AJ45" i="4"/>
  <c r="AJ47" i="4"/>
  <c r="AK41" i="4"/>
  <c r="AK44" i="4"/>
  <c r="AK45" i="4"/>
  <c r="AK47" i="4"/>
  <c r="AQ41" i="4"/>
  <c r="AQ44" i="4"/>
  <c r="AQ45" i="4"/>
  <c r="AQ47" i="4"/>
  <c r="M41" i="2"/>
  <c r="M42" i="2"/>
  <c r="M43" i="2"/>
  <c r="M44" i="2"/>
  <c r="M45" i="2"/>
  <c r="M46" i="2"/>
  <c r="M47" i="2"/>
  <c r="O41" i="2"/>
  <c r="N41" i="2" s="1"/>
  <c r="O42" i="2"/>
  <c r="N42" i="2" s="1"/>
  <c r="O43" i="2"/>
  <c r="N43" i="2" s="1"/>
  <c r="O44" i="2"/>
  <c r="N44" i="2" s="1"/>
  <c r="O45" i="2"/>
  <c r="N45" i="2" s="1"/>
  <c r="O46" i="2"/>
  <c r="N46" i="2" s="1"/>
  <c r="O47" i="2"/>
  <c r="N47" i="2" s="1"/>
  <c r="S41" i="2"/>
  <c r="R42" i="2"/>
  <c r="S42" i="2" s="1"/>
  <c r="R43" i="2"/>
  <c r="S43" i="2" s="1"/>
  <c r="R44" i="2"/>
  <c r="S44" i="2" s="1"/>
  <c r="R45" i="2"/>
  <c r="S45" i="2" s="1"/>
  <c r="R46" i="2"/>
  <c r="S46" i="2" s="1"/>
  <c r="R47" i="2"/>
  <c r="S47" i="2" s="1"/>
  <c r="V41" i="2"/>
  <c r="V42" i="2"/>
  <c r="V43" i="2"/>
  <c r="V44" i="2"/>
  <c r="V45" i="2"/>
  <c r="V46" i="2"/>
  <c r="V47" i="2"/>
  <c r="T47" i="2" l="1"/>
  <c r="AK47" i="21"/>
  <c r="AL47" i="18"/>
  <c r="AO47" i="18"/>
  <c r="AO47" i="19"/>
  <c r="AR47" i="19"/>
  <c r="T45" i="2"/>
  <c r="AK45" i="21"/>
  <c r="AL45" i="18"/>
  <c r="AO45" i="19"/>
  <c r="AR45" i="19"/>
  <c r="AO45" i="18"/>
  <c r="T44" i="2"/>
  <c r="AN44" i="21"/>
  <c r="AL44" i="21" s="1"/>
  <c r="AK44" i="21"/>
  <c r="AO44" i="19"/>
  <c r="AR44" i="19"/>
  <c r="T43" i="2"/>
  <c r="AK43" i="21"/>
  <c r="AN43" i="21"/>
  <c r="AL43" i="21" s="1"/>
  <c r="AL43" i="18"/>
  <c r="AO43" i="18"/>
  <c r="T46" i="2"/>
  <c r="AK46" i="21"/>
  <c r="AN46" i="21"/>
  <c r="AL46" i="21" s="1"/>
  <c r="AL46" i="18"/>
  <c r="AO46" i="18"/>
  <c r="T42" i="2"/>
  <c r="AL42" i="18"/>
  <c r="AK42" i="21"/>
  <c r="AN42" i="21"/>
  <c r="AL42" i="21" s="1"/>
  <c r="AO42" i="18"/>
  <c r="AL41" i="20"/>
  <c r="AL41" i="18"/>
  <c r="AN41" i="21"/>
  <c r="AL41" i="21" s="1"/>
  <c r="AK41" i="21"/>
  <c r="AO41" i="18"/>
  <c r="AL41" i="13"/>
  <c r="AO41" i="13"/>
  <c r="T41" i="2"/>
  <c r="AA43" i="5"/>
  <c r="AC43" i="5"/>
  <c r="AA42" i="5"/>
  <c r="AC42" i="5"/>
  <c r="AA44" i="7"/>
  <c r="AL44" i="7" s="1"/>
  <c r="AJ44" i="7" s="1"/>
  <c r="E78" i="8" s="1"/>
  <c r="AB44" i="7"/>
  <c r="AA45" i="7"/>
  <c r="AL45" i="7" s="1"/>
  <c r="AJ45" i="7" s="1"/>
  <c r="E79" i="8" s="1"/>
  <c r="I79" i="8" s="1"/>
  <c r="AB45" i="7"/>
  <c r="AA41" i="7"/>
  <c r="AL41" i="7" s="1"/>
  <c r="AJ41" i="7" s="1"/>
  <c r="E75" i="8" s="1"/>
  <c r="I75" i="8" s="1"/>
  <c r="AB41" i="7"/>
  <c r="AA41" i="5"/>
  <c r="AC41" i="5"/>
  <c r="AA47" i="7"/>
  <c r="AL47" i="7" s="1"/>
  <c r="AJ47" i="7" s="1"/>
  <c r="E81" i="8" s="1"/>
  <c r="I81" i="8" s="1"/>
  <c r="AB47" i="7"/>
  <c r="AA43" i="7"/>
  <c r="AL43" i="7" s="1"/>
  <c r="AJ43" i="7" s="1"/>
  <c r="E77" i="8" s="1"/>
  <c r="I77" i="8" s="1"/>
  <c r="AB43" i="7"/>
  <c r="AA44" i="5"/>
  <c r="AC44" i="5"/>
  <c r="AA46" i="7"/>
  <c r="AL46" i="7" s="1"/>
  <c r="AJ46" i="7" s="1"/>
  <c r="E80" i="8" s="1"/>
  <c r="I80" i="8" s="1"/>
  <c r="AB46" i="7"/>
  <c r="AA42" i="7"/>
  <c r="AL42" i="7" s="1"/>
  <c r="AJ42" i="7" s="1"/>
  <c r="E76" i="8" s="1"/>
  <c r="I76" i="8" s="1"/>
  <c r="AB42" i="7"/>
  <c r="V43" i="5"/>
  <c r="V41" i="5"/>
  <c r="V42" i="5"/>
  <c r="V44" i="5"/>
  <c r="U41" i="4"/>
  <c r="AB41" i="4"/>
  <c r="Y44" i="4"/>
  <c r="AB44" i="4"/>
  <c r="U47" i="4"/>
  <c r="AB47" i="4"/>
  <c r="U45" i="4"/>
  <c r="AB45" i="4"/>
  <c r="AL43" i="5"/>
  <c r="AL43" i="3"/>
  <c r="AO43" i="3"/>
  <c r="AL42" i="5"/>
  <c r="AL42" i="3"/>
  <c r="AO42" i="3"/>
  <c r="AO47" i="3"/>
  <c r="AL47" i="3"/>
  <c r="AL46" i="3"/>
  <c r="AO46" i="3"/>
  <c r="AL45" i="3"/>
  <c r="AO45" i="3"/>
  <c r="U41" i="2"/>
  <c r="AO41" i="3"/>
  <c r="AL41" i="3"/>
  <c r="AG44" i="4"/>
  <c r="AF44" i="5"/>
  <c r="AE45" i="4"/>
  <c r="AG47" i="4"/>
  <c r="E47" i="4"/>
  <c r="AL47" i="4" s="1"/>
  <c r="AH44" i="7"/>
  <c r="AH43" i="7"/>
  <c r="AR44" i="4"/>
  <c r="AL41" i="5"/>
  <c r="AH46" i="7"/>
  <c r="AH42" i="7"/>
  <c r="AL44" i="5"/>
  <c r="AH45" i="4"/>
  <c r="AF41" i="4"/>
  <c r="AH47" i="4"/>
  <c r="AH41" i="4"/>
  <c r="AF47" i="4"/>
  <c r="AN45" i="4"/>
  <c r="AO45" i="4"/>
  <c r="AF45" i="4"/>
  <c r="E41" i="4"/>
  <c r="AG45" i="4"/>
  <c r="AG41" i="4"/>
  <c r="AH47" i="7"/>
  <c r="AI45" i="7"/>
  <c r="AH45" i="7"/>
  <c r="AI41" i="7"/>
  <c r="AH41" i="7"/>
  <c r="AI44" i="7"/>
  <c r="AI46" i="7"/>
  <c r="AI42" i="7"/>
  <c r="AI47" i="7"/>
  <c r="AI43" i="7"/>
  <c r="AF42" i="5"/>
  <c r="AF43" i="5"/>
  <c r="Z43" i="5"/>
  <c r="AO43" i="5" s="1"/>
  <c r="Z42" i="5"/>
  <c r="AO42" i="5" s="1"/>
  <c r="Z41" i="5"/>
  <c r="AO41" i="5" s="1"/>
  <c r="AF41" i="5"/>
  <c r="Z44" i="5"/>
  <c r="AO44" i="5" s="1"/>
  <c r="AI47" i="4"/>
  <c r="Y47" i="4"/>
  <c r="AR47" i="4" s="1"/>
  <c r="AI45" i="4"/>
  <c r="AI44" i="4"/>
  <c r="AI41" i="4"/>
  <c r="U44" i="4"/>
  <c r="AL45" i="4"/>
  <c r="AH44" i="4"/>
  <c r="Y45" i="4"/>
  <c r="AR45" i="4" s="1"/>
  <c r="Y41" i="4"/>
  <c r="AR41" i="4" s="1"/>
  <c r="E44" i="4"/>
  <c r="AM45" i="4"/>
  <c r="AE44" i="4"/>
  <c r="U42" i="2"/>
  <c r="U46" i="2"/>
  <c r="U45" i="2"/>
  <c r="U44" i="2"/>
  <c r="U47" i="2"/>
  <c r="U43" i="2"/>
  <c r="S13" i="4"/>
  <c r="T13" i="4"/>
  <c r="U13" i="4"/>
  <c r="AM41" i="13" l="1"/>
  <c r="AM47" i="18"/>
  <c r="AM46" i="18"/>
  <c r="AP44" i="19"/>
  <c r="AP45" i="19"/>
  <c r="AM42" i="18"/>
  <c r="AM43" i="18"/>
  <c r="AM45" i="18"/>
  <c r="AP47" i="19"/>
  <c r="AM41" i="18"/>
  <c r="AM47" i="3"/>
  <c r="AM41" i="3"/>
  <c r="B75" i="8" s="1"/>
  <c r="F75" i="8" s="1"/>
  <c r="AM46" i="3"/>
  <c r="B80" i="8" s="1"/>
  <c r="F80" i="8" s="1"/>
  <c r="AM42" i="3"/>
  <c r="B76" i="8" s="1"/>
  <c r="F76" i="8" s="1"/>
  <c r="AM43" i="5"/>
  <c r="D77" i="8" s="1"/>
  <c r="H77" i="8" s="1"/>
  <c r="AM45" i="3"/>
  <c r="B79" i="8" s="1"/>
  <c r="F79" i="8" s="1"/>
  <c r="AM42" i="5"/>
  <c r="D76" i="8" s="1"/>
  <c r="H76" i="8" s="1"/>
  <c r="AM43" i="3"/>
  <c r="B77" i="8" s="1"/>
  <c r="F77" i="8" s="1"/>
  <c r="AM41" i="5"/>
  <c r="D75" i="8" s="1"/>
  <c r="H75" i="8" s="1"/>
  <c r="AM47" i="4"/>
  <c r="AN47" i="4"/>
  <c r="AO47" i="4"/>
  <c r="AP47" i="4" s="1"/>
  <c r="C81" i="8" s="1"/>
  <c r="G81" i="8" s="1"/>
  <c r="B81" i="8"/>
  <c r="F81" i="8" s="1"/>
  <c r="AP45" i="4"/>
  <c r="C79" i="8" s="1"/>
  <c r="G79" i="8" s="1"/>
  <c r="AM44" i="5"/>
  <c r="D78" i="8" s="1"/>
  <c r="H78" i="8" s="1"/>
  <c r="AN41" i="4"/>
  <c r="C75" i="8"/>
  <c r="G75" i="8" s="1"/>
  <c r="AM41" i="4"/>
  <c r="AL41" i="4"/>
  <c r="AM44" i="4"/>
  <c r="AL44" i="4"/>
  <c r="AN44" i="4"/>
  <c r="AO44" i="4"/>
  <c r="AP44" i="4" s="1"/>
  <c r="C78" i="8" s="1"/>
  <c r="G78" i="8" s="1"/>
  <c r="Z4" i="7"/>
  <c r="AB4" i="7" s="1"/>
  <c r="Z5" i="7"/>
  <c r="Z16" i="7"/>
  <c r="Z17" i="7"/>
  <c r="Z31" i="7"/>
  <c r="Z32" i="7"/>
  <c r="Z33" i="7"/>
  <c r="Z37" i="7"/>
  <c r="Z38" i="7"/>
  <c r="Z39" i="7"/>
  <c r="Z40" i="7"/>
  <c r="D40" i="7"/>
  <c r="F40" i="7" s="1"/>
  <c r="AF40" i="7" s="1"/>
  <c r="AK40" i="7"/>
  <c r="C40" i="5"/>
  <c r="D40" i="4"/>
  <c r="E40" i="4" s="1"/>
  <c r="D5" i="7"/>
  <c r="F5" i="7" s="1"/>
  <c r="D16" i="7"/>
  <c r="F16" i="7" s="1"/>
  <c r="AF16" i="7" s="1"/>
  <c r="D17" i="7"/>
  <c r="F17" i="7" s="1"/>
  <c r="AF17" i="7" s="1"/>
  <c r="D18" i="7"/>
  <c r="F18" i="7" s="1"/>
  <c r="D19" i="7"/>
  <c r="F19" i="7" s="1"/>
  <c r="D31" i="7"/>
  <c r="F31" i="7" s="1"/>
  <c r="AF31" i="7" s="1"/>
  <c r="D32" i="7"/>
  <c r="F32" i="7" s="1"/>
  <c r="AF32" i="7" s="1"/>
  <c r="D33" i="7"/>
  <c r="F33" i="7" s="1"/>
  <c r="AF33" i="7" s="1"/>
  <c r="D37" i="7"/>
  <c r="F37" i="7" s="1"/>
  <c r="D38" i="7"/>
  <c r="F38" i="7" s="1"/>
  <c r="AF38" i="7" s="1"/>
  <c r="D39" i="7"/>
  <c r="F39" i="7" s="1"/>
  <c r="AF39" i="7" s="1"/>
  <c r="AK5" i="7"/>
  <c r="AK16" i="7"/>
  <c r="AK17" i="7"/>
  <c r="AK18" i="7"/>
  <c r="AK19" i="7"/>
  <c r="AK31" i="7"/>
  <c r="AK32" i="7"/>
  <c r="AK33" i="7"/>
  <c r="AK37" i="7"/>
  <c r="AK38" i="7"/>
  <c r="AK39" i="7"/>
  <c r="D4" i="7"/>
  <c r="F4" i="7" s="1"/>
  <c r="X10" i="4"/>
  <c r="Z10" i="4" s="1"/>
  <c r="AJ10" i="4"/>
  <c r="AK10" i="4"/>
  <c r="AQ10" i="4"/>
  <c r="R4" i="2"/>
  <c r="R5" i="2"/>
  <c r="S5" i="2" s="1"/>
  <c r="R10" i="2"/>
  <c r="S10" i="2" s="1"/>
  <c r="R11" i="2"/>
  <c r="S11" i="2" s="1"/>
  <c r="R12" i="2"/>
  <c r="S12" i="2" s="1"/>
  <c r="R13" i="2"/>
  <c r="S13" i="2" s="1"/>
  <c r="T13" i="2" s="1"/>
  <c r="R14" i="2"/>
  <c r="S14" i="2" s="1"/>
  <c r="R15" i="2"/>
  <c r="S15" i="2" s="1"/>
  <c r="R16" i="2"/>
  <c r="S16" i="2" s="1"/>
  <c r="R17" i="2"/>
  <c r="S17" i="2" s="1"/>
  <c r="R18" i="2"/>
  <c r="S18" i="2" s="1"/>
  <c r="R19" i="2"/>
  <c r="S19" i="2" s="1"/>
  <c r="R31" i="2"/>
  <c r="S31" i="2" s="1"/>
  <c r="R32" i="2"/>
  <c r="S32" i="2" s="1"/>
  <c r="R33" i="2"/>
  <c r="S33" i="2" s="1"/>
  <c r="R34" i="2"/>
  <c r="S34" i="2" s="1"/>
  <c r="R35" i="2"/>
  <c r="S35" i="2" s="1"/>
  <c r="R36" i="2"/>
  <c r="S36" i="2" s="1"/>
  <c r="R37" i="2"/>
  <c r="S37" i="2" s="1"/>
  <c r="R38" i="2"/>
  <c r="S38" i="2" s="1"/>
  <c r="R39" i="2"/>
  <c r="S39" i="2" s="1"/>
  <c r="R40" i="2"/>
  <c r="S40" i="2" s="1"/>
  <c r="M5" i="2"/>
  <c r="O5" i="2"/>
  <c r="N5" i="2" s="1"/>
  <c r="R65" i="1"/>
  <c r="R66" i="1" s="1"/>
  <c r="AA63" i="1"/>
  <c r="R64" i="1" s="1"/>
  <c r="J52" i="1"/>
  <c r="J45" i="1"/>
  <c r="AA42" i="1"/>
  <c r="R43" i="1" s="1"/>
  <c r="J66" i="1"/>
  <c r="R58" i="1"/>
  <c r="R59" i="1" s="1"/>
  <c r="R44" i="1"/>
  <c r="R45" i="1" s="1"/>
  <c r="C4" i="5"/>
  <c r="C18" i="5"/>
  <c r="C19" i="5"/>
  <c r="C31" i="5"/>
  <c r="C32" i="5"/>
  <c r="C33" i="5"/>
  <c r="C34" i="5"/>
  <c r="C35" i="5"/>
  <c r="C36" i="5"/>
  <c r="C37" i="5"/>
  <c r="C38" i="5"/>
  <c r="C39" i="5"/>
  <c r="AI4" i="5"/>
  <c r="AI18" i="5"/>
  <c r="AI19" i="5"/>
  <c r="AI31" i="5"/>
  <c r="AI32" i="5"/>
  <c r="AI36" i="5"/>
  <c r="AI38" i="5"/>
  <c r="AI39" i="5"/>
  <c r="AI40" i="5"/>
  <c r="AQ4" i="4"/>
  <c r="M10" i="2"/>
  <c r="M11" i="2"/>
  <c r="M12" i="2"/>
  <c r="M13" i="2"/>
  <c r="M14" i="2"/>
  <c r="M15" i="2"/>
  <c r="M16" i="2"/>
  <c r="M17" i="2"/>
  <c r="M18" i="2"/>
  <c r="M19" i="2"/>
  <c r="M31" i="2"/>
  <c r="M32" i="2"/>
  <c r="M33" i="2"/>
  <c r="M34" i="2"/>
  <c r="M35" i="2"/>
  <c r="M36" i="2"/>
  <c r="M37" i="2"/>
  <c r="M38" i="2"/>
  <c r="M39" i="2"/>
  <c r="M40" i="2"/>
  <c r="O10" i="2"/>
  <c r="N10" i="2" s="1"/>
  <c r="O11" i="2"/>
  <c r="N11" i="2" s="1"/>
  <c r="O12" i="2"/>
  <c r="N12" i="2" s="1"/>
  <c r="O13" i="2"/>
  <c r="N13" i="2" s="1"/>
  <c r="O14" i="2"/>
  <c r="N14" i="2" s="1"/>
  <c r="O15" i="2"/>
  <c r="N15" i="2" s="1"/>
  <c r="O16" i="2"/>
  <c r="N16" i="2" s="1"/>
  <c r="O17" i="2"/>
  <c r="N17" i="2" s="1"/>
  <c r="O18" i="2"/>
  <c r="N18" i="2" s="1"/>
  <c r="O19" i="2"/>
  <c r="N19" i="2" s="1"/>
  <c r="O31" i="2"/>
  <c r="N31" i="2" s="1"/>
  <c r="O32" i="2"/>
  <c r="N32" i="2" s="1"/>
  <c r="O33" i="2"/>
  <c r="N33" i="2" s="1"/>
  <c r="O34" i="2"/>
  <c r="N34" i="2" s="1"/>
  <c r="O35" i="2"/>
  <c r="N35" i="2" s="1"/>
  <c r="O36" i="2"/>
  <c r="N36" i="2" s="1"/>
  <c r="O37" i="2"/>
  <c r="N37" i="2" s="1"/>
  <c r="O38" i="2"/>
  <c r="N38" i="2" s="1"/>
  <c r="O39" i="2"/>
  <c r="N39" i="2" s="1"/>
  <c r="O40" i="2"/>
  <c r="N40" i="2" s="1"/>
  <c r="V10" i="2"/>
  <c r="V11" i="2"/>
  <c r="V12" i="2"/>
  <c r="V13" i="2"/>
  <c r="V14" i="2"/>
  <c r="V15" i="2"/>
  <c r="V16" i="2"/>
  <c r="V17" i="2"/>
  <c r="V19" i="2"/>
  <c r="V31" i="2"/>
  <c r="V32" i="2"/>
  <c r="V33" i="2"/>
  <c r="V34" i="2"/>
  <c r="V35" i="2"/>
  <c r="V36" i="2"/>
  <c r="V37" i="2"/>
  <c r="V38" i="2"/>
  <c r="V39" i="2"/>
  <c r="V40" i="2"/>
  <c r="AL36" i="20" l="1"/>
  <c r="AL36" i="18"/>
  <c r="AO36" i="18"/>
  <c r="AL39" i="20"/>
  <c r="AL39" i="18"/>
  <c r="AK39" i="21"/>
  <c r="AO39" i="19"/>
  <c r="AO39" i="18"/>
  <c r="AR39" i="19"/>
  <c r="AL35" i="20"/>
  <c r="AR35" i="19"/>
  <c r="AL35" i="18"/>
  <c r="AO35" i="18"/>
  <c r="AO35" i="19"/>
  <c r="AL31" i="20"/>
  <c r="AK31" i="21"/>
  <c r="AN31" i="21"/>
  <c r="AL31" i="21" s="1"/>
  <c r="AL31" i="18"/>
  <c r="AO31" i="18"/>
  <c r="AK16" i="21"/>
  <c r="AN16" i="21"/>
  <c r="AL16" i="21" s="1"/>
  <c r="T12" i="2"/>
  <c r="AL12" i="18"/>
  <c r="AR12" i="19"/>
  <c r="AO12" i="19"/>
  <c r="AO12" i="18"/>
  <c r="AN40" i="21"/>
  <c r="AL40" i="21" s="1"/>
  <c r="AL40" i="20"/>
  <c r="AL40" i="18"/>
  <c r="AK40" i="21"/>
  <c r="AO40" i="18"/>
  <c r="T17" i="2"/>
  <c r="AN17" i="21"/>
  <c r="AL17" i="21" s="1"/>
  <c r="AK17" i="21"/>
  <c r="AN5" i="21"/>
  <c r="AK5" i="21"/>
  <c r="AL34" i="20"/>
  <c r="AL34" i="18"/>
  <c r="AO34" i="18"/>
  <c r="AO34" i="19"/>
  <c r="AO34" i="20"/>
  <c r="AR34" i="19"/>
  <c r="AL19" i="20"/>
  <c r="AL19" i="18"/>
  <c r="AK19" i="21"/>
  <c r="AO19" i="19"/>
  <c r="AO19" i="18"/>
  <c r="AR19" i="19"/>
  <c r="T15" i="2"/>
  <c r="AL15" i="18"/>
  <c r="AO15" i="18"/>
  <c r="T11" i="2"/>
  <c r="AR11" i="19"/>
  <c r="AO11" i="18"/>
  <c r="AL11" i="18"/>
  <c r="AO11" i="19"/>
  <c r="AL32" i="20"/>
  <c r="AL32" i="18"/>
  <c r="AO32" i="18"/>
  <c r="AO32" i="20"/>
  <c r="AK32" i="21"/>
  <c r="AO32" i="19"/>
  <c r="AL38" i="18"/>
  <c r="AL38" i="20"/>
  <c r="AN38" i="21"/>
  <c r="AL38" i="21" s="1"/>
  <c r="AO38" i="18"/>
  <c r="AO38" i="19"/>
  <c r="AK38" i="21"/>
  <c r="AR38" i="19"/>
  <c r="AL37" i="20"/>
  <c r="AK37" i="21"/>
  <c r="AL37" i="18"/>
  <c r="AN37" i="21"/>
  <c r="AL37" i="21" s="1"/>
  <c r="AR37" i="19"/>
  <c r="AO37" i="18"/>
  <c r="AO37" i="19"/>
  <c r="AL33" i="20"/>
  <c r="AL33" i="18"/>
  <c r="AK33" i="21"/>
  <c r="AO33" i="20"/>
  <c r="AN33" i="21"/>
  <c r="AL33" i="21" s="1"/>
  <c r="AO33" i="18"/>
  <c r="AO33" i="19"/>
  <c r="AL18" i="18"/>
  <c r="AL18" i="20"/>
  <c r="AR18" i="19"/>
  <c r="AO18" i="19"/>
  <c r="AO18" i="18"/>
  <c r="AM18" i="18" s="1"/>
  <c r="AK18" i="21"/>
  <c r="T14" i="2"/>
  <c r="AL14" i="18"/>
  <c r="AO14" i="18"/>
  <c r="T10" i="2"/>
  <c r="AL10" i="18"/>
  <c r="AO10" i="18"/>
  <c r="AO10" i="19"/>
  <c r="AR10" i="19"/>
  <c r="AL35" i="13"/>
  <c r="AO35" i="13"/>
  <c r="T35" i="2"/>
  <c r="R183" i="9"/>
  <c r="R179" i="9"/>
  <c r="V178" i="9" s="1"/>
  <c r="R175" i="9"/>
  <c r="W178" i="9" s="1"/>
  <c r="R182" i="9"/>
  <c r="R178" i="9"/>
  <c r="R174" i="9"/>
  <c r="R177" i="9"/>
  <c r="R181" i="9"/>
  <c r="U178" i="9" s="1"/>
  <c r="R174" i="15"/>
  <c r="R176" i="9"/>
  <c r="R180" i="9"/>
  <c r="R182" i="10"/>
  <c r="R178" i="10"/>
  <c r="R174" i="10"/>
  <c r="R181" i="10"/>
  <c r="U178" i="10" s="1"/>
  <c r="R177" i="10"/>
  <c r="R180" i="10"/>
  <c r="R176" i="10"/>
  <c r="R183" i="10"/>
  <c r="R179" i="10"/>
  <c r="V178" i="10" s="1"/>
  <c r="R175" i="10"/>
  <c r="W178" i="10" s="1"/>
  <c r="AL34" i="13"/>
  <c r="AO34" i="13"/>
  <c r="T34" i="2"/>
  <c r="AL19" i="13"/>
  <c r="AO19" i="13"/>
  <c r="T19" i="2"/>
  <c r="AA39" i="7"/>
  <c r="AB39" i="7"/>
  <c r="AA32" i="7"/>
  <c r="AB32" i="7"/>
  <c r="AA5" i="7"/>
  <c r="AL5" i="7" s="1"/>
  <c r="AJ5" i="7" s="1"/>
  <c r="E39" i="8" s="1"/>
  <c r="I39" i="8" s="1"/>
  <c r="AB5" i="7"/>
  <c r="AL39" i="13"/>
  <c r="AO39" i="13"/>
  <c r="T39" i="2"/>
  <c r="AL31" i="13"/>
  <c r="AO31" i="13"/>
  <c r="T31" i="2"/>
  <c r="AA33" i="7"/>
  <c r="AB33" i="7"/>
  <c r="AA16" i="7"/>
  <c r="AL16" i="7" s="1"/>
  <c r="AJ16" i="7" s="1"/>
  <c r="E50" i="8" s="1"/>
  <c r="I50" i="8" s="1"/>
  <c r="AB16" i="7"/>
  <c r="AL38" i="13"/>
  <c r="AO38" i="13"/>
  <c r="T38" i="2"/>
  <c r="AL33" i="13"/>
  <c r="AO33" i="13"/>
  <c r="T33" i="2"/>
  <c r="AL18" i="13"/>
  <c r="AO18" i="13"/>
  <c r="AA38" i="7"/>
  <c r="AL38" i="7" s="1"/>
  <c r="AJ38" i="7" s="1"/>
  <c r="AB38" i="7"/>
  <c r="AA31" i="7"/>
  <c r="AL31" i="7" s="1"/>
  <c r="AJ31" i="7" s="1"/>
  <c r="AB31" i="7"/>
  <c r="U16" i="2"/>
  <c r="T16" i="2"/>
  <c r="AA40" i="7"/>
  <c r="AL40" i="7" s="1"/>
  <c r="AJ40" i="7" s="1"/>
  <c r="E74" i="8" s="1"/>
  <c r="I74" i="8" s="1"/>
  <c r="AB40" i="7"/>
  <c r="AL37" i="13"/>
  <c r="AO37" i="13"/>
  <c r="T37" i="2"/>
  <c r="AL40" i="13"/>
  <c r="AO40" i="13"/>
  <c r="T40" i="2"/>
  <c r="AL36" i="13"/>
  <c r="AO36" i="13"/>
  <c r="T36" i="2"/>
  <c r="AL32" i="13"/>
  <c r="AO32" i="13"/>
  <c r="T32" i="2"/>
  <c r="AF37" i="7"/>
  <c r="AG37" i="7"/>
  <c r="AF19" i="7"/>
  <c r="AG19" i="7"/>
  <c r="AA37" i="7"/>
  <c r="AL37" i="7" s="1"/>
  <c r="AJ37" i="7" s="1"/>
  <c r="E71" i="8" s="1"/>
  <c r="I71" i="8" s="1"/>
  <c r="AB37" i="7"/>
  <c r="AA17" i="7"/>
  <c r="AL17" i="7" s="1"/>
  <c r="AJ17" i="7" s="1"/>
  <c r="E51" i="8" s="1"/>
  <c r="I51" i="8" s="1"/>
  <c r="AB17" i="7"/>
  <c r="AB10" i="4"/>
  <c r="AO33" i="3"/>
  <c r="AL33" i="3"/>
  <c r="AL10" i="3"/>
  <c r="AO10" i="3"/>
  <c r="AL40" i="3"/>
  <c r="AO40" i="3"/>
  <c r="AL32" i="3"/>
  <c r="AO32" i="3"/>
  <c r="AL35" i="3"/>
  <c r="AO35" i="3"/>
  <c r="AL37" i="3"/>
  <c r="AO37" i="3"/>
  <c r="AO18" i="3"/>
  <c r="AL18" i="3"/>
  <c r="AO14" i="3"/>
  <c r="AL14" i="3"/>
  <c r="AL36" i="3"/>
  <c r="AO36" i="3"/>
  <c r="AL39" i="3"/>
  <c r="AO39" i="3"/>
  <c r="AL31" i="3"/>
  <c r="AO31" i="3"/>
  <c r="AO12" i="3"/>
  <c r="AL12" i="3"/>
  <c r="AO38" i="3"/>
  <c r="AL38" i="3"/>
  <c r="AL34" i="3"/>
  <c r="AO34" i="3"/>
  <c r="AO19" i="3"/>
  <c r="AL19" i="3"/>
  <c r="AO15" i="3"/>
  <c r="AL15" i="3"/>
  <c r="AL11" i="3"/>
  <c r="AO11" i="3"/>
  <c r="AH40" i="7"/>
  <c r="AH33" i="7"/>
  <c r="AH18" i="7"/>
  <c r="AH39" i="7"/>
  <c r="AH32" i="7"/>
  <c r="AH17" i="7"/>
  <c r="AH31" i="7"/>
  <c r="AH16" i="7"/>
  <c r="AH37" i="7"/>
  <c r="AH19" i="7"/>
  <c r="AH5" i="7"/>
  <c r="AH38" i="7"/>
  <c r="Y10" i="4"/>
  <c r="AR10" i="4" s="1"/>
  <c r="AL33" i="7"/>
  <c r="AJ33" i="7" s="1"/>
  <c r="E67" i="8" s="1"/>
  <c r="I67" i="8" s="1"/>
  <c r="AI37" i="7"/>
  <c r="AI33" i="7"/>
  <c r="AI32" i="7"/>
  <c r="AI5" i="7"/>
  <c r="AI19" i="7"/>
  <c r="AI38" i="7"/>
  <c r="AI18" i="7"/>
  <c r="AI17" i="7"/>
  <c r="AI31" i="7"/>
  <c r="AI39" i="7"/>
  <c r="AI16" i="7"/>
  <c r="AI40" i="7"/>
  <c r="E52" i="8"/>
  <c r="I52" i="8" s="1"/>
  <c r="AI10" i="4"/>
  <c r="E53" i="8"/>
  <c r="I53" i="8" s="1"/>
  <c r="U5" i="2"/>
  <c r="U40" i="2"/>
  <c r="U33" i="2"/>
  <c r="U13" i="2"/>
  <c r="U37" i="2"/>
  <c r="U12" i="2"/>
  <c r="U32" i="2"/>
  <c r="U17" i="2"/>
  <c r="U36" i="2"/>
  <c r="U35" i="2"/>
  <c r="U19" i="2"/>
  <c r="U18" i="2"/>
  <c r="U10" i="2"/>
  <c r="U39" i="2"/>
  <c r="U11" i="2"/>
  <c r="U38" i="2"/>
  <c r="U14" i="2"/>
  <c r="U31" i="2"/>
  <c r="U15" i="2"/>
  <c r="U34" i="2"/>
  <c r="J62" i="1"/>
  <c r="AA4" i="7"/>
  <c r="AK4" i="7"/>
  <c r="AH4" i="7" s="1"/>
  <c r="D10" i="4"/>
  <c r="D11" i="4"/>
  <c r="D12" i="4"/>
  <c r="D18" i="4"/>
  <c r="D19" i="4"/>
  <c r="D32" i="4"/>
  <c r="D33" i="4"/>
  <c r="D34" i="4"/>
  <c r="D35" i="4"/>
  <c r="D37" i="4"/>
  <c r="D38" i="4"/>
  <c r="D39" i="4"/>
  <c r="S5" i="4"/>
  <c r="S6" i="4"/>
  <c r="S7" i="4"/>
  <c r="S10" i="4"/>
  <c r="S11" i="4"/>
  <c r="S12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2" i="4"/>
  <c r="S33" i="4"/>
  <c r="S34" i="4"/>
  <c r="S35" i="4"/>
  <c r="S37" i="4"/>
  <c r="S38" i="4"/>
  <c r="S39" i="4"/>
  <c r="S40" i="4"/>
  <c r="T5" i="4"/>
  <c r="T6" i="4"/>
  <c r="T7" i="4"/>
  <c r="T10" i="4"/>
  <c r="T11" i="4"/>
  <c r="T12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2" i="4"/>
  <c r="T33" i="4"/>
  <c r="T34" i="4"/>
  <c r="T35" i="4"/>
  <c r="T37" i="4"/>
  <c r="T38" i="4"/>
  <c r="T39" i="4"/>
  <c r="T40" i="4"/>
  <c r="U5" i="4"/>
  <c r="U6" i="4"/>
  <c r="U10" i="4"/>
  <c r="X11" i="4"/>
  <c r="Z11" i="4" s="1"/>
  <c r="X12" i="4"/>
  <c r="Z12" i="4" s="1"/>
  <c r="U14" i="4"/>
  <c r="U15" i="4"/>
  <c r="X18" i="4"/>
  <c r="Z18" i="4" s="1"/>
  <c r="X19" i="4"/>
  <c r="Z19" i="4" s="1"/>
  <c r="U21" i="4"/>
  <c r="U22" i="4"/>
  <c r="U25" i="4"/>
  <c r="U26" i="4"/>
  <c r="U29" i="4"/>
  <c r="U30" i="4"/>
  <c r="X32" i="4"/>
  <c r="Z32" i="4" s="1"/>
  <c r="X33" i="4"/>
  <c r="Z33" i="4" s="1"/>
  <c r="X34" i="4"/>
  <c r="Z34" i="4" s="1"/>
  <c r="X35" i="4"/>
  <c r="Z35" i="4" s="1"/>
  <c r="X37" i="4"/>
  <c r="Z37" i="4" s="1"/>
  <c r="X38" i="4"/>
  <c r="Z38" i="4" s="1"/>
  <c r="X39" i="4"/>
  <c r="Z39" i="4" s="1"/>
  <c r="X40" i="4"/>
  <c r="Z40" i="4" s="1"/>
  <c r="AJ11" i="4"/>
  <c r="AJ12" i="4"/>
  <c r="AJ18" i="4"/>
  <c r="AJ19" i="4"/>
  <c r="AJ32" i="4"/>
  <c r="AJ33" i="4"/>
  <c r="AJ34" i="4"/>
  <c r="AJ35" i="4"/>
  <c r="AJ37" i="4"/>
  <c r="AJ38" i="4"/>
  <c r="AJ39" i="4"/>
  <c r="AJ40" i="4"/>
  <c r="AK11" i="4"/>
  <c r="AK12" i="4"/>
  <c r="AK18" i="4"/>
  <c r="AK19" i="4"/>
  <c r="AK32" i="4"/>
  <c r="AK33" i="4"/>
  <c r="AK34" i="4"/>
  <c r="AK35" i="4"/>
  <c r="AK37" i="4"/>
  <c r="AK38" i="4"/>
  <c r="AK39" i="4"/>
  <c r="AK40" i="4"/>
  <c r="AQ11" i="4"/>
  <c r="AQ12" i="4"/>
  <c r="AQ18" i="4"/>
  <c r="AQ19" i="4"/>
  <c r="AQ32" i="4"/>
  <c r="AQ33" i="4"/>
  <c r="AQ34" i="4"/>
  <c r="AQ35" i="4"/>
  <c r="AQ37" i="4"/>
  <c r="AQ38" i="4"/>
  <c r="AQ39" i="4"/>
  <c r="AQ40" i="4"/>
  <c r="D4" i="4"/>
  <c r="S4" i="4"/>
  <c r="T4" i="4"/>
  <c r="X4" i="4"/>
  <c r="AJ4" i="4"/>
  <c r="AK4" i="4"/>
  <c r="T5" i="5"/>
  <c r="T6" i="5"/>
  <c r="T7" i="5"/>
  <c r="T8" i="5"/>
  <c r="T9" i="5"/>
  <c r="T10" i="5"/>
  <c r="T11" i="5"/>
  <c r="T12" i="5"/>
  <c r="T13" i="5"/>
  <c r="T14" i="5"/>
  <c r="T15" i="5"/>
  <c r="T16" i="5"/>
  <c r="T18" i="5"/>
  <c r="AE18" i="5" s="1"/>
  <c r="T19" i="5"/>
  <c r="AE19" i="5" s="1"/>
  <c r="T20" i="5"/>
  <c r="T21" i="5"/>
  <c r="T22" i="5"/>
  <c r="T23" i="5"/>
  <c r="T24" i="5"/>
  <c r="T25" i="5"/>
  <c r="T26" i="5"/>
  <c r="T27" i="5"/>
  <c r="T28" i="5"/>
  <c r="T29" i="5"/>
  <c r="T30" i="5"/>
  <c r="T31" i="5"/>
  <c r="AE31" i="5" s="1"/>
  <c r="T32" i="5"/>
  <c r="AE32" i="5" s="1"/>
  <c r="T33" i="5"/>
  <c r="AE33" i="5" s="1"/>
  <c r="T34" i="5"/>
  <c r="AE34" i="5" s="1"/>
  <c r="T35" i="5"/>
  <c r="AE35" i="5" s="1"/>
  <c r="T36" i="5"/>
  <c r="AE36" i="5" s="1"/>
  <c r="T37" i="5"/>
  <c r="AE37" i="5" s="1"/>
  <c r="T38" i="5"/>
  <c r="AE38" i="5" s="1"/>
  <c r="T39" i="5"/>
  <c r="AE39" i="5" s="1"/>
  <c r="T40" i="5"/>
  <c r="AE40" i="5" s="1"/>
  <c r="U5" i="5"/>
  <c r="U6" i="5"/>
  <c r="U7" i="5"/>
  <c r="U8" i="5"/>
  <c r="U9" i="5"/>
  <c r="U10" i="5"/>
  <c r="U11" i="5"/>
  <c r="U12" i="5"/>
  <c r="U13" i="5"/>
  <c r="U14" i="5"/>
  <c r="U15" i="5"/>
  <c r="U16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V5" i="5"/>
  <c r="V6" i="5"/>
  <c r="V7" i="5"/>
  <c r="V8" i="5"/>
  <c r="V9" i="5"/>
  <c r="V10" i="5"/>
  <c r="V11" i="5"/>
  <c r="V12" i="5"/>
  <c r="V13" i="5"/>
  <c r="V14" i="5"/>
  <c r="V15" i="5"/>
  <c r="V16" i="5"/>
  <c r="Y18" i="5"/>
  <c r="Y19" i="5"/>
  <c r="V20" i="5"/>
  <c r="V21" i="5"/>
  <c r="V22" i="5"/>
  <c r="V23" i="5"/>
  <c r="V24" i="5"/>
  <c r="V25" i="5"/>
  <c r="V26" i="5"/>
  <c r="V27" i="5"/>
  <c r="V28" i="5"/>
  <c r="V29" i="5"/>
  <c r="V30" i="5"/>
  <c r="Y31" i="5"/>
  <c r="Y32" i="5"/>
  <c r="Y33" i="5"/>
  <c r="Y34" i="5"/>
  <c r="Y35" i="5"/>
  <c r="Y36" i="5"/>
  <c r="Y37" i="5"/>
  <c r="Y38" i="5"/>
  <c r="Y39" i="5"/>
  <c r="Y40" i="5"/>
  <c r="AG18" i="5"/>
  <c r="AJ18" i="5" s="1"/>
  <c r="AG19" i="5"/>
  <c r="AJ19" i="5" s="1"/>
  <c r="AG31" i="5"/>
  <c r="AJ31" i="5" s="1"/>
  <c r="AG32" i="5"/>
  <c r="AJ32" i="5" s="1"/>
  <c r="AG33" i="5"/>
  <c r="AG34" i="5"/>
  <c r="AG35" i="5"/>
  <c r="AG36" i="5"/>
  <c r="AJ36" i="5" s="1"/>
  <c r="AG37" i="5"/>
  <c r="AG38" i="5"/>
  <c r="AJ38" i="5" s="1"/>
  <c r="AG39" i="5"/>
  <c r="AJ39" i="5" s="1"/>
  <c r="AG40" i="5"/>
  <c r="AJ40" i="5" s="1"/>
  <c r="AH18" i="5"/>
  <c r="AH19" i="5"/>
  <c r="AH31" i="5"/>
  <c r="AH32" i="5"/>
  <c r="AH33" i="5"/>
  <c r="AH34" i="5"/>
  <c r="AH35" i="5"/>
  <c r="AH36" i="5"/>
  <c r="AH37" i="5"/>
  <c r="AH38" i="5"/>
  <c r="AH39" i="5"/>
  <c r="AH40" i="5"/>
  <c r="AL18" i="5"/>
  <c r="AL19" i="5"/>
  <c r="AL31" i="5"/>
  <c r="AL32" i="5"/>
  <c r="AL33" i="5"/>
  <c r="AL34" i="5"/>
  <c r="AL35" i="5"/>
  <c r="AL36" i="5"/>
  <c r="AL37" i="5"/>
  <c r="AL38" i="5"/>
  <c r="AL39" i="5"/>
  <c r="AL40" i="5"/>
  <c r="AN18" i="5"/>
  <c r="AK18" i="5" s="1"/>
  <c r="AN19" i="5"/>
  <c r="AK19" i="5" s="1"/>
  <c r="AN31" i="5"/>
  <c r="AK31" i="5" s="1"/>
  <c r="AN32" i="5"/>
  <c r="AK32" i="5" s="1"/>
  <c r="AN33" i="5"/>
  <c r="AK33" i="5" s="1"/>
  <c r="AN34" i="5"/>
  <c r="AK34" i="5" s="1"/>
  <c r="AN35" i="5"/>
  <c r="AK35" i="5" s="1"/>
  <c r="AN36" i="5"/>
  <c r="AK36" i="5" s="1"/>
  <c r="AN37" i="5"/>
  <c r="AK37" i="5" s="1"/>
  <c r="AN38" i="5"/>
  <c r="AK38" i="5" s="1"/>
  <c r="AN39" i="5"/>
  <c r="AK39" i="5" s="1"/>
  <c r="AN40" i="5"/>
  <c r="AK40" i="5" s="1"/>
  <c r="T4" i="5"/>
  <c r="AE4" i="5" s="1"/>
  <c r="U4" i="5"/>
  <c r="Y4" i="5"/>
  <c r="AG4" i="5"/>
  <c r="AJ4" i="5" s="1"/>
  <c r="AH4" i="5"/>
  <c r="AN4" i="5"/>
  <c r="AK4" i="5" s="1"/>
  <c r="I17" i="23" l="1"/>
  <c r="F17" i="23"/>
  <c r="AM14" i="18"/>
  <c r="AM37" i="13"/>
  <c r="F16" i="23"/>
  <c r="AM32" i="18"/>
  <c r="AM31" i="18"/>
  <c r="AP35" i="19"/>
  <c r="AM36" i="18"/>
  <c r="AM19" i="13"/>
  <c r="AM40" i="13"/>
  <c r="AM33" i="13"/>
  <c r="AM39" i="13"/>
  <c r="AM34" i="13"/>
  <c r="AM35" i="13"/>
  <c r="AP10" i="19"/>
  <c r="AP18" i="19"/>
  <c r="AP34" i="19"/>
  <c r="R22" i="9"/>
  <c r="AM10" i="18"/>
  <c r="AP19" i="19"/>
  <c r="AL5" i="21"/>
  <c r="AP11" i="19"/>
  <c r="AP39" i="19"/>
  <c r="AM34" i="20"/>
  <c r="AM15" i="3"/>
  <c r="AM12" i="3"/>
  <c r="B46" i="8" s="1"/>
  <c r="F46" i="8" s="1"/>
  <c r="AP37" i="19"/>
  <c r="AP38" i="19"/>
  <c r="AM11" i="18"/>
  <c r="AM15" i="18"/>
  <c r="AM19" i="18"/>
  <c r="AM12" i="18"/>
  <c r="AM35" i="18"/>
  <c r="AM33" i="20"/>
  <c r="AM38" i="18"/>
  <c r="R24" i="15"/>
  <c r="AM37" i="18"/>
  <c r="AM39" i="18"/>
  <c r="AM33" i="18"/>
  <c r="AM32" i="20"/>
  <c r="AM34" i="18"/>
  <c r="AM40" i="18"/>
  <c r="AP12" i="19"/>
  <c r="AA40" i="5"/>
  <c r="AC40" i="5"/>
  <c r="AA32" i="5"/>
  <c r="AC32" i="5"/>
  <c r="R31" i="10"/>
  <c r="R25" i="10"/>
  <c r="R27" i="15"/>
  <c r="V26" i="15" s="1"/>
  <c r="W189" i="10"/>
  <c r="W190" i="10" s="1"/>
  <c r="U189" i="10"/>
  <c r="U190" i="10" s="1"/>
  <c r="Z190" i="10" s="1"/>
  <c r="AA4" i="5"/>
  <c r="AC4" i="5"/>
  <c r="AA39" i="5"/>
  <c r="AC39" i="5"/>
  <c r="AA35" i="5"/>
  <c r="AC35" i="5"/>
  <c r="AA31" i="5"/>
  <c r="AC31" i="5"/>
  <c r="AA19" i="5"/>
  <c r="AC19" i="5"/>
  <c r="AM14" i="3"/>
  <c r="B48" i="8" s="1"/>
  <c r="F48" i="8" s="1"/>
  <c r="AM10" i="3"/>
  <c r="B44" i="8" s="1"/>
  <c r="F44" i="8" s="1"/>
  <c r="AM32" i="13"/>
  <c r="AM36" i="13"/>
  <c r="R28" i="9"/>
  <c r="R26" i="10"/>
  <c r="R30" i="9"/>
  <c r="R30" i="10"/>
  <c r="R23" i="9"/>
  <c r="W26" i="9" s="1"/>
  <c r="R26" i="9"/>
  <c r="R24" i="9"/>
  <c r="R27" i="9"/>
  <c r="V26" i="9" s="1"/>
  <c r="AM38" i="13"/>
  <c r="V189" i="10"/>
  <c r="W184" i="9"/>
  <c r="W180" i="9"/>
  <c r="U184" i="9" s="1"/>
  <c r="U185" i="9" s="1"/>
  <c r="AA36" i="5"/>
  <c r="AC36" i="5"/>
  <c r="R27" i="10"/>
  <c r="V26" i="10" s="1"/>
  <c r="R22" i="15"/>
  <c r="R30" i="15"/>
  <c r="R29" i="10"/>
  <c r="U26" i="10" s="1"/>
  <c r="AA38" i="5"/>
  <c r="AC38" i="5"/>
  <c r="AA34" i="5"/>
  <c r="AC34" i="5"/>
  <c r="AA18" i="5"/>
  <c r="AC18" i="5"/>
  <c r="R28" i="15"/>
  <c r="R25" i="9"/>
  <c r="R25" i="15"/>
  <c r="R29" i="9"/>
  <c r="U26" i="9" s="1"/>
  <c r="R29" i="15"/>
  <c r="U26" i="15" s="1"/>
  <c r="R31" i="9"/>
  <c r="R23" i="15"/>
  <c r="W26" i="15" s="1"/>
  <c r="W184" i="10"/>
  <c r="W180" i="10"/>
  <c r="U184" i="10" s="1"/>
  <c r="U185" i="10" s="1"/>
  <c r="U189" i="9"/>
  <c r="U190" i="9" s="1"/>
  <c r="AA190" i="9" s="1"/>
  <c r="W189" i="9"/>
  <c r="W190" i="9" s="1"/>
  <c r="AA37" i="5"/>
  <c r="AC37" i="5"/>
  <c r="AA33" i="5"/>
  <c r="AC33" i="5"/>
  <c r="R24" i="10"/>
  <c r="R31" i="15"/>
  <c r="R28" i="10"/>
  <c r="R26" i="15"/>
  <c r="R22" i="10"/>
  <c r="R23" i="10"/>
  <c r="W26" i="10" s="1"/>
  <c r="AM18" i="13"/>
  <c r="AM31" i="13"/>
  <c r="V184" i="9"/>
  <c r="V33" i="5"/>
  <c r="V40" i="5"/>
  <c r="V32" i="5"/>
  <c r="V39" i="5"/>
  <c r="V35" i="5"/>
  <c r="V31" i="5"/>
  <c r="V19" i="5"/>
  <c r="V37" i="5"/>
  <c r="V36" i="5"/>
  <c r="Z4" i="5"/>
  <c r="V38" i="5"/>
  <c r="V34" i="5"/>
  <c r="V18" i="5"/>
  <c r="AI40" i="4"/>
  <c r="AB40" i="4"/>
  <c r="U35" i="4"/>
  <c r="AB35" i="4"/>
  <c r="U39" i="4"/>
  <c r="AB39" i="4"/>
  <c r="U34" i="4"/>
  <c r="AB34" i="4"/>
  <c r="U33" i="4"/>
  <c r="AB33" i="4"/>
  <c r="U19" i="4"/>
  <c r="AB19" i="4"/>
  <c r="U4" i="4"/>
  <c r="AB4" i="4"/>
  <c r="U38" i="4"/>
  <c r="AB38" i="4"/>
  <c r="U12" i="4"/>
  <c r="AB12" i="4"/>
  <c r="U37" i="4"/>
  <c r="AB37" i="4"/>
  <c r="AI32" i="4"/>
  <c r="AB32" i="4"/>
  <c r="U18" i="4"/>
  <c r="AB18" i="4"/>
  <c r="U11" i="4"/>
  <c r="AB11" i="4"/>
  <c r="AM19" i="3"/>
  <c r="B53" i="8" s="1"/>
  <c r="F53" i="8" s="1"/>
  <c r="AM38" i="3"/>
  <c r="B72" i="8" s="1"/>
  <c r="F72" i="8" s="1"/>
  <c r="AM18" i="3"/>
  <c r="B52" i="8" s="1"/>
  <c r="F52" i="8" s="1"/>
  <c r="AM33" i="3"/>
  <c r="B67" i="8" s="1"/>
  <c r="F67" i="8" s="1"/>
  <c r="AM34" i="3"/>
  <c r="B68" i="8" s="1"/>
  <c r="F68" i="8" s="1"/>
  <c r="AM32" i="3"/>
  <c r="B66" i="8" s="1"/>
  <c r="F66" i="8" s="1"/>
  <c r="AM39" i="3"/>
  <c r="B73" i="8" s="1"/>
  <c r="F73" i="8" s="1"/>
  <c r="AM37" i="3"/>
  <c r="B71" i="8" s="1"/>
  <c r="F71" i="8" s="1"/>
  <c r="AM11" i="3"/>
  <c r="B45" i="8" s="1"/>
  <c r="F45" i="8" s="1"/>
  <c r="AM31" i="3"/>
  <c r="B65" i="8" s="1"/>
  <c r="F65" i="8" s="1"/>
  <c r="AM36" i="3"/>
  <c r="B70" i="8" s="1"/>
  <c r="F70" i="8" s="1"/>
  <c r="AM35" i="3"/>
  <c r="B69" i="8" s="1"/>
  <c r="F69" i="8" s="1"/>
  <c r="AM40" i="3"/>
  <c r="B74" i="8" s="1"/>
  <c r="F74" i="8" s="1"/>
  <c r="AF34" i="5"/>
  <c r="AF39" i="5"/>
  <c r="Z39" i="5"/>
  <c r="AO39" i="5" s="1"/>
  <c r="AM39" i="5" s="1"/>
  <c r="D73" i="8" s="1"/>
  <c r="Z35" i="5"/>
  <c r="AO35" i="5" s="1"/>
  <c r="AM35" i="5" s="1"/>
  <c r="D69" i="8" s="1"/>
  <c r="H69" i="8" s="1"/>
  <c r="AF31" i="5"/>
  <c r="Z34" i="5"/>
  <c r="AO34" i="5" s="1"/>
  <c r="AM34" i="5" s="1"/>
  <c r="D68" i="8" s="1"/>
  <c r="H68" i="8" s="1"/>
  <c r="AG10" i="4"/>
  <c r="AF10" i="4"/>
  <c r="AH10" i="4"/>
  <c r="AE10" i="4"/>
  <c r="AF40" i="5"/>
  <c r="Z38" i="5"/>
  <c r="AO38" i="5" s="1"/>
  <c r="AM38" i="5" s="1"/>
  <c r="D72" i="8" s="1"/>
  <c r="H72" i="8" s="1"/>
  <c r="AF38" i="5"/>
  <c r="AF37" i="5"/>
  <c r="AF36" i="5"/>
  <c r="AF35" i="5"/>
  <c r="Z33" i="5"/>
  <c r="AO33" i="5" s="1"/>
  <c r="AM33" i="5" s="1"/>
  <c r="D67" i="8" s="1"/>
  <c r="H67" i="8" s="1"/>
  <c r="Z31" i="5"/>
  <c r="AO31" i="5" s="1"/>
  <c r="AM31" i="5" s="1"/>
  <c r="D65" i="8" s="1"/>
  <c r="H65" i="8" s="1"/>
  <c r="Z19" i="5"/>
  <c r="AO19" i="5" s="1"/>
  <c r="AM19" i="5" s="1"/>
  <c r="D53" i="8" s="1"/>
  <c r="H53" i="8" s="1"/>
  <c r="Z18" i="5"/>
  <c r="AO18" i="5" s="1"/>
  <c r="AM18" i="5" s="1"/>
  <c r="D52" i="8" s="1"/>
  <c r="H52" i="8" s="1"/>
  <c r="Z37" i="5"/>
  <c r="AO37" i="5" s="1"/>
  <c r="AM37" i="5" s="1"/>
  <c r="D71" i="8" s="1"/>
  <c r="H71" i="8" s="1"/>
  <c r="AF33" i="5"/>
  <c r="AF32" i="5"/>
  <c r="AF19" i="5"/>
  <c r="AF18" i="5"/>
  <c r="Z40" i="5"/>
  <c r="AO40" i="5" s="1"/>
  <c r="AM40" i="5" s="1"/>
  <c r="D74" i="8" s="1"/>
  <c r="H74" i="8" s="1"/>
  <c r="Z36" i="5"/>
  <c r="AO36" i="5" s="1"/>
  <c r="AM36" i="5" s="1"/>
  <c r="D70" i="8" s="1"/>
  <c r="H70" i="8" s="1"/>
  <c r="Z32" i="5"/>
  <c r="AO32" i="5" s="1"/>
  <c r="AM32" i="5" s="1"/>
  <c r="D66" i="8" s="1"/>
  <c r="H66" i="8" s="1"/>
  <c r="AI35" i="4"/>
  <c r="AI18" i="4"/>
  <c r="AH38" i="4"/>
  <c r="AG38" i="4"/>
  <c r="AH34" i="4"/>
  <c r="AG34" i="4"/>
  <c r="AH19" i="4"/>
  <c r="AG19" i="4"/>
  <c r="AH11" i="4"/>
  <c r="AG11" i="4"/>
  <c r="AI37" i="4"/>
  <c r="Y37" i="4"/>
  <c r="AR37" i="4" s="1"/>
  <c r="AH37" i="4"/>
  <c r="AG37" i="4"/>
  <c r="AH33" i="4"/>
  <c r="AG33" i="4"/>
  <c r="AH18" i="4"/>
  <c r="AG18" i="4"/>
  <c r="AH4" i="4"/>
  <c r="AG4" i="4"/>
  <c r="Y33" i="4"/>
  <c r="AR33" i="4" s="1"/>
  <c r="Y18" i="4"/>
  <c r="AR18" i="4" s="1"/>
  <c r="AH40" i="4"/>
  <c r="AG40" i="4"/>
  <c r="AH32" i="4"/>
  <c r="AG32" i="4"/>
  <c r="AI33" i="4"/>
  <c r="AH39" i="4"/>
  <c r="AG39" i="4"/>
  <c r="AG35" i="4"/>
  <c r="AH35" i="4"/>
  <c r="AG12" i="4"/>
  <c r="AH12" i="4"/>
  <c r="B49" i="8"/>
  <c r="F49" i="8" s="1"/>
  <c r="V4" i="5"/>
  <c r="AF4" i="5"/>
  <c r="AE40" i="4"/>
  <c r="E39" i="4"/>
  <c r="AF40" i="4"/>
  <c r="E35" i="4"/>
  <c r="AE32" i="4"/>
  <c r="AF32" i="4"/>
  <c r="E19" i="4"/>
  <c r="E11" i="4"/>
  <c r="AE39" i="4"/>
  <c r="E38" i="4"/>
  <c r="AF39" i="4"/>
  <c r="AF35" i="4"/>
  <c r="AE35" i="4"/>
  <c r="E34" i="4"/>
  <c r="E18" i="4"/>
  <c r="AF12" i="4"/>
  <c r="AE12" i="4"/>
  <c r="E10" i="4"/>
  <c r="AE38" i="4"/>
  <c r="AF38" i="4"/>
  <c r="E37" i="4"/>
  <c r="AF34" i="4"/>
  <c r="AE34" i="4"/>
  <c r="E33" i="4"/>
  <c r="AE19" i="4"/>
  <c r="AF19" i="4"/>
  <c r="AE11" i="4"/>
  <c r="AF11" i="4"/>
  <c r="AF4" i="4"/>
  <c r="E4" i="4"/>
  <c r="AM4" i="4" s="1"/>
  <c r="AE4" i="4"/>
  <c r="AF37" i="4"/>
  <c r="AE37" i="4"/>
  <c r="AF33" i="4"/>
  <c r="AE33" i="4"/>
  <c r="E32" i="4"/>
  <c r="AF18" i="4"/>
  <c r="AE18" i="4"/>
  <c r="E12" i="4"/>
  <c r="AI34" i="4"/>
  <c r="AI38" i="4"/>
  <c r="AI19" i="4"/>
  <c r="AI11" i="4"/>
  <c r="AI39" i="4"/>
  <c r="Y39" i="4"/>
  <c r="U27" i="4"/>
  <c r="U16" i="4"/>
  <c r="AI12" i="4"/>
  <c r="U23" i="4"/>
  <c r="Y35" i="4"/>
  <c r="Y12" i="4"/>
  <c r="Y40" i="4"/>
  <c r="U40" i="4"/>
  <c r="Y32" i="4"/>
  <c r="U32" i="4"/>
  <c r="U24" i="4"/>
  <c r="U17" i="4"/>
  <c r="U7" i="4"/>
  <c r="AO40" i="4"/>
  <c r="U28" i="4"/>
  <c r="U20" i="4"/>
  <c r="Y38" i="4"/>
  <c r="Y34" i="4"/>
  <c r="Y19" i="4"/>
  <c r="Y11" i="4"/>
  <c r="AI4" i="4"/>
  <c r="Y4" i="4"/>
  <c r="AA190" i="10" l="1"/>
  <c r="X180" i="9"/>
  <c r="V189" i="9"/>
  <c r="V190" i="9" s="1"/>
  <c r="Z190" i="9"/>
  <c r="W37" i="10"/>
  <c r="W38" i="10" s="1"/>
  <c r="U37" i="10"/>
  <c r="U38" i="10" s="1"/>
  <c r="AA38" i="10" s="1"/>
  <c r="U37" i="9"/>
  <c r="U38" i="9" s="1"/>
  <c r="AA38" i="9" s="1"/>
  <c r="W37" i="9"/>
  <c r="W38" i="9" s="1"/>
  <c r="AC184" i="9"/>
  <c r="AC185" i="9" s="1"/>
  <c r="X184" i="9"/>
  <c r="AB184" i="9" s="1"/>
  <c r="V185" i="9"/>
  <c r="Y184" i="10"/>
  <c r="W185" i="10"/>
  <c r="Y185" i="10" s="1"/>
  <c r="AA185" i="10" s="1"/>
  <c r="W32" i="9"/>
  <c r="W28" i="9"/>
  <c r="U32" i="9" s="1"/>
  <c r="U33" i="9" s="1"/>
  <c r="V184" i="10"/>
  <c r="AC189" i="9"/>
  <c r="AC190" i="9" s="1"/>
  <c r="W32" i="15"/>
  <c r="W28" i="15"/>
  <c r="U32" i="15" s="1"/>
  <c r="U33" i="15" s="1"/>
  <c r="X180" i="10"/>
  <c r="W37" i="15"/>
  <c r="W38" i="15" s="1"/>
  <c r="U37" i="15"/>
  <c r="U38" i="15" s="1"/>
  <c r="AA38" i="15" s="1"/>
  <c r="W185" i="9"/>
  <c r="Y185" i="9" s="1"/>
  <c r="AA185" i="9" s="1"/>
  <c r="Y184" i="9"/>
  <c r="W32" i="10"/>
  <c r="W28" i="10"/>
  <c r="U32" i="10" s="1"/>
  <c r="U33" i="10" s="1"/>
  <c r="AC189" i="10"/>
  <c r="AC190" i="10" s="1"/>
  <c r="V190" i="10"/>
  <c r="AO34" i="4"/>
  <c r="AO10" i="4"/>
  <c r="AP10" i="4" s="1"/>
  <c r="C44" i="8" s="1"/>
  <c r="G44" i="8" s="1"/>
  <c r="AN10" i="4"/>
  <c r="AR35" i="4"/>
  <c r="AN37" i="4"/>
  <c r="AN32" i="4"/>
  <c r="AM32" i="4"/>
  <c r="AL32" i="4"/>
  <c r="AL18" i="4"/>
  <c r="AM18" i="4"/>
  <c r="AN18" i="4"/>
  <c r="AN33" i="4"/>
  <c r="AO11" i="4"/>
  <c r="AN11" i="4"/>
  <c r="AM38" i="4"/>
  <c r="AL38" i="4"/>
  <c r="AN38" i="4"/>
  <c r="AN35" i="4"/>
  <c r="AN39" i="4"/>
  <c r="AM39" i="4"/>
  <c r="AL39" i="4"/>
  <c r="AL40" i="4"/>
  <c r="AN40" i="4"/>
  <c r="AM40" i="4"/>
  <c r="AL4" i="4"/>
  <c r="AN4" i="4"/>
  <c r="AN12" i="4"/>
  <c r="AM12" i="4"/>
  <c r="AL12" i="4"/>
  <c r="AO19" i="4"/>
  <c r="AM19" i="4"/>
  <c r="AL19" i="4"/>
  <c r="AN19" i="4"/>
  <c r="AN34" i="4"/>
  <c r="AO35" i="4"/>
  <c r="AO39" i="4"/>
  <c r="AO32" i="4"/>
  <c r="AO38" i="4"/>
  <c r="AO12" i="4"/>
  <c r="AR12" i="4"/>
  <c r="AR39" i="4"/>
  <c r="AO33" i="4"/>
  <c r="AP33" i="4" s="1"/>
  <c r="C67" i="8" s="1"/>
  <c r="G67" i="8" s="1"/>
  <c r="AR32" i="4"/>
  <c r="AR11" i="4"/>
  <c r="AR40" i="4"/>
  <c r="AP40" i="4" s="1"/>
  <c r="C74" i="8" s="1"/>
  <c r="G74" i="8" s="1"/>
  <c r="AR19" i="4"/>
  <c r="AR34" i="4"/>
  <c r="AR38" i="4"/>
  <c r="AO18" i="4"/>
  <c r="AP18" i="4" s="1"/>
  <c r="C52" i="8" s="1"/>
  <c r="G52" i="8" s="1"/>
  <c r="AO37" i="4"/>
  <c r="AP37" i="4" s="1"/>
  <c r="C71" i="8" s="1"/>
  <c r="G71" i="8" s="1"/>
  <c r="V37" i="10" l="1"/>
  <c r="Z38" i="10"/>
  <c r="X28" i="9"/>
  <c r="Z38" i="15"/>
  <c r="X28" i="15"/>
  <c r="V32" i="15"/>
  <c r="AC32" i="15" s="1"/>
  <c r="AC33" i="15" s="1"/>
  <c r="X185" i="9"/>
  <c r="AB185" i="9" s="1"/>
  <c r="Y32" i="10"/>
  <c r="W33" i="10"/>
  <c r="Y33" i="10" s="1"/>
  <c r="X28" i="10"/>
  <c r="V37" i="15"/>
  <c r="Z38" i="9"/>
  <c r="V37" i="9"/>
  <c r="W33" i="9"/>
  <c r="Y33" i="9" s="1"/>
  <c r="Y32" i="9"/>
  <c r="Z185" i="10"/>
  <c r="V32" i="10"/>
  <c r="Y32" i="15"/>
  <c r="W33" i="15"/>
  <c r="Y33" i="15" s="1"/>
  <c r="X184" i="10"/>
  <c r="AB184" i="10" s="1"/>
  <c r="V185" i="10"/>
  <c r="X185" i="10" s="1"/>
  <c r="AB185" i="10" s="1"/>
  <c r="AC184" i="10"/>
  <c r="AC185" i="10" s="1"/>
  <c r="V38" i="10"/>
  <c r="AC37" i="10"/>
  <c r="AC38" i="10" s="1"/>
  <c r="V32" i="9"/>
  <c r="Z185" i="9"/>
  <c r="AP34" i="4"/>
  <c r="C68" i="8" s="1"/>
  <c r="G68" i="8" s="1"/>
  <c r="AP19" i="4"/>
  <c r="C53" i="8" s="1"/>
  <c r="G53" i="8" s="1"/>
  <c r="AP35" i="4"/>
  <c r="C69" i="8" s="1"/>
  <c r="G69" i="8" s="1"/>
  <c r="AP11" i="4"/>
  <c r="C45" i="8" s="1"/>
  <c r="G45" i="8" s="1"/>
  <c r="AP32" i="4"/>
  <c r="C66" i="8" s="1"/>
  <c r="G66" i="8" s="1"/>
  <c r="AP39" i="4"/>
  <c r="C73" i="8" s="1"/>
  <c r="G73" i="8" s="1"/>
  <c r="AP12" i="4"/>
  <c r="C46" i="8" s="1"/>
  <c r="G46" i="8" s="1"/>
  <c r="AP38" i="4"/>
  <c r="C72" i="8" s="1"/>
  <c r="G72" i="8" s="1"/>
  <c r="X32" i="15" l="1"/>
  <c r="AB32" i="15" s="1"/>
  <c r="V33" i="15"/>
  <c r="AA33" i="9"/>
  <c r="Z33" i="9"/>
  <c r="AC32" i="10"/>
  <c r="AC33" i="10" s="1"/>
  <c r="X32" i="10"/>
  <c r="AB32" i="10" s="1"/>
  <c r="V33" i="10"/>
  <c r="X33" i="10" s="1"/>
  <c r="AB33" i="10" s="1"/>
  <c r="V38" i="9"/>
  <c r="AC37" i="9"/>
  <c r="AC38" i="9" s="1"/>
  <c r="Z33" i="10"/>
  <c r="AA33" i="10"/>
  <c r="Z33" i="15"/>
  <c r="AA33" i="15"/>
  <c r="V38" i="15"/>
  <c r="AC37" i="15"/>
  <c r="AC38" i="15" s="1"/>
  <c r="X33" i="15"/>
  <c r="AB33" i="15" s="1"/>
  <c r="AC32" i="9"/>
  <c r="AC33" i="9" s="1"/>
  <c r="V33" i="9"/>
  <c r="X33" i="9" s="1"/>
  <c r="AB33" i="9" s="1"/>
  <c r="X32" i="9"/>
  <c r="AB32" i="9" s="1"/>
  <c r="J47" i="1"/>
  <c r="J57" i="1"/>
  <c r="J55" i="1"/>
  <c r="J48" i="1" l="1"/>
  <c r="R51" i="1"/>
  <c r="R52" i="1" s="1"/>
  <c r="I177" i="6"/>
  <c r="J177" i="6"/>
  <c r="K177" i="6"/>
  <c r="P177" i="6"/>
  <c r="R177" i="6"/>
  <c r="T177" i="6"/>
  <c r="U177" i="6"/>
  <c r="W177" i="6"/>
  <c r="I178" i="6"/>
  <c r="J178" i="6"/>
  <c r="K178" i="6"/>
  <c r="P178" i="6"/>
  <c r="R178" i="6"/>
  <c r="T178" i="6"/>
  <c r="U178" i="6"/>
  <c r="W178" i="6"/>
  <c r="I179" i="6"/>
  <c r="J179" i="6"/>
  <c r="P179" i="6"/>
  <c r="R179" i="6"/>
  <c r="T179" i="6"/>
  <c r="U179" i="6"/>
  <c r="W179" i="6"/>
  <c r="I180" i="6"/>
  <c r="J180" i="6"/>
  <c r="P180" i="6"/>
  <c r="R180" i="6"/>
  <c r="T180" i="6"/>
  <c r="U180" i="6"/>
  <c r="W180" i="6"/>
  <c r="I181" i="6"/>
  <c r="J181" i="6"/>
  <c r="P181" i="6"/>
  <c r="R181" i="6"/>
  <c r="T181" i="6"/>
  <c r="U181" i="6"/>
  <c r="W181" i="6"/>
  <c r="I182" i="6"/>
  <c r="J182" i="6"/>
  <c r="P182" i="6"/>
  <c r="R182" i="6"/>
  <c r="T182" i="6"/>
  <c r="U182" i="6"/>
  <c r="W182" i="6"/>
  <c r="I183" i="6"/>
  <c r="J183" i="6"/>
  <c r="P183" i="6"/>
  <c r="R183" i="6"/>
  <c r="T183" i="6"/>
  <c r="U183" i="6"/>
  <c r="W183" i="6"/>
  <c r="I184" i="6"/>
  <c r="J184" i="6"/>
  <c r="P184" i="6"/>
  <c r="R184" i="6"/>
  <c r="T184" i="6"/>
  <c r="U184" i="6"/>
  <c r="W184" i="6"/>
  <c r="I185" i="6"/>
  <c r="J185" i="6"/>
  <c r="P185" i="6"/>
  <c r="R185" i="6"/>
  <c r="T185" i="6"/>
  <c r="U185" i="6"/>
  <c r="W185" i="6"/>
  <c r="I186" i="6"/>
  <c r="J186" i="6"/>
  <c r="P186" i="6"/>
  <c r="R186" i="6"/>
  <c r="T186" i="6"/>
  <c r="U186" i="6"/>
  <c r="W186" i="6"/>
  <c r="T187" i="6" l="1"/>
  <c r="W187" i="6"/>
  <c r="R188" i="6"/>
  <c r="P189" i="6"/>
  <c r="P187" i="6"/>
  <c r="I190" i="6"/>
  <c r="I187" i="6"/>
  <c r="I189" i="6"/>
  <c r="J188" i="6"/>
  <c r="T190" i="6"/>
  <c r="T189" i="6"/>
  <c r="W188" i="6"/>
  <c r="P190" i="6"/>
  <c r="J187" i="6"/>
  <c r="T188" i="6"/>
  <c r="U187" i="6"/>
  <c r="U190" i="6"/>
  <c r="U189" i="6"/>
  <c r="J189" i="6"/>
  <c r="R189" i="6"/>
  <c r="W190" i="6"/>
  <c r="I188" i="6"/>
  <c r="R190" i="6"/>
  <c r="J190" i="6"/>
  <c r="R187" i="6"/>
  <c r="U188" i="6"/>
  <c r="W189" i="6"/>
  <c r="P188" i="6"/>
  <c r="J41" i="1" l="1"/>
  <c r="N184" i="6" l="1"/>
  <c r="N185" i="6"/>
  <c r="N186" i="6"/>
  <c r="N177" i="6"/>
  <c r="N178" i="6"/>
  <c r="N181" i="6"/>
  <c r="N182" i="6"/>
  <c r="N179" i="6"/>
  <c r="N183" i="6"/>
  <c r="N180" i="6"/>
  <c r="N188" i="6" l="1"/>
  <c r="N187" i="6"/>
  <c r="N190" i="6"/>
  <c r="N189" i="6"/>
  <c r="L177" i="6" l="1"/>
  <c r="L178" i="6"/>
  <c r="L179" i="6"/>
  <c r="L184" i="6"/>
  <c r="L185" i="6"/>
  <c r="L186" i="6"/>
  <c r="L180" i="6"/>
  <c r="L181" i="6"/>
  <c r="L182" i="6"/>
  <c r="L183" i="6"/>
  <c r="L187" i="6" l="1"/>
  <c r="L188" i="6"/>
  <c r="L189" i="6"/>
  <c r="L190" i="6"/>
  <c r="R230" i="6" l="1"/>
  <c r="Q230" i="6"/>
  <c r="P230" i="6"/>
  <c r="O230" i="6"/>
  <c r="J230" i="6"/>
  <c r="I230" i="6"/>
  <c r="R208" i="6"/>
  <c r="P208" i="6"/>
  <c r="O208" i="6"/>
  <c r="J208" i="6"/>
  <c r="I208" i="6"/>
  <c r="Y186" i="6"/>
  <c r="X186" i="6"/>
  <c r="Z177" i="6" l="1"/>
  <c r="Y185" i="6"/>
  <c r="Y184" i="6"/>
  <c r="Y183" i="6"/>
  <c r="Y197" i="6" s="1"/>
  <c r="Y182" i="6"/>
  <c r="Y181" i="6"/>
  <c r="Y180" i="6"/>
  <c r="Y179" i="6"/>
  <c r="Y178" i="6"/>
  <c r="Y177" i="6"/>
  <c r="X185" i="6"/>
  <c r="X184" i="6"/>
  <c r="X183" i="6"/>
  <c r="X197" i="6" s="1"/>
  <c r="X182" i="6"/>
  <c r="X181" i="6"/>
  <c r="X180" i="6"/>
  <c r="X179" i="6"/>
  <c r="X178" i="6"/>
  <c r="X177" i="6"/>
  <c r="X198" i="6" l="1"/>
  <c r="Y198" i="6"/>
  <c r="Y187" i="6"/>
  <c r="Y188" i="6"/>
  <c r="Y191" i="6"/>
  <c r="Y193" i="6"/>
  <c r="Y189" i="6"/>
  <c r="Y190" i="6"/>
  <c r="X187" i="6"/>
  <c r="X188" i="6"/>
  <c r="X190" i="6"/>
  <c r="X194" i="6"/>
  <c r="X191" i="6"/>
  <c r="X189" i="6"/>
  <c r="X192" i="6"/>
  <c r="Y196" i="6"/>
  <c r="Y194" i="6"/>
  <c r="Y192" i="6"/>
  <c r="Y195" i="6"/>
  <c r="X195" i="6"/>
  <c r="X193" i="6"/>
  <c r="X196" i="6"/>
  <c r="S209" i="6" l="1"/>
  <c r="G246" i="6" l="1"/>
  <c r="G248" i="6" s="1"/>
  <c r="D246" i="6" l="1"/>
  <c r="D248" i="6" s="1"/>
  <c r="E246" i="6"/>
  <c r="E248" i="6" s="1"/>
  <c r="F246" i="6"/>
  <c r="F248" i="6" s="1"/>
  <c r="H246" i="6"/>
  <c r="H248" i="6" s="1"/>
  <c r="I246" i="6"/>
  <c r="I248" i="6" s="1"/>
  <c r="J246" i="6"/>
  <c r="J248" i="6" s="1"/>
  <c r="K246" i="6"/>
  <c r="K248" i="6" s="1"/>
  <c r="L246" i="6"/>
  <c r="L248" i="6" s="1"/>
  <c r="M246" i="6"/>
  <c r="M248" i="6" s="1"/>
  <c r="N246" i="6"/>
  <c r="N248" i="6" s="1"/>
  <c r="O246" i="6"/>
  <c r="O248" i="6" s="1"/>
  <c r="P246" i="6"/>
  <c r="P248" i="6" s="1"/>
  <c r="Q246" i="6"/>
  <c r="Q248" i="6" s="1"/>
  <c r="R246" i="6"/>
  <c r="R248" i="6" s="1"/>
  <c r="C246" i="6"/>
  <c r="C248" i="6" s="1"/>
  <c r="R227" i="6"/>
  <c r="R241" i="6" s="1"/>
  <c r="Q227" i="6"/>
  <c r="Q241" i="6" s="1"/>
  <c r="P227" i="6"/>
  <c r="P241" i="6" s="1"/>
  <c r="O227" i="6"/>
  <c r="O241" i="6" s="1"/>
  <c r="J227" i="6"/>
  <c r="J241" i="6" s="1"/>
  <c r="I227" i="6"/>
  <c r="I241" i="6" s="1"/>
  <c r="R205" i="6"/>
  <c r="R219" i="6" s="1"/>
  <c r="P205" i="6"/>
  <c r="P219" i="6" s="1"/>
  <c r="O205" i="6"/>
  <c r="O219" i="6" s="1"/>
  <c r="J205" i="6"/>
  <c r="J219" i="6" s="1"/>
  <c r="I205" i="6"/>
  <c r="I219" i="6" s="1"/>
  <c r="W197" i="6"/>
  <c r="U197" i="6"/>
  <c r="T197" i="6"/>
  <c r="R197" i="6"/>
  <c r="P197" i="6"/>
  <c r="J197" i="6"/>
  <c r="I197" i="6"/>
  <c r="R226" i="6"/>
  <c r="Q226" i="6"/>
  <c r="P226" i="6"/>
  <c r="O226" i="6"/>
  <c r="J226" i="6"/>
  <c r="I226" i="6"/>
  <c r="R225" i="6"/>
  <c r="Q225" i="6"/>
  <c r="P225" i="6"/>
  <c r="O225" i="6"/>
  <c r="J225" i="6"/>
  <c r="I225" i="6"/>
  <c r="R224" i="6"/>
  <c r="Q224" i="6"/>
  <c r="P224" i="6"/>
  <c r="O224" i="6"/>
  <c r="J224" i="6"/>
  <c r="I224" i="6"/>
  <c r="R223" i="6"/>
  <c r="Q223" i="6"/>
  <c r="P223" i="6"/>
  <c r="P231" i="6" s="1"/>
  <c r="O223" i="6"/>
  <c r="J223" i="6"/>
  <c r="I223" i="6"/>
  <c r="R207" i="6"/>
  <c r="P207" i="6"/>
  <c r="O207" i="6"/>
  <c r="J207" i="6"/>
  <c r="I207" i="6"/>
  <c r="R206" i="6"/>
  <c r="P206" i="6"/>
  <c r="O206" i="6"/>
  <c r="J206" i="6"/>
  <c r="I206" i="6"/>
  <c r="R204" i="6"/>
  <c r="P204" i="6"/>
  <c r="O204" i="6"/>
  <c r="J204" i="6"/>
  <c r="I204" i="6"/>
  <c r="R203" i="6"/>
  <c r="P203" i="6"/>
  <c r="O203" i="6"/>
  <c r="J203" i="6"/>
  <c r="I203" i="6"/>
  <c r="R202" i="6"/>
  <c r="R210" i="6" s="1"/>
  <c r="P202" i="6"/>
  <c r="P210" i="6" s="1"/>
  <c r="O202" i="6"/>
  <c r="J202" i="6"/>
  <c r="I202" i="6"/>
  <c r="R201" i="6"/>
  <c r="P201" i="6"/>
  <c r="O201" i="6"/>
  <c r="J201" i="6"/>
  <c r="I201" i="6"/>
  <c r="I210" i="6" l="1"/>
  <c r="O232" i="6"/>
  <c r="P209" i="6"/>
  <c r="P232" i="6"/>
  <c r="I232" i="6"/>
  <c r="J232" i="6"/>
  <c r="R232" i="6"/>
  <c r="Q232" i="6"/>
  <c r="O231" i="6"/>
  <c r="J231" i="6"/>
  <c r="R231" i="6"/>
  <c r="I209" i="6"/>
  <c r="R209" i="6"/>
  <c r="O209" i="6"/>
  <c r="O210" i="6"/>
  <c r="J209" i="6"/>
  <c r="J210" i="6"/>
  <c r="I231" i="6"/>
  <c r="Q231" i="6"/>
  <c r="O220" i="6"/>
  <c r="J220" i="6"/>
  <c r="R220" i="6"/>
  <c r="P220" i="6"/>
  <c r="I220" i="6"/>
  <c r="S242" i="6"/>
  <c r="R229" i="6"/>
  <c r="Q229" i="6"/>
  <c r="P229" i="6"/>
  <c r="O229" i="6"/>
  <c r="J229" i="6"/>
  <c r="I229" i="6"/>
  <c r="R228" i="6"/>
  <c r="Q228" i="6"/>
  <c r="P228" i="6"/>
  <c r="O228" i="6"/>
  <c r="J228" i="6"/>
  <c r="I228" i="6"/>
  <c r="R222" i="6"/>
  <c r="Q222" i="6"/>
  <c r="P222" i="6"/>
  <c r="O222" i="6"/>
  <c r="J222" i="6"/>
  <c r="I222" i="6"/>
  <c r="R200" i="6"/>
  <c r="P200" i="6"/>
  <c r="O200" i="6"/>
  <c r="J200" i="6"/>
  <c r="I200" i="6"/>
  <c r="K208" i="6" l="1"/>
  <c r="K205" i="6"/>
  <c r="K219" i="6" s="1"/>
  <c r="K207" i="6"/>
  <c r="K203" i="6"/>
  <c r="K204" i="6"/>
  <c r="K201" i="6"/>
  <c r="K206" i="6"/>
  <c r="K202" i="6"/>
  <c r="P242" i="6"/>
  <c r="P240" i="6"/>
  <c r="P238" i="6"/>
  <c r="P237" i="6"/>
  <c r="P239" i="6"/>
  <c r="J216" i="6"/>
  <c r="J217" i="6"/>
  <c r="J215" i="6"/>
  <c r="J218" i="6"/>
  <c r="P218" i="6"/>
  <c r="P215" i="6"/>
  <c r="P217" i="6"/>
  <c r="P216" i="6"/>
  <c r="I237" i="6"/>
  <c r="I238" i="6"/>
  <c r="I239" i="6"/>
  <c r="I240" i="6"/>
  <c r="Q237" i="6"/>
  <c r="Q238" i="6"/>
  <c r="Q239" i="6"/>
  <c r="Q240" i="6"/>
  <c r="O217" i="6"/>
  <c r="O218" i="6"/>
  <c r="O216" i="6"/>
  <c r="O215" i="6"/>
  <c r="J238" i="6"/>
  <c r="J239" i="6"/>
  <c r="J240" i="6"/>
  <c r="J237" i="6"/>
  <c r="R238" i="6"/>
  <c r="R239" i="6"/>
  <c r="R240" i="6"/>
  <c r="R237" i="6"/>
  <c r="I215" i="6"/>
  <c r="I216" i="6"/>
  <c r="I218" i="6"/>
  <c r="I217" i="6"/>
  <c r="R216" i="6"/>
  <c r="R217" i="6"/>
  <c r="R215" i="6"/>
  <c r="R218" i="6"/>
  <c r="O239" i="6"/>
  <c r="O237" i="6"/>
  <c r="O240" i="6"/>
  <c r="O238" i="6"/>
  <c r="Q242" i="6"/>
  <c r="R242" i="6"/>
  <c r="O242" i="6"/>
  <c r="J242" i="6"/>
  <c r="I242" i="6"/>
  <c r="K200" i="6"/>
  <c r="S198" i="6"/>
  <c r="K209" i="6" l="1"/>
  <c r="K210" i="6"/>
  <c r="K220" i="6"/>
  <c r="U191" i="6"/>
  <c r="U192" i="6"/>
  <c r="P244" i="6"/>
  <c r="P195" i="6"/>
  <c r="P193" i="6"/>
  <c r="P196" i="6"/>
  <c r="P194" i="6"/>
  <c r="T196" i="6"/>
  <c r="T194" i="6"/>
  <c r="T195" i="6"/>
  <c r="T193" i="6"/>
  <c r="W196" i="6"/>
  <c r="W194" i="6"/>
  <c r="W195" i="6"/>
  <c r="W193" i="6"/>
  <c r="K217" i="6"/>
  <c r="K218" i="6"/>
  <c r="K216" i="6"/>
  <c r="K215" i="6"/>
  <c r="I244" i="6"/>
  <c r="I195" i="6"/>
  <c r="I193" i="6"/>
  <c r="I196" i="6"/>
  <c r="I194" i="6"/>
  <c r="W192" i="6"/>
  <c r="W191" i="6"/>
  <c r="U195" i="6"/>
  <c r="U193" i="6"/>
  <c r="U196" i="6"/>
  <c r="U194" i="6"/>
  <c r="J244" i="6"/>
  <c r="J196" i="6"/>
  <c r="J194" i="6"/>
  <c r="J195" i="6"/>
  <c r="J193" i="6"/>
  <c r="R244" i="6"/>
  <c r="R196" i="6"/>
  <c r="R194" i="6"/>
  <c r="R195" i="6"/>
  <c r="R193" i="6"/>
  <c r="T192" i="6"/>
  <c r="T191" i="6"/>
  <c r="U198" i="6"/>
  <c r="T198" i="6"/>
  <c r="W198" i="6"/>
  <c r="K179" i="6" l="1"/>
  <c r="K180" i="6"/>
  <c r="K181" i="6"/>
  <c r="K182" i="6"/>
  <c r="K183" i="6"/>
  <c r="K197" i="6" s="1"/>
  <c r="K186" i="6"/>
  <c r="K185" i="6"/>
  <c r="K184" i="6"/>
  <c r="I198" i="6"/>
  <c r="P198" i="6"/>
  <c r="J198" i="6"/>
  <c r="R198" i="6"/>
  <c r="K188" i="6" l="1"/>
  <c r="K190" i="6"/>
  <c r="K187" i="6"/>
  <c r="K189" i="6"/>
  <c r="L230" i="6"/>
  <c r="L208" i="6"/>
  <c r="K196" i="6"/>
  <c r="L205" i="6"/>
  <c r="L219" i="6" s="1"/>
  <c r="L206" i="6"/>
  <c r="L203" i="6"/>
  <c r="L201" i="6"/>
  <c r="L207" i="6"/>
  <c r="L204" i="6"/>
  <c r="L202" i="6"/>
  <c r="L200" i="6"/>
  <c r="L226" i="6"/>
  <c r="L227" i="6"/>
  <c r="L241" i="6" s="1"/>
  <c r="L223" i="6"/>
  <c r="L224" i="6"/>
  <c r="L225" i="6"/>
  <c r="L229" i="6"/>
  <c r="L228" i="6"/>
  <c r="L222" i="6"/>
  <c r="L197" i="6"/>
  <c r="K193" i="6"/>
  <c r="K195" i="6"/>
  <c r="K194" i="6"/>
  <c r="K198" i="6"/>
  <c r="L209" i="6" l="1"/>
  <c r="L210" i="6"/>
  <c r="L232" i="6"/>
  <c r="L231" i="6"/>
  <c r="L220" i="6"/>
  <c r="L218" i="6"/>
  <c r="L215" i="6"/>
  <c r="L216" i="6"/>
  <c r="L217" i="6"/>
  <c r="L242" i="6"/>
  <c r="L237" i="6"/>
  <c r="L239" i="6"/>
  <c r="L240" i="6"/>
  <c r="L238" i="6"/>
  <c r="L198" i="6"/>
  <c r="L244" i="6"/>
  <c r="L194" i="6"/>
  <c r="L195" i="6"/>
  <c r="L196" i="6"/>
  <c r="L193" i="6"/>
  <c r="L221" i="6" l="1"/>
  <c r="L191" i="6" l="1"/>
  <c r="L192" i="6"/>
  <c r="L236" i="6"/>
  <c r="L233" i="6"/>
  <c r="L235" i="6"/>
  <c r="L234" i="6"/>
  <c r="L199" i="6" l="1"/>
  <c r="L245" i="6" s="1"/>
  <c r="L247" i="6" s="1"/>
  <c r="L214" i="6" l="1"/>
  <c r="L211" i="6"/>
  <c r="L213" i="6"/>
  <c r="L212" i="6"/>
  <c r="L243" i="6"/>
  <c r="J221" i="6"/>
  <c r="J199" i="6"/>
  <c r="I221" i="6"/>
  <c r="I199" i="6"/>
  <c r="C177" i="6" l="1"/>
  <c r="C178" i="6"/>
  <c r="C179" i="6"/>
  <c r="C180" i="6"/>
  <c r="C181" i="6"/>
  <c r="C182" i="6"/>
  <c r="C183" i="6"/>
  <c r="C197" i="6" s="1"/>
  <c r="C186" i="6"/>
  <c r="C185" i="6"/>
  <c r="C184" i="6"/>
  <c r="J245" i="6"/>
  <c r="J247" i="6" s="1"/>
  <c r="I245" i="6"/>
  <c r="I247" i="6" s="1"/>
  <c r="J243" i="6"/>
  <c r="J192" i="6"/>
  <c r="J191" i="6"/>
  <c r="I243" i="6"/>
  <c r="I191" i="6"/>
  <c r="I192" i="6"/>
  <c r="K192" i="6"/>
  <c r="K191" i="6"/>
  <c r="I211" i="6"/>
  <c r="I212" i="6"/>
  <c r="I214" i="6"/>
  <c r="I213" i="6"/>
  <c r="J212" i="6"/>
  <c r="J213" i="6"/>
  <c r="J211" i="6"/>
  <c r="J214" i="6"/>
  <c r="I233" i="6"/>
  <c r="I234" i="6"/>
  <c r="I236" i="6"/>
  <c r="I235" i="6"/>
  <c r="J234" i="6"/>
  <c r="J235" i="6"/>
  <c r="J233" i="6"/>
  <c r="J236" i="6"/>
  <c r="C188" i="6" l="1"/>
  <c r="C187" i="6"/>
  <c r="C190" i="6"/>
  <c r="C189" i="6"/>
  <c r="C198" i="6"/>
  <c r="C194" i="6"/>
  <c r="C195" i="6"/>
  <c r="C196" i="6"/>
  <c r="C193" i="6"/>
  <c r="Y22" i="1"/>
  <c r="J22" i="1" s="1"/>
  <c r="J26" i="1" s="1"/>
  <c r="M22" i="1" l="1"/>
  <c r="N230" i="6" l="1"/>
  <c r="C230" i="6"/>
  <c r="N224" i="6"/>
  <c r="N225" i="6"/>
  <c r="N226" i="6"/>
  <c r="N227" i="6"/>
  <c r="N241" i="6" s="1"/>
  <c r="N223" i="6"/>
  <c r="N222" i="6"/>
  <c r="N228" i="6"/>
  <c r="N229" i="6"/>
  <c r="C226" i="6"/>
  <c r="C227" i="6"/>
  <c r="C241" i="6" s="1"/>
  <c r="C223" i="6"/>
  <c r="C224" i="6"/>
  <c r="C225" i="6"/>
  <c r="C229" i="6"/>
  <c r="C228" i="6"/>
  <c r="C222" i="6"/>
  <c r="N221" i="6"/>
  <c r="C208" i="6" l="1"/>
  <c r="N231" i="6"/>
  <c r="N232" i="6"/>
  <c r="C232" i="6"/>
  <c r="C231" i="6"/>
  <c r="C203" i="6"/>
  <c r="C204" i="6"/>
  <c r="C206" i="6"/>
  <c r="C201" i="6"/>
  <c r="C205" i="6"/>
  <c r="C219" i="6" s="1"/>
  <c r="C207" i="6"/>
  <c r="C202" i="6"/>
  <c r="C200" i="6"/>
  <c r="N242" i="6"/>
  <c r="C242" i="6"/>
  <c r="N240" i="6"/>
  <c r="N237" i="6"/>
  <c r="N238" i="6"/>
  <c r="N239" i="6"/>
  <c r="C237" i="6"/>
  <c r="C238" i="6"/>
  <c r="C239" i="6"/>
  <c r="C240" i="6"/>
  <c r="N234" i="6"/>
  <c r="N235" i="6"/>
  <c r="N233" i="6"/>
  <c r="N236" i="6"/>
  <c r="C210" i="6" l="1"/>
  <c r="C209" i="6"/>
  <c r="C220" i="6"/>
  <c r="C217" i="6"/>
  <c r="C218" i="6"/>
  <c r="C215" i="6"/>
  <c r="C216" i="6"/>
  <c r="C244" i="6"/>
  <c r="K230" i="6" l="1"/>
  <c r="K225" i="6"/>
  <c r="K226" i="6"/>
  <c r="K227" i="6"/>
  <c r="K241" i="6" s="1"/>
  <c r="K223" i="6"/>
  <c r="K224" i="6"/>
  <c r="K228" i="6"/>
  <c r="K229" i="6"/>
  <c r="K222" i="6"/>
  <c r="K221" i="6"/>
  <c r="M230" i="6" l="1"/>
  <c r="K232" i="6"/>
  <c r="K231" i="6"/>
  <c r="K242" i="6"/>
  <c r="K240" i="6"/>
  <c r="K239" i="6"/>
  <c r="K238" i="6"/>
  <c r="K237" i="6"/>
  <c r="K244" i="6"/>
  <c r="M227" i="6"/>
  <c r="M241" i="6" s="1"/>
  <c r="M223" i="6"/>
  <c r="M224" i="6"/>
  <c r="M225" i="6"/>
  <c r="M226" i="6"/>
  <c r="M222" i="6"/>
  <c r="M228" i="6"/>
  <c r="M229" i="6"/>
  <c r="K235" i="6"/>
  <c r="K236" i="6"/>
  <c r="K234" i="6"/>
  <c r="K233" i="6"/>
  <c r="M221" i="6"/>
  <c r="M231" i="6" l="1"/>
  <c r="M232" i="6"/>
  <c r="M239" i="6"/>
  <c r="M238" i="6"/>
  <c r="M240" i="6"/>
  <c r="M237" i="6"/>
  <c r="M242" i="6"/>
  <c r="M233" i="6"/>
  <c r="M234" i="6"/>
  <c r="M236" i="6"/>
  <c r="M235" i="6"/>
  <c r="Q177" i="6" l="1"/>
  <c r="Q178" i="6"/>
  <c r="Q179" i="6"/>
  <c r="Q180" i="6"/>
  <c r="Q181" i="6"/>
  <c r="S181" i="6" s="1"/>
  <c r="Q182" i="6"/>
  <c r="S182" i="6" s="1"/>
  <c r="Q183" i="6"/>
  <c r="S183" i="6" s="1"/>
  <c r="Q186" i="6"/>
  <c r="Q185" i="6"/>
  <c r="Q184" i="6"/>
  <c r="S26" i="1"/>
  <c r="AK26" i="1"/>
  <c r="AN26" i="1"/>
  <c r="AB22" i="1"/>
  <c r="C130" i="6" l="1"/>
  <c r="C131" i="6" s="1"/>
  <c r="AK48" i="1"/>
  <c r="G177" i="6"/>
  <c r="G178" i="6"/>
  <c r="G179" i="6"/>
  <c r="G180" i="6"/>
  <c r="G181" i="6"/>
  <c r="G182" i="6"/>
  <c r="G183" i="6"/>
  <c r="G197" i="6" s="1"/>
  <c r="G184" i="6"/>
  <c r="G186" i="6"/>
  <c r="G185" i="6"/>
  <c r="S177" i="6"/>
  <c r="Q189" i="6"/>
  <c r="Q190" i="6"/>
  <c r="Q188" i="6"/>
  <c r="S180" i="6"/>
  <c r="S188" i="6" s="1"/>
  <c r="H177" i="6"/>
  <c r="H178" i="6"/>
  <c r="H179" i="6"/>
  <c r="H184" i="6"/>
  <c r="H185" i="6"/>
  <c r="H186" i="6"/>
  <c r="H180" i="6"/>
  <c r="H181" i="6"/>
  <c r="H182" i="6"/>
  <c r="H183" i="6"/>
  <c r="H197" i="6" s="1"/>
  <c r="S179" i="6"/>
  <c r="S187" i="6" s="1"/>
  <c r="Q187" i="6"/>
  <c r="S197" i="6"/>
  <c r="Q197" i="6"/>
  <c r="Q198" i="6"/>
  <c r="Q193" i="6"/>
  <c r="Q196" i="6"/>
  <c r="Q194" i="6"/>
  <c r="Q195" i="6"/>
  <c r="P22" i="1"/>
  <c r="AE22" i="1"/>
  <c r="AE26" i="1" s="1"/>
  <c r="S196" i="6" l="1"/>
  <c r="H194" i="6"/>
  <c r="H196" i="6"/>
  <c r="H195" i="6"/>
  <c r="G188" i="6"/>
  <c r="H193" i="6"/>
  <c r="H188" i="6"/>
  <c r="H187" i="6"/>
  <c r="S189" i="6"/>
  <c r="S190" i="6"/>
  <c r="G190" i="6"/>
  <c r="G189" i="6"/>
  <c r="H189" i="6"/>
  <c r="H190" i="6"/>
  <c r="G187" i="6"/>
  <c r="H198" i="6"/>
  <c r="H192" i="6"/>
  <c r="H191" i="6"/>
  <c r="G198" i="6"/>
  <c r="G194" i="6"/>
  <c r="G195" i="6"/>
  <c r="G196" i="6"/>
  <c r="G193" i="6"/>
  <c r="G191" i="6"/>
  <c r="G192" i="6"/>
  <c r="R221" i="6" l="1"/>
  <c r="R199" i="6"/>
  <c r="R245" i="6" l="1"/>
  <c r="R247" i="6" s="1"/>
  <c r="R234" i="6"/>
  <c r="R235" i="6"/>
  <c r="R233" i="6"/>
  <c r="R236" i="6"/>
  <c r="R243" i="6"/>
  <c r="R192" i="6"/>
  <c r="R191" i="6"/>
  <c r="R212" i="6"/>
  <c r="R213" i="6"/>
  <c r="R211" i="6"/>
  <c r="R214" i="6"/>
  <c r="N208" i="6" l="1"/>
  <c r="N206" i="6"/>
  <c r="N205" i="6"/>
  <c r="N219" i="6" s="1"/>
  <c r="N207" i="6"/>
  <c r="N203" i="6"/>
  <c r="N201" i="6"/>
  <c r="N204" i="6"/>
  <c r="N202" i="6"/>
  <c r="N200" i="6"/>
  <c r="N199" i="6"/>
  <c r="Q221" i="6"/>
  <c r="P221" i="6"/>
  <c r="O221" i="6"/>
  <c r="P199" i="6"/>
  <c r="O199" i="6"/>
  <c r="P245" i="6" l="1"/>
  <c r="P247" i="6" s="1"/>
  <c r="N209" i="6"/>
  <c r="N210" i="6"/>
  <c r="N220" i="6"/>
  <c r="N215" i="6"/>
  <c r="N217" i="6"/>
  <c r="N218" i="6"/>
  <c r="N216" i="6"/>
  <c r="O213" i="6"/>
  <c r="O214" i="6"/>
  <c r="O212" i="6"/>
  <c r="O211" i="6"/>
  <c r="P214" i="6"/>
  <c r="P211" i="6"/>
  <c r="P213" i="6"/>
  <c r="P212" i="6"/>
  <c r="S221" i="6"/>
  <c r="Q233" i="6"/>
  <c r="Q234" i="6"/>
  <c r="Q236" i="6"/>
  <c r="Q235" i="6"/>
  <c r="O235" i="6"/>
  <c r="O236" i="6"/>
  <c r="O234" i="6"/>
  <c r="O233" i="6"/>
  <c r="P243" i="6"/>
  <c r="P191" i="6"/>
  <c r="P192" i="6"/>
  <c r="P236" i="6"/>
  <c r="P233" i="6"/>
  <c r="P235" i="6"/>
  <c r="P234" i="6"/>
  <c r="N212" i="6"/>
  <c r="N213" i="6"/>
  <c r="N211" i="6"/>
  <c r="N214" i="6"/>
  <c r="AH26" i="1" l="1"/>
  <c r="AB26" i="1"/>
  <c r="Y26" i="1"/>
  <c r="X26" i="1"/>
  <c r="V26" i="1"/>
  <c r="P26" i="1"/>
  <c r="M26" i="1"/>
  <c r="X131" i="6" l="1"/>
  <c r="X132" i="6" s="1"/>
  <c r="AK50" i="1"/>
  <c r="AK49" i="1"/>
  <c r="D105" i="6"/>
  <c r="D104" i="6"/>
  <c r="M180" i="6" l="1"/>
  <c r="M184" i="6"/>
  <c r="M177" i="6"/>
  <c r="M181" i="6"/>
  <c r="M186" i="6"/>
  <c r="M178" i="6"/>
  <c r="M182" i="6"/>
  <c r="M185" i="6"/>
  <c r="M179" i="6"/>
  <c r="M183" i="6"/>
  <c r="M197" i="6" s="1"/>
  <c r="M187" i="6" l="1"/>
  <c r="M188" i="6"/>
  <c r="M190" i="6"/>
  <c r="M189" i="6"/>
  <c r="M198" i="6"/>
  <c r="M196" i="6"/>
  <c r="M193" i="6"/>
  <c r="M194" i="6"/>
  <c r="M195" i="6"/>
  <c r="M191" i="6"/>
  <c r="M192" i="6"/>
  <c r="G207" i="6" l="1"/>
  <c r="G201" i="6"/>
  <c r="G208" i="6"/>
  <c r="G205" i="6"/>
  <c r="G200" i="6"/>
  <c r="G202" i="6"/>
  <c r="G203" i="6"/>
  <c r="G206" i="6"/>
  <c r="G204" i="6"/>
  <c r="G199" i="6"/>
  <c r="Q208" i="6"/>
  <c r="H208" i="6"/>
  <c r="H203" i="6"/>
  <c r="H204" i="6"/>
  <c r="H206" i="6"/>
  <c r="H201" i="6"/>
  <c r="H205" i="6"/>
  <c r="H219" i="6" s="1"/>
  <c r="H207" i="6"/>
  <c r="H202" i="6"/>
  <c r="H200" i="6"/>
  <c r="Q204" i="6"/>
  <c r="Q206" i="6"/>
  <c r="Q205" i="6"/>
  <c r="Q219" i="6" s="1"/>
  <c r="Q207" i="6"/>
  <c r="Q202" i="6"/>
  <c r="Q203" i="6"/>
  <c r="Q201" i="6"/>
  <c r="Q200" i="6"/>
  <c r="H199" i="6"/>
  <c r="Q209" i="6" l="1"/>
  <c r="G210" i="6"/>
  <c r="G217" i="6"/>
  <c r="G220" i="6"/>
  <c r="G215" i="6"/>
  <c r="G216" i="6"/>
  <c r="G218" i="6"/>
  <c r="G212" i="6"/>
  <c r="G211" i="6"/>
  <c r="G213" i="6"/>
  <c r="G219" i="6"/>
  <c r="G209" i="6"/>
  <c r="G214" i="6"/>
  <c r="Q220" i="6"/>
  <c r="Q210" i="6"/>
  <c r="H210" i="6"/>
  <c r="H209" i="6"/>
  <c r="H220" i="6"/>
  <c r="Q218" i="6"/>
  <c r="Q215" i="6"/>
  <c r="Q216" i="6"/>
  <c r="Q217" i="6"/>
  <c r="Q244" i="6"/>
  <c r="H217" i="6"/>
  <c r="H215" i="6"/>
  <c r="H216" i="6"/>
  <c r="H218" i="6"/>
  <c r="H214" i="6"/>
  <c r="H211" i="6"/>
  <c r="H213" i="6"/>
  <c r="H212" i="6"/>
  <c r="O177" i="6" l="1"/>
  <c r="O245" i="6" s="1"/>
  <c r="O247" i="6" s="1"/>
  <c r="O178" i="6"/>
  <c r="O179" i="6"/>
  <c r="O180" i="6"/>
  <c r="O181" i="6"/>
  <c r="O182" i="6"/>
  <c r="O183" i="6"/>
  <c r="O197" i="6" s="1"/>
  <c r="O185" i="6"/>
  <c r="O184" i="6"/>
  <c r="O186" i="6"/>
  <c r="O188" i="6" l="1"/>
  <c r="O187" i="6"/>
  <c r="O189" i="6"/>
  <c r="O190" i="6"/>
  <c r="O198" i="6"/>
  <c r="O244" i="6"/>
  <c r="O193" i="6"/>
  <c r="O196" i="6"/>
  <c r="O195" i="6"/>
  <c r="O194" i="6"/>
  <c r="O243" i="6"/>
  <c r="O192" i="6"/>
  <c r="O191" i="6"/>
  <c r="S191" i="6" l="1"/>
  <c r="Q191" i="6"/>
  <c r="Q192" i="6"/>
  <c r="S193" i="6"/>
  <c r="S194" i="6"/>
  <c r="S195" i="6"/>
  <c r="S192" i="6" l="1"/>
  <c r="S200" i="6"/>
  <c r="Q199" i="6"/>
  <c r="Q245" i="6" s="1"/>
  <c r="Q247" i="6" s="1"/>
  <c r="O4" i="2"/>
  <c r="N4" i="2" s="1"/>
  <c r="S199" i="6" l="1"/>
  <c r="Q211" i="6"/>
  <c r="Q212" i="6"/>
  <c r="Q214" i="6"/>
  <c r="Q213" i="6"/>
  <c r="Q243" i="6"/>
  <c r="K199" i="6"/>
  <c r="K245" i="6" s="1"/>
  <c r="K247" i="6" s="1"/>
  <c r="S4" i="2"/>
  <c r="AL4" i="20" l="1"/>
  <c r="AK4" i="21"/>
  <c r="AO4" i="19"/>
  <c r="AL4" i="18"/>
  <c r="AN4" i="21"/>
  <c r="K37" i="22" s="1"/>
  <c r="AR4" i="19"/>
  <c r="AO4" i="20"/>
  <c r="AO4" i="18"/>
  <c r="AL4" i="13"/>
  <c r="AO4" i="13"/>
  <c r="AL4" i="3"/>
  <c r="AO4" i="3"/>
  <c r="AI4" i="7"/>
  <c r="AL4" i="5"/>
  <c r="AO4" i="4"/>
  <c r="AL4" i="7"/>
  <c r="AJ4" i="7" s="1"/>
  <c r="E38" i="8" s="1"/>
  <c r="I38" i="8" s="1"/>
  <c r="AO4" i="5"/>
  <c r="AR4" i="4"/>
  <c r="M208" i="6"/>
  <c r="M204" i="6"/>
  <c r="M206" i="6"/>
  <c r="M205" i="6"/>
  <c r="M219" i="6" s="1"/>
  <c r="M207" i="6"/>
  <c r="M202" i="6"/>
  <c r="M201" i="6"/>
  <c r="M203" i="6"/>
  <c r="N197" i="6"/>
  <c r="K213" i="6"/>
  <c r="K214" i="6"/>
  <c r="K212" i="6"/>
  <c r="K211" i="6"/>
  <c r="K243" i="6"/>
  <c r="M200" i="6"/>
  <c r="N245" i="6"/>
  <c r="N247" i="6" s="1"/>
  <c r="M199" i="6"/>
  <c r="M245" i="6" s="1"/>
  <c r="M247" i="6" s="1"/>
  <c r="U4" i="2"/>
  <c r="I37" i="22" l="1"/>
  <c r="I16" i="23"/>
  <c r="AG346" i="9"/>
  <c r="AG344" i="9"/>
  <c r="AG342" i="9"/>
  <c r="AG345" i="9"/>
  <c r="AG343" i="9"/>
  <c r="AG347" i="9"/>
  <c r="H37" i="22"/>
  <c r="B35" i="22"/>
  <c r="B36" i="22"/>
  <c r="B32" i="22"/>
  <c r="B34" i="22"/>
  <c r="B33" i="22"/>
  <c r="H33" i="22" s="1"/>
  <c r="D16" i="22"/>
  <c r="D15" i="22"/>
  <c r="AG321" i="9"/>
  <c r="AG323" i="9"/>
  <c r="AG324" i="9"/>
  <c r="AG320" i="9"/>
  <c r="AG319" i="9"/>
  <c r="AG322" i="9"/>
  <c r="D22" i="22"/>
  <c r="D21" i="22"/>
  <c r="D34" i="22"/>
  <c r="D35" i="22"/>
  <c r="D33" i="22"/>
  <c r="D36" i="22"/>
  <c r="D32" i="22"/>
  <c r="B16" i="22"/>
  <c r="B15" i="22"/>
  <c r="AG315" i="11"/>
  <c r="AG316" i="11"/>
  <c r="AG318" i="11"/>
  <c r="AG314" i="11"/>
  <c r="AG317" i="11"/>
  <c r="AG313" i="11"/>
  <c r="C22" i="22"/>
  <c r="C21" i="22"/>
  <c r="C32" i="22"/>
  <c r="C33" i="22"/>
  <c r="C34" i="22"/>
  <c r="C36" i="22"/>
  <c r="C35" i="22"/>
  <c r="C15" i="22"/>
  <c r="C16" i="22"/>
  <c r="AG308" i="10"/>
  <c r="AG309" i="10"/>
  <c r="AG311" i="10"/>
  <c r="AG307" i="10"/>
  <c r="AG310" i="10"/>
  <c r="AG306" i="10"/>
  <c r="E22" i="22"/>
  <c r="E21" i="22"/>
  <c r="E35" i="22"/>
  <c r="E32" i="22"/>
  <c r="K32" i="22" s="1"/>
  <c r="AG312" i="15"/>
  <c r="AG314" i="15"/>
  <c r="E34" i="22"/>
  <c r="E15" i="22"/>
  <c r="AG313" i="15"/>
  <c r="E33" i="22"/>
  <c r="AG316" i="15"/>
  <c r="AG311" i="15"/>
  <c r="E36" i="22"/>
  <c r="E16" i="22"/>
  <c r="AG315" i="15"/>
  <c r="B22" i="22"/>
  <c r="B21" i="22"/>
  <c r="AG281" i="11"/>
  <c r="AG284" i="11"/>
  <c r="AG285" i="11"/>
  <c r="AG282" i="11"/>
  <c r="AG286" i="11"/>
  <c r="AG283" i="11"/>
  <c r="AG25" i="9"/>
  <c r="AG27" i="9"/>
  <c r="AG23" i="9"/>
  <c r="AG24" i="9"/>
  <c r="AG26" i="9"/>
  <c r="AG22" i="9"/>
  <c r="AG288" i="9"/>
  <c r="AG289" i="9"/>
  <c r="AG285" i="9"/>
  <c r="AG287" i="9"/>
  <c r="AG286" i="9"/>
  <c r="AG284" i="9"/>
  <c r="AM4" i="18"/>
  <c r="AG27" i="10"/>
  <c r="AG23" i="10"/>
  <c r="AG24" i="10"/>
  <c r="AG26" i="10"/>
  <c r="AG22" i="10"/>
  <c r="AG25" i="10"/>
  <c r="AP4" i="19"/>
  <c r="I8" i="22" s="1"/>
  <c r="AL4" i="21"/>
  <c r="K8" i="22" s="1"/>
  <c r="AG27" i="15"/>
  <c r="AG25" i="15"/>
  <c r="AG23" i="15"/>
  <c r="AG24" i="15"/>
  <c r="AG26" i="15"/>
  <c r="AG22" i="15"/>
  <c r="AM4" i="20"/>
  <c r="J8" i="22" s="1"/>
  <c r="AG287" i="10"/>
  <c r="AG286" i="10"/>
  <c r="AG289" i="10"/>
  <c r="AG285" i="10"/>
  <c r="AG288" i="10"/>
  <c r="AG284" i="10"/>
  <c r="C14" i="10"/>
  <c r="C10" i="10"/>
  <c r="C6" i="10"/>
  <c r="C13" i="10"/>
  <c r="C9" i="10"/>
  <c r="C5" i="10"/>
  <c r="C7" i="10"/>
  <c r="C12" i="10"/>
  <c r="C8" i="10"/>
  <c r="C4" i="10"/>
  <c r="C11" i="10"/>
  <c r="C3" i="10"/>
  <c r="C8" i="9"/>
  <c r="C14" i="9"/>
  <c r="C10" i="9"/>
  <c r="C6" i="9"/>
  <c r="C13" i="9"/>
  <c r="C9" i="9"/>
  <c r="G7" i="9" s="1"/>
  <c r="C5" i="9"/>
  <c r="C12" i="9"/>
  <c r="C4" i="9"/>
  <c r="H7" i="9" s="1"/>
  <c r="C11" i="9"/>
  <c r="F7" i="9" s="1"/>
  <c r="C7" i="9"/>
  <c r="C3" i="9"/>
  <c r="C8" i="15"/>
  <c r="C14" i="15"/>
  <c r="C11" i="15"/>
  <c r="F7" i="15" s="1"/>
  <c r="C7" i="15"/>
  <c r="C3" i="15"/>
  <c r="C13" i="15"/>
  <c r="C10" i="15"/>
  <c r="C6" i="15"/>
  <c r="C9" i="15"/>
  <c r="G7" i="15" s="1"/>
  <c r="C5" i="15"/>
  <c r="C4" i="15"/>
  <c r="H7" i="15" s="1"/>
  <c r="C12" i="15"/>
  <c r="C14" i="11"/>
  <c r="C8" i="11"/>
  <c r="C10" i="11"/>
  <c r="C5" i="11"/>
  <c r="C13" i="11"/>
  <c r="C9" i="11"/>
  <c r="G7" i="11" s="1"/>
  <c r="C4" i="11"/>
  <c r="H7" i="11" s="1"/>
  <c r="C12" i="11"/>
  <c r="C7" i="11"/>
  <c r="C3" i="11"/>
  <c r="C11" i="11"/>
  <c r="F7" i="11" s="1"/>
  <c r="C6" i="11"/>
  <c r="AM4" i="13"/>
  <c r="AM4" i="3"/>
  <c r="B38" i="8" s="1"/>
  <c r="F38" i="8" s="1"/>
  <c r="AP4" i="4"/>
  <c r="AM4" i="5"/>
  <c r="D38" i="8" s="1"/>
  <c r="H38" i="8" s="1"/>
  <c r="E177" i="6"/>
  <c r="E178" i="6"/>
  <c r="E179" i="6"/>
  <c r="E180" i="6"/>
  <c r="E181" i="6"/>
  <c r="E182" i="6"/>
  <c r="E183" i="6"/>
  <c r="E186" i="6"/>
  <c r="E185" i="6"/>
  <c r="E184" i="6"/>
  <c r="M209" i="6"/>
  <c r="M210" i="6"/>
  <c r="M220" i="6"/>
  <c r="N196" i="6"/>
  <c r="N193" i="6"/>
  <c r="N194" i="6"/>
  <c r="N244" i="6"/>
  <c r="N195" i="6"/>
  <c r="M215" i="6"/>
  <c r="M216" i="6"/>
  <c r="M218" i="6"/>
  <c r="M217" i="6"/>
  <c r="M244" i="6"/>
  <c r="M211" i="6"/>
  <c r="M212" i="6"/>
  <c r="M214" i="6"/>
  <c r="M213" i="6"/>
  <c r="M243" i="6"/>
  <c r="N243" i="6"/>
  <c r="N192" i="6"/>
  <c r="N191" i="6"/>
  <c r="N198" i="6"/>
  <c r="M4" i="2"/>
  <c r="K36" i="22" l="1"/>
  <c r="K33" i="22"/>
  <c r="I33" i="22"/>
  <c r="AG291" i="9"/>
  <c r="AG296" i="9"/>
  <c r="AG293" i="9"/>
  <c r="AG292" i="9"/>
  <c r="AG295" i="9"/>
  <c r="AG294" i="9"/>
  <c r="H8" i="22"/>
  <c r="K34" i="22"/>
  <c r="I34" i="22"/>
  <c r="H34" i="22"/>
  <c r="E13" i="22"/>
  <c r="E12" i="22"/>
  <c r="D13" i="22"/>
  <c r="D12" i="22"/>
  <c r="I35" i="22"/>
  <c r="B13" i="22"/>
  <c r="B12" i="22"/>
  <c r="C13" i="22"/>
  <c r="C12" i="22"/>
  <c r="K35" i="22"/>
  <c r="I36" i="22"/>
  <c r="J33" i="22"/>
  <c r="H36" i="22"/>
  <c r="H35" i="22"/>
  <c r="E7" i="22"/>
  <c r="E3" i="22"/>
  <c r="K3" i="22" s="1"/>
  <c r="E6" i="22"/>
  <c r="E5" i="22"/>
  <c r="E4" i="22"/>
  <c r="AG283" i="15"/>
  <c r="AG282" i="15"/>
  <c r="AG281" i="15"/>
  <c r="AG285" i="15"/>
  <c r="AG284" i="15"/>
  <c r="AG280" i="15"/>
  <c r="AG5" i="15"/>
  <c r="AG6" i="15"/>
  <c r="AG8" i="15"/>
  <c r="AG7" i="15"/>
  <c r="AG4" i="15"/>
  <c r="AG3" i="15"/>
  <c r="D4" i="22"/>
  <c r="D7" i="22"/>
  <c r="D3" i="22"/>
  <c r="H3" i="22" s="1"/>
  <c r="D6" i="22"/>
  <c r="D5" i="22"/>
  <c r="AG4" i="9"/>
  <c r="AG8" i="9"/>
  <c r="AG5" i="9"/>
  <c r="AG6" i="9"/>
  <c r="AG7" i="9"/>
  <c r="AG3" i="9"/>
  <c r="B6" i="22"/>
  <c r="B7" i="22"/>
  <c r="B3" i="22"/>
  <c r="J3" i="22" s="1"/>
  <c r="B5" i="22"/>
  <c r="B4" i="22"/>
  <c r="AG5" i="11"/>
  <c r="AG8" i="11"/>
  <c r="AG3" i="11"/>
  <c r="AG7" i="11"/>
  <c r="AG4" i="11"/>
  <c r="AG6" i="11"/>
  <c r="C5" i="22"/>
  <c r="C4" i="22"/>
  <c r="C6" i="22"/>
  <c r="C7" i="22"/>
  <c r="C3" i="22"/>
  <c r="I3" i="22" s="1"/>
  <c r="AG8" i="10"/>
  <c r="AG4" i="10"/>
  <c r="AG7" i="10"/>
  <c r="AG3" i="10"/>
  <c r="AG6" i="10"/>
  <c r="AG5" i="10"/>
  <c r="C38" i="8"/>
  <c r="G38" i="8" s="1"/>
  <c r="F7" i="10"/>
  <c r="G7" i="10"/>
  <c r="H7" i="10"/>
  <c r="H9" i="11"/>
  <c r="H13" i="11"/>
  <c r="H9" i="15"/>
  <c r="F13" i="15" s="1"/>
  <c r="F14" i="15" s="1"/>
  <c r="H13" i="15"/>
  <c r="H18" i="11"/>
  <c r="H19" i="11" s="1"/>
  <c r="F18" i="11"/>
  <c r="F19" i="11" s="1"/>
  <c r="K19" i="11" s="1"/>
  <c r="F18" i="15"/>
  <c r="F19" i="15" s="1"/>
  <c r="K19" i="15" s="1"/>
  <c r="H18" i="15"/>
  <c r="H19" i="15" s="1"/>
  <c r="H13" i="9"/>
  <c r="H9" i="9"/>
  <c r="I9" i="9" s="1"/>
  <c r="H18" i="9"/>
  <c r="H19" i="9" s="1"/>
  <c r="F18" i="9"/>
  <c r="F19" i="9" s="1"/>
  <c r="L19" i="9" s="1"/>
  <c r="E190" i="6"/>
  <c r="E189" i="6"/>
  <c r="E188" i="6"/>
  <c r="F184" i="6"/>
  <c r="F185" i="6"/>
  <c r="F186" i="6"/>
  <c r="F177" i="6"/>
  <c r="F179" i="6"/>
  <c r="F178" i="6"/>
  <c r="F180" i="6"/>
  <c r="F181" i="6"/>
  <c r="F182" i="6"/>
  <c r="F183" i="6"/>
  <c r="E187" i="6"/>
  <c r="K4" i="22" l="1"/>
  <c r="K5" i="22"/>
  <c r="H6" i="22"/>
  <c r="H5" i="22"/>
  <c r="I5" i="22"/>
  <c r="I7" i="22"/>
  <c r="J5" i="22"/>
  <c r="J4" i="22"/>
  <c r="H7" i="22"/>
  <c r="K6" i="22"/>
  <c r="I6" i="22"/>
  <c r="J7" i="22"/>
  <c r="H4" i="22"/>
  <c r="I4" i="22"/>
  <c r="J6" i="22"/>
  <c r="K7" i="22"/>
  <c r="L19" i="11"/>
  <c r="G18" i="9"/>
  <c r="G19" i="9" s="1"/>
  <c r="H9" i="10"/>
  <c r="F13" i="10" s="1"/>
  <c r="F14" i="10" s="1"/>
  <c r="H13" i="10"/>
  <c r="L19" i="15"/>
  <c r="G18" i="11"/>
  <c r="J13" i="11"/>
  <c r="H14" i="11"/>
  <c r="J14" i="11" s="1"/>
  <c r="G18" i="15"/>
  <c r="K19" i="9"/>
  <c r="I9" i="11"/>
  <c r="F13" i="11"/>
  <c r="J13" i="9"/>
  <c r="H14" i="9"/>
  <c r="J14" i="9" s="1"/>
  <c r="I9" i="10"/>
  <c r="G13" i="15"/>
  <c r="N18" i="9"/>
  <c r="N19" i="9" s="1"/>
  <c r="I9" i="15"/>
  <c r="F13" i="9"/>
  <c r="G13" i="9" s="1"/>
  <c r="H14" i="15"/>
  <c r="J14" i="15" s="1"/>
  <c r="J13" i="15"/>
  <c r="H18" i="10"/>
  <c r="H19" i="10" s="1"/>
  <c r="F18" i="10"/>
  <c r="F19" i="10" s="1"/>
  <c r="L19" i="10" s="1"/>
  <c r="F188" i="6"/>
  <c r="V177" i="6"/>
  <c r="V181" i="6"/>
  <c r="V185" i="6"/>
  <c r="V178" i="6"/>
  <c r="V182" i="6"/>
  <c r="V184" i="6"/>
  <c r="V179" i="6"/>
  <c r="V183" i="6"/>
  <c r="V197" i="6" s="1"/>
  <c r="V180" i="6"/>
  <c r="V186" i="6"/>
  <c r="F187" i="6"/>
  <c r="D177" i="6"/>
  <c r="D178" i="6"/>
  <c r="D179" i="6"/>
  <c r="D184" i="6"/>
  <c r="D185" i="6"/>
  <c r="D186" i="6"/>
  <c r="D180" i="6"/>
  <c r="D181" i="6"/>
  <c r="D182" i="6"/>
  <c r="D183" i="6"/>
  <c r="D197" i="6" s="1"/>
  <c r="F189" i="6"/>
  <c r="F190" i="6"/>
  <c r="D230" i="6"/>
  <c r="E208" i="6"/>
  <c r="D208" i="6"/>
  <c r="F208" i="6"/>
  <c r="E206" i="6"/>
  <c r="E202" i="6"/>
  <c r="E205" i="6"/>
  <c r="E219" i="6" s="1"/>
  <c r="E204" i="6"/>
  <c r="E207" i="6"/>
  <c r="E201" i="6"/>
  <c r="E203" i="6"/>
  <c r="E200" i="6"/>
  <c r="D204" i="6"/>
  <c r="D201" i="6"/>
  <c r="D206" i="6"/>
  <c r="D205" i="6"/>
  <c r="D219" i="6" s="1"/>
  <c r="D207" i="6"/>
  <c r="D202" i="6"/>
  <c r="D203" i="6"/>
  <c r="F205" i="6"/>
  <c r="F219" i="6" s="1"/>
  <c r="F207" i="6"/>
  <c r="F203" i="6"/>
  <c r="F204" i="6"/>
  <c r="F201" i="6"/>
  <c r="F202" i="6"/>
  <c r="F206" i="6"/>
  <c r="D227" i="6"/>
  <c r="D241" i="6" s="1"/>
  <c r="D223" i="6"/>
  <c r="D224" i="6"/>
  <c r="D225" i="6"/>
  <c r="D226" i="6"/>
  <c r="D228" i="6"/>
  <c r="D229" i="6"/>
  <c r="D222" i="6"/>
  <c r="F197" i="6"/>
  <c r="E197" i="6"/>
  <c r="F200" i="6"/>
  <c r="D200" i="6"/>
  <c r="D221" i="6"/>
  <c r="E199" i="6"/>
  <c r="D199" i="6"/>
  <c r="C199" i="6"/>
  <c r="F199" i="6"/>
  <c r="F14" i="9" l="1"/>
  <c r="L14" i="9" s="1"/>
  <c r="G13" i="10"/>
  <c r="I13" i="10" s="1"/>
  <c r="M13" i="10" s="1"/>
  <c r="N18" i="11"/>
  <c r="N19" i="11" s="1"/>
  <c r="G19" i="11"/>
  <c r="N18" i="15"/>
  <c r="N19" i="15" s="1"/>
  <c r="G19" i="15"/>
  <c r="K14" i="15"/>
  <c r="L14" i="15"/>
  <c r="K19" i="10"/>
  <c r="G18" i="10"/>
  <c r="F14" i="11"/>
  <c r="L14" i="11" s="1"/>
  <c r="G13" i="11"/>
  <c r="J13" i="10"/>
  <c r="H14" i="10"/>
  <c r="J14" i="10" s="1"/>
  <c r="I13" i="15"/>
  <c r="M13" i="15" s="1"/>
  <c r="N13" i="15"/>
  <c r="N14" i="15" s="1"/>
  <c r="G14" i="15"/>
  <c r="I14" i="15" s="1"/>
  <c r="M14" i="15" s="1"/>
  <c r="I13" i="9"/>
  <c r="M13" i="9" s="1"/>
  <c r="N13" i="9"/>
  <c r="N14" i="9" s="1"/>
  <c r="G14" i="9"/>
  <c r="I14" i="9" s="1"/>
  <c r="M14" i="9" s="1"/>
  <c r="F209" i="6"/>
  <c r="V189" i="6"/>
  <c r="V187" i="6"/>
  <c r="D188" i="6"/>
  <c r="D187" i="6"/>
  <c r="V188" i="6"/>
  <c r="V190" i="6"/>
  <c r="D189" i="6"/>
  <c r="D190" i="6"/>
  <c r="D231" i="6"/>
  <c r="E220" i="6"/>
  <c r="V192" i="6"/>
  <c r="V191" i="6"/>
  <c r="V196" i="6"/>
  <c r="V194" i="6"/>
  <c r="V193" i="6"/>
  <c r="V195" i="6"/>
  <c r="V198" i="6"/>
  <c r="D232" i="6"/>
  <c r="D245" i="6"/>
  <c r="D247" i="6" s="1"/>
  <c r="E209" i="6"/>
  <c r="E210" i="6"/>
  <c r="D210" i="6"/>
  <c r="D209" i="6"/>
  <c r="F210" i="6"/>
  <c r="D220" i="6"/>
  <c r="E215" i="6"/>
  <c r="E216" i="6"/>
  <c r="E217" i="6"/>
  <c r="E218" i="6"/>
  <c r="F220" i="6"/>
  <c r="D242" i="6"/>
  <c r="D239" i="6"/>
  <c r="D237" i="6"/>
  <c r="D240" i="6"/>
  <c r="D238" i="6"/>
  <c r="F196" i="6"/>
  <c r="F194" i="6"/>
  <c r="F195" i="6"/>
  <c r="F193" i="6"/>
  <c r="E195" i="6"/>
  <c r="E193" i="6"/>
  <c r="E194" i="6"/>
  <c r="E196" i="6"/>
  <c r="D194" i="6"/>
  <c r="D195" i="6"/>
  <c r="D193" i="6"/>
  <c r="D196" i="6"/>
  <c r="E198" i="6"/>
  <c r="F213" i="6"/>
  <c r="F214" i="6"/>
  <c r="F212" i="6"/>
  <c r="F211" i="6"/>
  <c r="D233" i="6"/>
  <c r="D234" i="6"/>
  <c r="D236" i="6"/>
  <c r="D235" i="6"/>
  <c r="E192" i="6"/>
  <c r="E191" i="6"/>
  <c r="C191" i="6"/>
  <c r="C192" i="6"/>
  <c r="D243" i="6"/>
  <c r="D191" i="6"/>
  <c r="D192" i="6"/>
  <c r="C214" i="6"/>
  <c r="C211" i="6"/>
  <c r="C213" i="6"/>
  <c r="C212" i="6"/>
  <c r="D215" i="6"/>
  <c r="D216" i="6"/>
  <c r="D218" i="6"/>
  <c r="D217" i="6"/>
  <c r="D244" i="6"/>
  <c r="E212" i="6"/>
  <c r="E213" i="6"/>
  <c r="E211" i="6"/>
  <c r="E214" i="6"/>
  <c r="F192" i="6"/>
  <c r="F191" i="6"/>
  <c r="D211" i="6"/>
  <c r="D212" i="6"/>
  <c r="D214" i="6"/>
  <c r="D213" i="6"/>
  <c r="F217" i="6"/>
  <c r="F218" i="6"/>
  <c r="F216" i="6"/>
  <c r="F215" i="6"/>
  <c r="F198" i="6"/>
  <c r="D198" i="6"/>
  <c r="C221" i="6"/>
  <c r="C245" i="6" s="1"/>
  <c r="C247" i="6" s="1"/>
  <c r="N13" i="10" l="1"/>
  <c r="N14" i="10" s="1"/>
  <c r="G14" i="10"/>
  <c r="I14" i="10" s="1"/>
  <c r="M14" i="10" s="1"/>
  <c r="K14" i="9"/>
  <c r="K14" i="11"/>
  <c r="N18" i="10"/>
  <c r="N19" i="10" s="1"/>
  <c r="G19" i="10"/>
  <c r="K14" i="10"/>
  <c r="L14" i="10"/>
  <c r="N13" i="11"/>
  <c r="N14" i="11" s="1"/>
  <c r="I13" i="11"/>
  <c r="M13" i="11" s="1"/>
  <c r="G14" i="11"/>
  <c r="I14" i="11" s="1"/>
  <c r="M14" i="11" s="1"/>
  <c r="C236" i="6"/>
  <c r="C233" i="6"/>
  <c r="C235" i="6"/>
  <c r="C234" i="6"/>
  <c r="C243" i="6"/>
  <c r="G230" i="6" l="1"/>
  <c r="F230" i="6"/>
  <c r="E230" i="6"/>
  <c r="H230" i="6"/>
  <c r="G222" i="6"/>
  <c r="G226" i="6"/>
  <c r="G223" i="6"/>
  <c r="G227" i="6"/>
  <c r="G241" i="6" s="1"/>
  <c r="G224" i="6"/>
  <c r="G228" i="6"/>
  <c r="G225" i="6"/>
  <c r="G221" i="6"/>
  <c r="G229" i="6"/>
  <c r="H226" i="6"/>
  <c r="H222" i="6"/>
  <c r="H224" i="6"/>
  <c r="F225" i="6"/>
  <c r="F226" i="6"/>
  <c r="F227" i="6"/>
  <c r="F241" i="6" s="1"/>
  <c r="F223" i="6"/>
  <c r="F224" i="6"/>
  <c r="F228" i="6"/>
  <c r="F229" i="6"/>
  <c r="F222" i="6"/>
  <c r="H228" i="6"/>
  <c r="H223" i="6"/>
  <c r="H229" i="6"/>
  <c r="H227" i="6"/>
  <c r="H241" i="6" s="1"/>
  <c r="E224" i="6"/>
  <c r="E225" i="6"/>
  <c r="E226" i="6"/>
  <c r="E227" i="6"/>
  <c r="E241" i="6" s="1"/>
  <c r="E223" i="6"/>
  <c r="E228" i="6"/>
  <c r="E229" i="6"/>
  <c r="E222" i="6"/>
  <c r="H225" i="6"/>
  <c r="E221" i="6"/>
  <c r="E245" i="6" s="1"/>
  <c r="E247" i="6" s="1"/>
  <c r="H221" i="6"/>
  <c r="H245" i="6" s="1"/>
  <c r="H247" i="6" s="1"/>
  <c r="F221" i="6"/>
  <c r="F245" i="6" s="1"/>
  <c r="F247" i="6" s="1"/>
  <c r="G231" i="6" l="1"/>
  <c r="G242" i="6"/>
  <c r="G235" i="6"/>
  <c r="G233" i="6"/>
  <c r="G236" i="6"/>
  <c r="G234" i="6"/>
  <c r="G245" i="6"/>
  <c r="G247" i="6" s="1"/>
  <c r="G243" i="6"/>
  <c r="G240" i="6"/>
  <c r="G237" i="6"/>
  <c r="G238" i="6"/>
  <c r="G239" i="6"/>
  <c r="G244" i="6"/>
  <c r="E231" i="6"/>
  <c r="E232" i="6"/>
  <c r="F232" i="6"/>
  <c r="G232" i="6"/>
  <c r="F231" i="6"/>
  <c r="H232" i="6"/>
  <c r="H231" i="6"/>
  <c r="H242" i="6"/>
  <c r="E242" i="6"/>
  <c r="F242" i="6"/>
  <c r="F240" i="6"/>
  <c r="F237" i="6"/>
  <c r="F238" i="6"/>
  <c r="F239" i="6"/>
  <c r="F244" i="6"/>
  <c r="E240" i="6"/>
  <c r="E237" i="6"/>
  <c r="E238" i="6"/>
  <c r="E239" i="6"/>
  <c r="E244" i="6"/>
  <c r="H239" i="6"/>
  <c r="H238" i="6"/>
  <c r="H240" i="6"/>
  <c r="H237" i="6"/>
  <c r="H244" i="6"/>
  <c r="E234" i="6"/>
  <c r="E235" i="6"/>
  <c r="E233" i="6"/>
  <c r="E236" i="6"/>
  <c r="E243" i="6"/>
  <c r="F235" i="6"/>
  <c r="F236" i="6"/>
  <c r="F234" i="6"/>
  <c r="F233" i="6"/>
  <c r="F243" i="6"/>
  <c r="H236" i="6"/>
  <c r="H233" i="6"/>
  <c r="H235" i="6"/>
  <c r="H234" i="6"/>
  <c r="H24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Pascal Ochs</author>
  </authors>
  <commentList>
    <comment ref="K10" authorId="0" shapeId="0" xr:uid="{9062E2CF-A502-4499-AA8A-59951D7EE774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K34" authorId="0" shapeId="0" xr:uid="{98466DAA-6606-4297-9517-C832F51D602B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L37" authorId="0" shapeId="0" xr:uid="{E92CC8F2-39AE-4E4C-9BC0-7C5C6CBC5FF9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on ratio VS/TS</t>
        </r>
      </text>
    </comment>
    <comment ref="K41" authorId="0" shapeId="0" xr:uid="{01B1FF28-EB3C-4F97-8B24-7E8E0CD8CDA6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K48" authorId="0" shapeId="0" xr:uid="{36DAE1F9-0D02-4381-B73B-E58A9EBCFB72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K54" authorId="0" shapeId="0" xr:uid="{97AFC1C3-F956-4B53-A30F-3BB1E7BC5857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L55" authorId="0" shapeId="0" xr:uid="{74A11381-0292-411B-9280-F46B7D273CE4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on ratio VS/TS</t>
        </r>
      </text>
    </comment>
    <comment ref="K62" authorId="0" shapeId="0" xr:uid="{F8486979-9C09-4920-BB2D-95FCC17BACA4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Pascal Ochs</author>
  </authors>
  <commentList>
    <comment ref="I10" authorId="0" shapeId="0" xr:uid="{141BAC28-02AC-4649-8C2E-DC1C582B7362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on dilution and VS/TS ratio</t>
        </r>
      </text>
    </comment>
    <comment ref="I33" authorId="0" shapeId="0" xr:uid="{E824BD1B-2B3F-4549-875D-9141AD69412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I41" authorId="0" shapeId="0" xr:uid="{72E08C02-D753-461D-A4D5-4F36158B37DF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J53" authorId="0" shapeId="0" xr:uid="{C9C3D48E-0149-4A7F-9614-EA73E47C4921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on VS/TS ratio</t>
        </r>
      </text>
    </comment>
    <comment ref="I54" authorId="0" shapeId="0" xr:uid="{40080B8A-7BF0-4569-95E0-AD0DE9CF8E15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I62" authorId="0" shapeId="0" xr:uid="{9C68127D-FB03-4771-9365-4EC6C50FA088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X6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Cancelled measurement</t>
        </r>
      </text>
    </comment>
    <comment ref="X6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Cancelled measurement
</t>
        </r>
      </text>
    </comment>
    <comment ref="I69" authorId="0" shapeId="0" xr:uid="{46F676A0-186D-4776-BEC2-CB8CDB0C7654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I76" authorId="0" shapeId="0" xr:uid="{286D762C-8C88-4B0D-91A1-C0F689001DF7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I81" authorId="0" shapeId="0" xr:uid="{EFC214A6-9560-4CAD-8A99-74FDE56192AF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Pascal Ochs</author>
    <author>tc={F6E61D12-F9CA-43FF-BF85-79E0B97B1E18}</author>
  </authors>
  <commentList>
    <comment ref="J38" authorId="0" shapeId="0" xr:uid="{68613626-5CD9-49A8-AC70-787CBD7E2FDD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activity</t>
        </r>
      </text>
    </comment>
    <comment ref="J59" authorId="0" shapeId="0" xr:uid="{9ECE19A5-576F-4FAB-8F0E-537A03A0873C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activity</t>
        </r>
      </text>
    </comment>
    <comment ref="AA59" authorId="1" shapeId="0" xr:uid="{F6E61D12-F9CA-43FF-BF85-79E0B97B1E18}">
      <text>
        <t>[Threaded comment]
Your version of Excel allows you to read this threaded comment; however, any edits to it will get removed if the file is opened in a newer version of Excel. Learn more: https://go.microsoft.com/fwlink/?linkid=870924
Comment:
    What was here?</t>
      </text>
    </comment>
    <comment ref="J81" authorId="0" shapeId="0" xr:uid="{12AB5168-E183-4832-8A85-EA2D505A3A0A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activity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Pascal Ochs</author>
  </authors>
  <commentList>
    <comment ref="K10" authorId="0" shapeId="0" xr:uid="{6183721B-36B9-4637-B947-89DC87EB43D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K34" authorId="0" shapeId="0" xr:uid="{C53A109D-CB0E-4208-B191-63D5849B1D27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L37" authorId="0" shapeId="0" xr:uid="{D494BA66-9AD0-458E-AB4F-970083F58793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on ratio VS/TS</t>
        </r>
      </text>
    </comment>
    <comment ref="K41" authorId="0" shapeId="0" xr:uid="{B226FBA2-8725-4632-949C-DCCFE937E67F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K48" authorId="0" shapeId="0" xr:uid="{C1544374-03AE-479E-A91B-A6A32F8AEB08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K54" authorId="0" shapeId="0" xr:uid="{3CDC1B76-BC38-49A0-9142-2C4DEF62FD58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  <comment ref="L55" authorId="0" shapeId="0" xr:uid="{9D6480D2-CA6E-4194-A100-CF0BC174E9CF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on ratio VS/TS</t>
        </r>
      </text>
    </comment>
    <comment ref="K62" authorId="0" shapeId="0" xr:uid="{124B5EE4-9CB0-4CB8-956A-BA97A4A21594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VS/TS ratio and dilution of activity tests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Pascal Ochs</author>
  </authors>
  <commentList>
    <comment ref="I10" authorId="0" shapeId="0" xr:uid="{5C5BE375-CC97-4952-AE91-4BCECC74077E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on dilution and VS/TS ratio</t>
        </r>
      </text>
    </comment>
    <comment ref="AA3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FNA, ↓ NH reactor </t>
        </r>
      </text>
    </comment>
    <comment ref="I33" authorId="0" shapeId="0" xr:uid="{420E6298-006B-408B-BFBE-9C2E93B82F03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Q33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very high</t>
        </r>
      </text>
    </comment>
    <comment ref="AA33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↑FA, ↑↑↑ Psol, NO2 and NO3 inlet, ↓↓ NH4 reactor</t>
        </r>
      </text>
    </comment>
    <comment ref="I41" authorId="0" shapeId="0" xr:uid="{2CD66DBC-87D4-48D5-BEBA-28F672FD691B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Z41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↑FA, inlet NO2 and NO3, ↑DO day before, ↑pH day before</t>
        </r>
      </text>
    </comment>
    <comment ref="AA48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↑FNA &amp; FA, ↑DO and ↑↑ day before, ↑↑ NH4 reactor, ↑ Alkalinity reactor</t>
        </r>
      </text>
    </comment>
    <comment ref="J53" authorId="0" shapeId="0" xr:uid="{35C4CDD0-D181-4805-A142-F8F1AA7ED0D3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on VS/TS ratio</t>
        </r>
      </text>
    </comment>
    <comment ref="I54" authorId="0" shapeId="0" xr:uid="{A2046B43-25D2-4730-9308-4702445FA0DB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I62" authorId="0" shapeId="0" xr:uid="{1440C45D-0887-4042-879D-8CDF79D05241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X62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Cancelled measurement</t>
        </r>
      </text>
    </comment>
    <comment ref="X63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Cancelled measurement
</t>
        </r>
      </text>
    </comment>
    <comment ref="Z64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↑DO, ↑ FA &amp; FNA</t>
        </r>
      </text>
    </comment>
    <comment ref="Z65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↑DO, ↑FA</t>
        </r>
      </text>
    </comment>
    <comment ref="I69" authorId="0" shapeId="0" xr:uid="{E399ADE0-A97B-416E-86AA-F71FBB45651D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I76" authorId="0" shapeId="0" xr:uid="{BE3B2739-CCB0-4159-AAB5-2830F2371151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  <comment ref="I81" authorId="0" shapeId="0" xr:uid="{9D8492CB-269E-4C56-8F61-F9FCDFA1D8A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dilution and VS/TS ratio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Pascal Ochs</author>
  </authors>
  <commentList>
    <comment ref="AB18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FNA</t>
        </r>
      </text>
    </comment>
    <comment ref="AB19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FNA</t>
        </r>
      </text>
    </comment>
    <comment ref="AA31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FA&amp;FNA, ↑ NO2 excess</t>
        </r>
      </text>
    </comment>
    <comment ref="AB35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FA, ↑ pH reactor</t>
        </r>
      </text>
    </comment>
    <comment ref="AA36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↑FA, ↑NH4 reactor, ↑pH reactor, ↑TSS inlet</t>
        </r>
      </text>
    </comment>
    <comment ref="AB37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FNA</t>
        </r>
      </text>
    </comment>
    <comment ref="J38" authorId="0" shapeId="0" xr:uid="{5A38AD7D-8574-4C67-8D06-EADA75F9B5C8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activity</t>
        </r>
      </text>
    </comment>
    <comment ref="AA38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NH4 reactor, ↑ FNA &amp; FA, ↑ P sol reactor</t>
        </r>
      </text>
    </comment>
    <comment ref="AA39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NH4 reactor, ↑ FNA &amp; FA, ↑ P sol reactor</t>
        </r>
      </text>
    </comment>
    <comment ref="AA40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pH reactor, ↑ FNA &amp; FA, ↑ P sol reactor</t>
        </r>
      </text>
    </comment>
    <comment ref="AA41" authorId="0" shapeId="0" xr:uid="{00000000-0006-0000-0F00-00000A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pH reactor, ↑ FNA &amp; FA, ↑ P sol reactor</t>
        </r>
      </text>
    </comment>
    <comment ref="J45" authorId="0" shapeId="0" xr:uid="{F395CC43-879E-44E6-9B3D-90A215542D0B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activity</t>
        </r>
      </text>
    </comment>
    <comment ref="AA57" authorId="0" shapeId="0" xr:uid="{00000000-0006-0000-0F00-00000B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↑FA</t>
        </r>
      </text>
    </comment>
    <comment ref="AB58" authorId="0" shapeId="0" xr:uid="{00000000-0006-0000-0F00-00000C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FNA &amp; FA, elevated pH reactor</t>
        </r>
      </text>
    </comment>
    <comment ref="J59" authorId="0" shapeId="0" xr:uid="{01541748-889E-4F3B-83B5-6FEC9EC31BAA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activity</t>
        </r>
      </text>
    </comment>
    <comment ref="AA59" authorId="0" shapeId="0" xr:uid="{00000000-0006-0000-0F00-00000D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NH4 reactor, ↑FA </t>
        </r>
      </text>
    </comment>
    <comment ref="J62" authorId="0" shapeId="0" xr:uid="{0662C746-F66B-4CE2-9FF2-1FB461059CAE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activity</t>
        </r>
      </text>
    </comment>
    <comment ref="J81" authorId="0" shapeId="0" xr:uid="{57623563-E9BA-4173-B105-7C7B0C11415F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Calculated based on activity</t>
        </r>
      </text>
    </comment>
    <comment ref="AA81" authorId="0" shapeId="0" xr:uid="{00000000-0006-0000-0F00-00000E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FA, elevated NH4 reactor</t>
        </r>
      </text>
    </comment>
    <comment ref="AA82" authorId="0" shapeId="0" xr:uid="{00000000-0006-0000-0F00-00000F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 FA, elevated NH4 reactor</t>
        </r>
      </text>
    </comment>
    <comment ref="AA83" authorId="0" shapeId="0" xr:uid="{00000000-0006-0000-0F00-000010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↑FA, eleveated NH4 reactor</t>
        </r>
      </text>
    </comment>
    <comment ref="AA84" authorId="0" shapeId="0" xr:uid="{00000000-0006-0000-0F00-000011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↑FA, elevated NH4 reactor</t>
        </r>
      </text>
    </comment>
    <comment ref="AA93" authorId="0" shapeId="0" xr:uid="{00000000-0006-0000-0F00-000012000000}">
      <text>
        <r>
          <rPr>
            <b/>
            <sz val="9"/>
            <color indexed="81"/>
            <rFont val="Tahoma"/>
            <family val="2"/>
          </rPr>
          <t>Pascal Ochs: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172607-PilotPerformanceAnalysed-007.xlsm!Influent" type="102" refreshedVersion="6" minRefreshableVersion="5">
    <extLst>
      <ext xmlns:x15="http://schemas.microsoft.com/office/spreadsheetml/2010/11/main" uri="{DE250136-89BD-433C-8126-D09CA5730AF9}">
        <x15:connection id="Influent">
          <x15:rangePr sourceName="_xlcn.WorksheetConnection_172607PilotPerformanceAnalysed007.xlsmInfluent1"/>
        </x15:connection>
      </ext>
    </extLst>
  </connection>
  <connection id="3" xr16:uid="{00000000-0015-0000-FFFF-FFFF02000000}" name="WorksheetConnection_172607-PilotPerformanceAnalysed-007.xlsm!SSBR" type="102" refreshedVersion="6" minRefreshableVersion="5">
    <extLst>
      <ext xmlns:x15="http://schemas.microsoft.com/office/spreadsheetml/2010/11/main" uri="{DE250136-89BD-433C-8126-D09CA5730AF9}">
        <x15:connection id="SSBR" autoDelete="1">
          <x15:rangePr sourceName="_xlcn.WorksheetConnection_172607PilotPerformanceAnalysed007.xlsmSSBR1"/>
        </x15:connection>
      </ext>
    </extLst>
  </connection>
</connections>
</file>

<file path=xl/sharedStrings.xml><?xml version="1.0" encoding="utf-8"?>
<sst xmlns="http://schemas.openxmlformats.org/spreadsheetml/2006/main" count="5402" uniqueCount="630">
  <si>
    <t>Influent, Effluent and Plant Calculations and Charts</t>
  </si>
  <si>
    <t>Date</t>
  </si>
  <si>
    <t>Sample number</t>
  </si>
  <si>
    <t>Summary of Pilot Plants Measurements</t>
  </si>
  <si>
    <t>1.)</t>
  </si>
  <si>
    <t>2.)</t>
  </si>
  <si>
    <t>3.)</t>
  </si>
  <si>
    <t>4.)</t>
  </si>
  <si>
    <t>5.)</t>
  </si>
  <si>
    <t>m3</t>
  </si>
  <si>
    <t>Nitrate expressed as N mg/l</t>
  </si>
  <si>
    <t>[Nitrogen, total oxidised expressed as N mg/l] - [Nitrite, expressed as N mg /l]</t>
  </si>
  <si>
    <t>Nitrate expressed as NO3 mg/l</t>
  </si>
  <si>
    <t>([Nitrogen, total oxidised expressed as N mg /l] - [Nitrite expressed as NO2 mg/l]) x 4.426</t>
  </si>
  <si>
    <t>Nitrite expressed as NO2 mg/l</t>
  </si>
  <si>
    <t>[Nitrite expressed as N mg/l] x 3.284</t>
  </si>
  <si>
    <t>Ammonium expressed as NH4 mg/l</t>
  </si>
  <si>
    <t>[Ammoniacal nitrogen expressed as N mg/l] x 1.288</t>
  </si>
  <si>
    <t>DWI Nitrite Nitrate Calculation</t>
  </si>
  <si>
    <t>[((TON as N mg/l – Nitrite as N mg/l)/50) x 4.426] + [((Nitrite as N mg/l)/3) x 3.284]</t>
  </si>
  <si>
    <t>LAB CALCULATIONS</t>
  </si>
  <si>
    <t>HRT (h)</t>
  </si>
  <si>
    <t>ORP</t>
  </si>
  <si>
    <t>Temp. (°C)</t>
  </si>
  <si>
    <t>REACTOR Characteristics (Online)</t>
  </si>
  <si>
    <t>NRR</t>
  </si>
  <si>
    <t>ARE</t>
  </si>
  <si>
    <t>NRE</t>
  </si>
  <si>
    <t>Comments:</t>
  </si>
  <si>
    <t>Comment</t>
  </si>
  <si>
    <t>Comments</t>
  </si>
  <si>
    <t>Temperature (°C)</t>
  </si>
  <si>
    <t xml:space="preserve">PN/A STOICHIOMETRY </t>
  </si>
  <si>
    <t>PN</t>
  </si>
  <si>
    <t>PN modify:</t>
  </si>
  <si>
    <t>PN/A</t>
  </si>
  <si>
    <t>+</t>
  </si>
  <si>
    <t>NO2-</t>
  </si>
  <si>
    <t>→</t>
  </si>
  <si>
    <t>Calculation</t>
  </si>
  <si>
    <t>NLR</t>
  </si>
  <si>
    <t>Performance</t>
  </si>
  <si>
    <t>Reactor Conditions</t>
  </si>
  <si>
    <t>pH</t>
  </si>
  <si>
    <t>T</t>
  </si>
  <si>
    <t>HRT</t>
  </si>
  <si>
    <t>S-SBR</t>
  </si>
  <si>
    <t>MED</t>
  </si>
  <si>
    <t>G-SBR</t>
  </si>
  <si>
    <t>DO</t>
  </si>
  <si>
    <t>SAA</t>
  </si>
  <si>
    <t>HRT (d)</t>
  </si>
  <si>
    <r>
      <t>CH</t>
    </r>
    <r>
      <rPr>
        <vertAlign val="subscript"/>
        <sz val="11"/>
        <color theme="1"/>
        <rFont val="Calibri"/>
        <family val="2"/>
        <scheme val="minor"/>
      </rPr>
      <t>1.74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0.31</t>
    </r>
    <r>
      <rPr>
        <sz val="11"/>
        <color theme="1"/>
        <rFont val="Calibri"/>
        <family val="2"/>
        <scheme val="minor"/>
      </rPr>
      <t>N</t>
    </r>
    <r>
      <rPr>
        <vertAlign val="subscript"/>
        <sz val="11"/>
        <color theme="1"/>
        <rFont val="Calibri"/>
        <family val="2"/>
        <scheme val="minor"/>
      </rPr>
      <t>0.20</t>
    </r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</si>
  <si>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</si>
  <si>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>HCO</t>
    </r>
    <r>
      <rPr>
        <vertAlign val="subscript"/>
        <sz val="11"/>
        <color theme="1"/>
        <rFont val="Calibri"/>
        <family val="2"/>
        <scheme val="minor"/>
      </rPr>
      <t>3</t>
    </r>
    <r>
      <rPr>
        <vertAlign val="superscript"/>
        <sz val="11"/>
        <color theme="1"/>
        <rFont val="Calibri"/>
        <family val="2"/>
        <scheme val="minor"/>
      </rPr>
      <t>-</t>
    </r>
  </si>
  <si>
    <r>
      <t>NH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+</t>
    </r>
  </si>
  <si>
    <r>
      <t>H</t>
    </r>
    <r>
      <rPr>
        <vertAlign val="superscript"/>
        <sz val="11"/>
        <color theme="1"/>
        <rFont val="Calibri"/>
        <family val="2"/>
        <scheme val="minor"/>
      </rPr>
      <t>+</t>
    </r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</si>
  <si>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-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</si>
  <si>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</si>
  <si>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</si>
  <si>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vertAlign val="subscript"/>
        <sz val="11"/>
        <color theme="1"/>
        <rFont val="Calibri"/>
        <family val="2"/>
        <scheme val="minor"/>
      </rPr>
      <t>3</t>
    </r>
    <r>
      <rPr>
        <vertAlign val="superscript"/>
        <sz val="11"/>
        <color theme="1"/>
        <rFont val="Calibri"/>
        <family val="2"/>
        <scheme val="minor"/>
      </rPr>
      <t>-</t>
    </r>
  </si>
  <si>
    <r>
      <t>O</t>
    </r>
    <r>
      <rPr>
        <vertAlign val="subscript"/>
        <sz val="11"/>
        <color theme="1"/>
        <rFont val="Calibri"/>
        <family val="2"/>
        <scheme val="minor"/>
      </rPr>
      <t>2</t>
    </r>
  </si>
  <si>
    <r>
      <rPr>
        <b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(Lotti et al., 2015)</t>
    </r>
  </si>
  <si>
    <r>
      <t xml:space="preserve">A </t>
    </r>
    <r>
      <rPr>
        <i/>
        <sz val="9"/>
        <color theme="1"/>
        <rFont val="Arial"/>
        <family val="2"/>
      </rPr>
      <t>(Strous et al., 1999)</t>
    </r>
  </si>
  <si>
    <t>Transformations:</t>
  </si>
  <si>
    <t>=</t>
  </si>
  <si>
    <r>
      <t>NH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N</t>
    </r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</si>
  <si>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N</t>
    </r>
  </si>
  <si>
    <r>
      <t>NO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N</t>
    </r>
  </si>
  <si>
    <t>- In Data sheet the black thick line demonstrates the start-up from the MSc Period and the double line marks the end of the MSc thesis and begin of sampling for the PhD</t>
  </si>
  <si>
    <t>- Calculations are based with function, so it doesn't allow any negative outputs or failures in the calculation. (=IF(IFERROR(XXX))), which sets everything to '0'.</t>
  </si>
  <si>
    <t>- Limit for ammonia concentration in the effluent for the liquor treatment plant is set to 20 mg/L.</t>
  </si>
  <si>
    <t>NAME</t>
  </si>
  <si>
    <t>Symbol</t>
  </si>
  <si>
    <t>Al</t>
  </si>
  <si>
    <t>Aluminium</t>
  </si>
  <si>
    <t>Calcium</t>
  </si>
  <si>
    <t>Carbon</t>
  </si>
  <si>
    <t>Chlorine</t>
  </si>
  <si>
    <t>Fluorine</t>
  </si>
  <si>
    <t>Hydrogen</t>
  </si>
  <si>
    <t>Iron</t>
  </si>
  <si>
    <t>Magnesium</t>
  </si>
  <si>
    <t>Manganese</t>
  </si>
  <si>
    <t>Nitrogen</t>
  </si>
  <si>
    <t>Oxygen</t>
  </si>
  <si>
    <t xml:space="preserve">Phosphorous </t>
  </si>
  <si>
    <t>Sodium</t>
  </si>
  <si>
    <t>Sulphur</t>
  </si>
  <si>
    <t>Ca</t>
  </si>
  <si>
    <t>Cl</t>
  </si>
  <si>
    <t>F</t>
  </si>
  <si>
    <t>H</t>
  </si>
  <si>
    <t>Fe</t>
  </si>
  <si>
    <t>Mg</t>
  </si>
  <si>
    <t>Mn</t>
  </si>
  <si>
    <t>N</t>
  </si>
  <si>
    <t>O</t>
  </si>
  <si>
    <t>P</t>
  </si>
  <si>
    <t>Na</t>
  </si>
  <si>
    <t>S</t>
  </si>
  <si>
    <t>Aluminium ion</t>
  </si>
  <si>
    <t>Ammonium ion</t>
  </si>
  <si>
    <t>Bicarbonate</t>
  </si>
  <si>
    <t>Calcium ion</t>
  </si>
  <si>
    <t>Chloride ion</t>
  </si>
  <si>
    <r>
      <rPr>
        <b/>
        <sz val="11"/>
        <color theme="1"/>
        <rFont val="Calibri"/>
        <family val="2"/>
        <scheme val="minor"/>
      </rPr>
      <t>Atomix/ionic weight</t>
    </r>
    <r>
      <rPr>
        <sz val="11"/>
        <color theme="1"/>
        <rFont val="Calibri"/>
        <family val="2"/>
        <scheme val="minor"/>
      </rPr>
      <t xml:space="preserve"> (g 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</si>
  <si>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 xml:space="preserve">Equivalent weight </t>
    </r>
    <r>
      <rPr>
        <sz val="11"/>
        <color theme="1"/>
        <rFont val="Calibri"/>
        <family val="2"/>
        <scheme val="minor"/>
      </rPr>
      <t>(meq/mol)</t>
    </r>
  </si>
  <si>
    <t>Ferric ion</t>
  </si>
  <si>
    <t>Ferrous</t>
  </si>
  <si>
    <t>Fluoride</t>
  </si>
  <si>
    <t>Nitrate</t>
  </si>
  <si>
    <t>Nitrite</t>
  </si>
  <si>
    <t>Phosphate</t>
  </si>
  <si>
    <t>Sulphate</t>
  </si>
  <si>
    <t>OH-</t>
  </si>
  <si>
    <t>Hydroxyl</t>
  </si>
  <si>
    <r>
      <t>Al</t>
    </r>
    <r>
      <rPr>
        <vertAlign val="superscript"/>
        <sz val="11"/>
        <color theme="1"/>
        <rFont val="Calibri"/>
        <family val="2"/>
        <scheme val="minor"/>
      </rPr>
      <t>3+</t>
    </r>
  </si>
  <si>
    <r>
      <t>Ca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</si>
  <si>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Cl</t>
    </r>
    <r>
      <rPr>
        <vertAlign val="superscript"/>
        <sz val="11"/>
        <color theme="1"/>
        <rFont val="Calibri"/>
        <family val="2"/>
        <scheme val="minor"/>
      </rPr>
      <t>-</t>
    </r>
  </si>
  <si>
    <r>
      <t>Fe</t>
    </r>
    <r>
      <rPr>
        <vertAlign val="superscript"/>
        <sz val="11"/>
        <color theme="1"/>
        <rFont val="Calibri"/>
        <family val="2"/>
        <scheme val="minor"/>
      </rPr>
      <t>3+</t>
    </r>
  </si>
  <si>
    <r>
      <t>Fe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</si>
  <si>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F</t>
    </r>
    <r>
      <rPr>
        <vertAlign val="superscript"/>
        <sz val="11"/>
        <color theme="1"/>
        <rFont val="Calibri"/>
        <family val="2"/>
        <scheme val="minor"/>
      </rPr>
      <t>-</t>
    </r>
  </si>
  <si>
    <r>
      <t>Mg</t>
    </r>
    <r>
      <rPr>
        <vertAlign val="superscript"/>
        <sz val="11"/>
        <color theme="1"/>
        <rFont val="Calibri"/>
        <family val="2"/>
        <scheme val="minor"/>
      </rPr>
      <t>2+</t>
    </r>
  </si>
  <si>
    <r>
      <t>PO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3-</t>
    </r>
  </si>
  <si>
    <r>
      <t>Na</t>
    </r>
    <r>
      <rPr>
        <vertAlign val="superscript"/>
        <sz val="11"/>
        <color theme="1"/>
        <rFont val="Calibri"/>
        <family val="2"/>
        <scheme val="minor"/>
      </rPr>
      <t>+</t>
    </r>
  </si>
  <si>
    <r>
      <t>SO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2-</t>
    </r>
  </si>
  <si>
    <t>Cycle duration (h)</t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</si>
  <si>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</si>
  <si>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NO</t>
    </r>
    <r>
      <rPr>
        <vertAlign val="subscript"/>
        <sz val="11"/>
        <color theme="1"/>
        <rFont val="Calibri"/>
        <family val="2"/>
        <scheme val="minor"/>
      </rPr>
      <t>3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</si>
  <si>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Flow (L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</si>
  <si>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Flow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</si>
  <si>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Batch cycles</t>
  </si>
  <si>
    <r>
      <t>DO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</si>
  <si>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COD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</si>
  <si>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Alkalinity (mg CaCO</t>
    </r>
    <r>
      <rPr>
        <vertAlign val="sub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) </t>
    </r>
  </si>
  <si>
    <r>
      <t>TSS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</si>
  <si>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VSS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</si>
  <si>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P sol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</si>
  <si>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TON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</si>
  <si>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NH</t>
    </r>
    <r>
      <rPr>
        <vertAlign val="subscript"/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</si>
  <si>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-N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</si>
  <si>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-N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</si>
  <si>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-N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</si>
  <si>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TN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</si>
  <si>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SAMPLING (lab)</t>
  </si>
  <si>
    <r>
      <t>NLR (kg N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</si>
  <si>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ARE (%)</t>
  </si>
  <si>
    <t>NRE (%)</t>
  </si>
  <si>
    <r>
      <t>ΔN (mg L</t>
    </r>
    <r>
      <rPr>
        <vertAlign val="superscript"/>
        <sz val="11"/>
        <color theme="1"/>
        <rFont val="Calibri"/>
        <family val="2"/>
      </rPr>
      <t>-1</t>
    </r>
    <r>
      <rPr>
        <sz val="11"/>
        <color theme="1"/>
        <rFont val="Calibri"/>
        <family val="2"/>
      </rPr>
      <t>)</t>
    </r>
  </si>
  <si>
    <r>
      <t>NO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-N/ NH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-N</t>
    </r>
  </si>
  <si>
    <r>
      <t>pH</t>
    </r>
    <r>
      <rPr>
        <vertAlign val="subscript"/>
        <sz val="11"/>
        <color theme="1"/>
        <rFont val="Calibri"/>
        <family val="2"/>
        <scheme val="minor"/>
      </rPr>
      <t>reactor</t>
    </r>
  </si>
  <si>
    <r>
      <t>pH</t>
    </r>
    <r>
      <rPr>
        <vertAlign val="subscript"/>
        <sz val="11"/>
        <color theme="1"/>
        <rFont val="Calibri"/>
        <family val="2"/>
        <scheme val="minor"/>
      </rPr>
      <t>eff</t>
    </r>
  </si>
  <si>
    <r>
      <t>pH</t>
    </r>
    <r>
      <rPr>
        <vertAlign val="subscript"/>
        <sz val="11"/>
        <color theme="1"/>
        <rFont val="Calibri"/>
        <family val="2"/>
        <scheme val="minor"/>
      </rPr>
      <t>inf</t>
    </r>
  </si>
  <si>
    <r>
      <t>Alkalinity (mg CaCO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) </t>
    </r>
  </si>
  <si>
    <t>Alk/ TN</t>
  </si>
  <si>
    <t>ONLINE SENSOR</t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</si>
  <si>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-N/ NH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-N</t>
    </r>
  </si>
  <si>
    <r>
      <t>pH</t>
    </r>
    <r>
      <rPr>
        <i/>
        <vertAlign val="subscript"/>
        <sz val="11"/>
        <color theme="1"/>
        <rFont val="Calibri"/>
        <family val="2"/>
        <scheme val="minor"/>
      </rPr>
      <t>reactor</t>
    </r>
  </si>
  <si>
    <r>
      <t>NO</t>
    </r>
    <r>
      <rPr>
        <vertAlign val="subscript"/>
        <sz val="11"/>
        <color theme="1"/>
        <rFont val="Calibri"/>
        <family val="2"/>
        <scheme val="minor"/>
      </rPr>
      <t>3</t>
    </r>
    <r>
      <rPr>
        <vertAlign val="superscript"/>
        <sz val="11"/>
        <color theme="1"/>
        <rFont val="Calibri"/>
        <family val="2"/>
        <scheme val="minor"/>
      </rPr>
      <t xml:space="preserve">- </t>
    </r>
    <r>
      <rPr>
        <sz val="11"/>
        <color theme="1"/>
        <rFont val="Calibri"/>
        <family val="2"/>
        <scheme val="minor"/>
      </rPr>
      <t>(mg L-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</si>
  <si>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C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</si>
  <si>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C  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</si>
  <si>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Δ</t>
    </r>
    <r>
      <rPr>
        <sz val="8.8000000000000007"/>
        <color theme="1"/>
        <rFont val="Calibri"/>
        <family val="2"/>
      </rPr>
      <t>N (mg L</t>
    </r>
    <r>
      <rPr>
        <vertAlign val="superscript"/>
        <sz val="8.8000000000000007"/>
        <color theme="1"/>
        <rFont val="Calibri"/>
        <family val="2"/>
      </rPr>
      <t>-1</t>
    </r>
    <r>
      <rPr>
        <sz val="8.8000000000000007"/>
        <color theme="1"/>
        <rFont val="Calibri"/>
        <family val="2"/>
      </rPr>
      <t>)</t>
    </r>
  </si>
  <si>
    <r>
      <t>ΔN   (mg L</t>
    </r>
    <r>
      <rPr>
        <vertAlign val="superscript"/>
        <sz val="11"/>
        <color theme="1"/>
        <rFont val="Calibri"/>
        <family val="2"/>
      </rPr>
      <t>-1</t>
    </r>
    <r>
      <rPr>
        <sz val="11"/>
        <color theme="1"/>
        <rFont val="Calibri"/>
        <family val="2"/>
      </rPr>
      <t>)</t>
    </r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</si>
  <si>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-N/ NH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-N </t>
    </r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</si>
  <si>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Alk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</si>
  <si>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FA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</si>
  <si>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ORR</t>
  </si>
  <si>
    <t>AVERAGE</t>
  </si>
  <si>
    <r>
      <t>NH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-N</t>
    </r>
    <r>
      <rPr>
        <b/>
        <vertAlign val="subscript"/>
        <sz val="11"/>
        <color theme="1"/>
        <rFont val="Calibri"/>
        <family val="2"/>
        <scheme val="minor"/>
      </rPr>
      <t>eff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</si>
  <si>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-N</t>
    </r>
    <r>
      <rPr>
        <b/>
        <vertAlign val="subscript"/>
        <sz val="11"/>
        <color theme="1"/>
        <rFont val="Calibri"/>
        <family val="2"/>
        <scheme val="minor"/>
      </rPr>
      <t>eff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</si>
  <si>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-N</t>
    </r>
    <r>
      <rPr>
        <b/>
        <vertAlign val="subscript"/>
        <sz val="11"/>
        <color theme="1"/>
        <rFont val="Calibri"/>
        <family val="2"/>
        <scheme val="minor"/>
      </rPr>
      <t>eff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</si>
  <si>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/NH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</si>
  <si>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/NH</t>
    </r>
    <r>
      <rPr>
        <b/>
        <vertAlign val="subscript"/>
        <sz val="11"/>
        <color theme="1"/>
        <rFont val="Calibri"/>
        <family val="2"/>
        <scheme val="minor"/>
      </rPr>
      <t>4</t>
    </r>
  </si>
  <si>
    <t>MIN</t>
  </si>
  <si>
    <t>MAX</t>
  </si>
  <si>
    <t xml:space="preserve">Influent </t>
  </si>
  <si>
    <t>C/N</t>
  </si>
  <si>
    <r>
      <t>NH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-N</t>
    </r>
    <r>
      <rPr>
        <b/>
        <vertAlign val="subscript"/>
        <sz val="11"/>
        <color theme="1"/>
        <rFont val="Calibri"/>
        <family val="2"/>
        <scheme val="minor"/>
      </rPr>
      <t>in</t>
    </r>
  </si>
  <si>
    <r>
      <t>COD</t>
    </r>
    <r>
      <rPr>
        <b/>
        <vertAlign val="subscript"/>
        <sz val="11"/>
        <color theme="1"/>
        <rFont val="Calibri"/>
        <family val="2"/>
        <scheme val="minor"/>
      </rPr>
      <t>in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</si>
  <si>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>in</t>
    </r>
  </si>
  <si>
    <r>
      <t>MEAN</t>
    </r>
    <r>
      <rPr>
        <b/>
        <vertAlign val="subscript"/>
        <sz val="11"/>
        <color theme="1"/>
        <rFont val="Calibri"/>
        <family val="2"/>
        <scheme val="minor"/>
      </rPr>
      <t>AVG</t>
    </r>
  </si>
  <si>
    <r>
      <t>MEAN</t>
    </r>
    <r>
      <rPr>
        <b/>
        <vertAlign val="subscript"/>
        <sz val="11"/>
        <color theme="1"/>
        <rFont val="Calibri"/>
        <family val="2"/>
        <scheme val="minor"/>
      </rPr>
      <t>MED</t>
    </r>
  </si>
  <si>
    <r>
      <t>ORR (kg COD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</si>
  <si>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STDEV.S</t>
  </si>
  <si>
    <t>STDEV.P</t>
  </si>
  <si>
    <t>VAR.S</t>
  </si>
  <si>
    <t>VAR.P</t>
  </si>
  <si>
    <r>
      <t>UpperLimit</t>
    </r>
    <r>
      <rPr>
        <b/>
        <vertAlign val="subscript"/>
        <sz val="10"/>
        <color theme="1"/>
        <rFont val="Calibri"/>
        <family val="2"/>
        <scheme val="minor"/>
      </rPr>
      <t>AVG.P</t>
    </r>
  </si>
  <si>
    <r>
      <t>LowerLimit</t>
    </r>
    <r>
      <rPr>
        <b/>
        <vertAlign val="subscript"/>
        <sz val="10"/>
        <color theme="1"/>
        <rFont val="Calibri"/>
        <family val="2"/>
        <scheme val="minor"/>
      </rPr>
      <t>AVG.P</t>
    </r>
  </si>
  <si>
    <r>
      <t>RANGE</t>
    </r>
    <r>
      <rPr>
        <b/>
        <vertAlign val="subscript"/>
        <sz val="10"/>
        <color theme="1"/>
        <rFont val="Calibri"/>
        <family val="2"/>
        <scheme val="minor"/>
      </rPr>
      <t>MIN.MAX</t>
    </r>
  </si>
  <si>
    <r>
      <t>UpperLimit</t>
    </r>
    <r>
      <rPr>
        <b/>
        <vertAlign val="subscript"/>
        <sz val="10"/>
        <color theme="1"/>
        <rFont val="Calibri"/>
        <family val="2"/>
        <scheme val="minor"/>
      </rPr>
      <t>MED.S</t>
    </r>
  </si>
  <si>
    <r>
      <t>LowerLimit</t>
    </r>
    <r>
      <rPr>
        <b/>
        <vertAlign val="subscript"/>
        <sz val="10"/>
        <color theme="1"/>
        <rFont val="Calibri"/>
        <family val="2"/>
        <scheme val="minor"/>
      </rPr>
      <t>MED.S</t>
    </r>
  </si>
  <si>
    <r>
      <t>LowerLimit</t>
    </r>
    <r>
      <rPr>
        <b/>
        <vertAlign val="subscript"/>
        <sz val="10"/>
        <color theme="1"/>
        <rFont val="Calibri"/>
        <family val="2"/>
        <scheme val="minor"/>
      </rPr>
      <t>MED.P</t>
    </r>
  </si>
  <si>
    <r>
      <t>UpperLimit</t>
    </r>
    <r>
      <rPr>
        <b/>
        <vertAlign val="subscript"/>
        <sz val="10"/>
        <color theme="1"/>
        <rFont val="Calibri"/>
        <family val="2"/>
        <scheme val="minor"/>
      </rPr>
      <t>MED.P</t>
    </r>
  </si>
  <si>
    <r>
      <t>LowerLimit</t>
    </r>
    <r>
      <rPr>
        <b/>
        <vertAlign val="subscript"/>
        <sz val="10"/>
        <color theme="1"/>
        <rFont val="Calibri"/>
        <family val="2"/>
        <scheme val="minor"/>
      </rPr>
      <t>AVG.S</t>
    </r>
  </si>
  <si>
    <r>
      <t>UpperLimit</t>
    </r>
    <r>
      <rPr>
        <b/>
        <vertAlign val="subscript"/>
        <sz val="10"/>
        <color theme="1"/>
        <rFont val="Calibri"/>
        <family val="2"/>
        <scheme val="minor"/>
      </rPr>
      <t>AVG.S</t>
    </r>
  </si>
  <si>
    <t>TOTAL</t>
  </si>
  <si>
    <r>
      <t>G.MEAN</t>
    </r>
    <r>
      <rPr>
        <b/>
        <vertAlign val="subscript"/>
        <sz val="11"/>
        <color theme="1"/>
        <rFont val="Calibri"/>
        <family val="2"/>
        <scheme val="minor"/>
      </rPr>
      <t>AVG</t>
    </r>
  </si>
  <si>
    <r>
      <t>G.MEAN</t>
    </r>
    <r>
      <rPr>
        <b/>
        <vertAlign val="subscript"/>
        <sz val="11"/>
        <color theme="1"/>
        <rFont val="Calibri"/>
        <family val="2"/>
        <scheme val="minor"/>
      </rPr>
      <t>MED</t>
    </r>
  </si>
  <si>
    <t>COUNT</t>
  </si>
  <si>
    <t>COUNTA</t>
  </si>
  <si>
    <t>MEDIA</t>
  </si>
  <si>
    <r>
      <t>OLR (kg COD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</si>
  <si>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OLR</t>
  </si>
  <si>
    <t>df</t>
  </si>
  <si>
    <t>STDERROR.P</t>
  </si>
  <si>
    <t>STDERROR.S</t>
  </si>
  <si>
    <t>COUNT, n</t>
  </si>
  <si>
    <t>G.STDEV</t>
  </si>
  <si>
    <t>G.STDERROR</t>
  </si>
  <si>
    <t>TSS</t>
  </si>
  <si>
    <t>VSS</t>
  </si>
  <si>
    <t>Alk</t>
  </si>
  <si>
    <t>SUMSQ</t>
  </si>
  <si>
    <r>
      <t>ARR (kg NH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-N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</si>
  <si>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Statisitcs reminder:</t>
  </si>
  <si>
    <t>Directional 2:</t>
  </si>
  <si>
    <t>Directional 1:</t>
  </si>
  <si>
    <t>Non-directional</t>
  </si>
  <si>
    <t>VSS/TSS</t>
  </si>
  <si>
    <r>
      <t>MLSS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</si>
  <si>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MLVSS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</si>
  <si>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ARR</t>
    </r>
    <r>
      <rPr>
        <vertAlign val="subscript"/>
        <sz val="11"/>
        <color theme="1"/>
        <rFont val="Calibri"/>
        <family val="2"/>
        <scheme val="minor"/>
      </rPr>
      <t>Media</t>
    </r>
    <r>
      <rPr>
        <sz val="11"/>
        <color theme="1"/>
        <rFont val="Calibri"/>
        <family val="2"/>
        <scheme val="minor"/>
      </rPr>
      <t xml:space="preserve"> (g N m</t>
    </r>
    <r>
      <rPr>
        <vertAlign val="superscript"/>
        <sz val="11"/>
        <color theme="1"/>
        <rFont val="Calibri"/>
        <family val="2"/>
        <scheme val="minor"/>
      </rPr>
      <t>-2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</si>
  <si>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ALR</t>
    </r>
    <r>
      <rPr>
        <vertAlign val="subscript"/>
        <sz val="11"/>
        <color theme="1"/>
        <rFont val="Calibri"/>
        <family val="2"/>
        <scheme val="minor"/>
      </rPr>
      <t>Media</t>
    </r>
    <r>
      <rPr>
        <sz val="11"/>
        <color theme="1"/>
        <rFont val="Calibri"/>
        <family val="2"/>
        <scheme val="minor"/>
      </rPr>
      <t xml:space="preserve"> (g N m</t>
    </r>
    <r>
      <rPr>
        <vertAlign val="superscript"/>
        <sz val="11"/>
        <color theme="1"/>
        <rFont val="Calibri"/>
        <family val="2"/>
        <scheme val="minor"/>
      </rPr>
      <t>-2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</si>
  <si>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OLR</t>
    </r>
    <r>
      <rPr>
        <vertAlign val="subscript"/>
        <sz val="11"/>
        <color theme="1"/>
        <rFont val="Calibri"/>
        <family val="2"/>
        <scheme val="minor"/>
      </rPr>
      <t xml:space="preserve">Media </t>
    </r>
    <r>
      <rPr>
        <sz val="11"/>
        <color theme="1"/>
        <rFont val="Calibri"/>
        <family val="2"/>
        <scheme val="minor"/>
      </rPr>
      <t>(g COD m</t>
    </r>
    <r>
      <rPr>
        <vertAlign val="superscript"/>
        <sz val="11"/>
        <color theme="1"/>
        <rFont val="Calibri"/>
        <family val="2"/>
        <scheme val="minor"/>
      </rPr>
      <t>-2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</si>
  <si>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ORR</t>
    </r>
    <r>
      <rPr>
        <vertAlign val="subscript"/>
        <sz val="11"/>
        <color theme="1"/>
        <rFont val="Calibri"/>
        <family val="2"/>
        <scheme val="minor"/>
      </rPr>
      <t>Media</t>
    </r>
    <r>
      <rPr>
        <sz val="11"/>
        <color theme="1"/>
        <rFont val="Calibri"/>
        <family val="2"/>
        <scheme val="minor"/>
      </rPr>
      <t xml:space="preserve"> (g COD m</t>
    </r>
    <r>
      <rPr>
        <vertAlign val="superscript"/>
        <sz val="11"/>
        <color theme="1"/>
        <rFont val="Calibri"/>
        <family val="2"/>
        <scheme val="minor"/>
      </rPr>
      <t>-2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</si>
  <si>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FNA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</si>
  <si>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ΔAlk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</si>
  <si>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Fullscale LTP  Effluent Characteristics</t>
  </si>
  <si>
    <t>Cycles per day</t>
  </si>
  <si>
    <t>LTP</t>
  </si>
  <si>
    <t>h</t>
  </si>
  <si>
    <t>kg N d-1</t>
  </si>
  <si>
    <t>°C</t>
  </si>
  <si>
    <t>Q</t>
  </si>
  <si>
    <t>m3 d-1</t>
  </si>
  <si>
    <t>rule of thumb ARE 10% more than NRE</t>
  </si>
  <si>
    <t>6.)</t>
  </si>
  <si>
    <t>S-SBR DATA FOR PAPER: CORRELATION GRAPHS</t>
  </si>
  <si>
    <t>Pilot plant characteristics overview:</t>
  </si>
  <si>
    <r>
      <t>SAA (g N g VSS</t>
    </r>
    <r>
      <rPr>
        <vertAlign val="superscript"/>
        <sz val="11"/>
        <color theme="1"/>
        <rFont val="Calibri"/>
        <family val="2"/>
      </rPr>
      <t xml:space="preserve">-1 </t>
    </r>
    <r>
      <rPr>
        <sz val="11"/>
        <color theme="1"/>
        <rFont val="Calibri"/>
        <family val="2"/>
      </rPr>
      <t>d</t>
    </r>
    <r>
      <rPr>
        <vertAlign val="superscript"/>
        <sz val="11"/>
        <color theme="1"/>
        <rFont val="Calibri"/>
        <family val="2"/>
      </rPr>
      <t>-1</t>
    </r>
    <r>
      <rPr>
        <sz val="11"/>
        <color theme="1"/>
        <rFont val="Calibri"/>
        <family val="2"/>
      </rPr>
      <t>)</t>
    </r>
  </si>
  <si>
    <t>G-SBR DATA FOR PAPER: CORRELATION GRAPHS</t>
  </si>
  <si>
    <t>MEDIA DATA FOR PAPER: CORRELATION GRAPHS</t>
  </si>
  <si>
    <t>S-SBR EFFLUENT</t>
  </si>
  <si>
    <t>THP/AD INFLUENT</t>
  </si>
  <si>
    <t>MEDIA EFFLUENT</t>
  </si>
  <si>
    <t>Vol</t>
  </si>
  <si>
    <t>Aspec.</t>
  </si>
  <si>
    <t>m2 m-3</t>
  </si>
  <si>
    <t>*</t>
  </si>
  <si>
    <t>Vfill</t>
  </si>
  <si>
    <t>NL</t>
  </si>
  <si>
    <t>NR</t>
  </si>
  <si>
    <t>tcycle</t>
  </si>
  <si>
    <t>Alk dos</t>
  </si>
  <si>
    <t>L d-1</t>
  </si>
  <si>
    <t>excluding freeboard</t>
  </si>
  <si>
    <t>G-SBR EFFLUENT</t>
  </si>
  <si>
    <t>LTP EFFLUENT</t>
  </si>
  <si>
    <t>DATA PLOTS</t>
  </si>
  <si>
    <r>
      <t>NRR (kg N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d-1)</t>
    </r>
  </si>
  <si>
    <t>PILOT PLANT DESIGN PARAMETERS</t>
  </si>
  <si>
    <t>kg N m-3 d-1</t>
  </si>
  <si>
    <t>ncycle</t>
  </si>
  <si>
    <t>treact</t>
  </si>
  <si>
    <r>
      <t>HRT</t>
    </r>
    <r>
      <rPr>
        <vertAlign val="subscript"/>
        <sz val="11"/>
        <color theme="1"/>
        <rFont val="Calibri"/>
        <family val="2"/>
        <scheme val="minor"/>
      </rPr>
      <t>des</t>
    </r>
  </si>
  <si>
    <r>
      <t>HRTd</t>
    </r>
    <r>
      <rPr>
        <vertAlign val="subscript"/>
        <sz val="11"/>
        <color theme="1"/>
        <rFont val="Calibri"/>
        <family val="2"/>
        <scheme val="minor"/>
      </rPr>
      <t>es</t>
    </r>
  </si>
  <si>
    <r>
      <t>HRT</t>
    </r>
    <r>
      <rPr>
        <vertAlign val="subscript"/>
        <sz val="11"/>
        <color theme="1"/>
        <rFont val="Calibri"/>
        <family val="2"/>
        <scheme val="minor"/>
      </rPr>
      <t>act</t>
    </r>
  </si>
  <si>
    <t>EQUATIONS USED IN ANALYSIS</t>
  </si>
  <si>
    <t>STATISTICAL INFORMATION</t>
  </si>
  <si>
    <t>SSBR</t>
  </si>
  <si>
    <t>GSBR</t>
  </si>
  <si>
    <t>RAW DATA</t>
  </si>
  <si>
    <t>TRANSFORMATION</t>
  </si>
  <si>
    <t>SSBR T</t>
  </si>
  <si>
    <t>MED T</t>
  </si>
  <si>
    <t>GSBR T</t>
  </si>
  <si>
    <t>LTP T</t>
  </si>
  <si>
    <t>1.) NITROGEN REMOVAL RATES ANOVA</t>
  </si>
  <si>
    <t>1.1.) HISTOGRAMS AND GRAPHS</t>
  </si>
  <si>
    <t>1.2.) DATA TABLE</t>
  </si>
  <si>
    <t xml:space="preserve">1.3.) STATISTICAL ANALYSIS </t>
  </si>
  <si>
    <t>to see the histograms and other graphs the data table needs to be opened.</t>
  </si>
  <si>
    <r>
      <t xml:space="preserve">Groups </t>
    </r>
    <r>
      <rPr>
        <b/>
        <sz val="11"/>
        <color theme="1"/>
        <rFont val="Calibri"/>
        <family val="2"/>
      </rPr>
      <t>→</t>
    </r>
  </si>
  <si>
    <t>Data →</t>
  </si>
  <si>
    <t>ANOVA: Single Factor</t>
  </si>
  <si>
    <t>DESCRIPTION</t>
  </si>
  <si>
    <t>Alpha</t>
  </si>
  <si>
    <t>Group</t>
  </si>
  <si>
    <t>Count</t>
  </si>
  <si>
    <t>Sum</t>
  </si>
  <si>
    <t>Mean</t>
  </si>
  <si>
    <t>Variance</t>
  </si>
  <si>
    <t>SS</t>
  </si>
  <si>
    <t>Std Err</t>
  </si>
  <si>
    <t>Lower</t>
  </si>
  <si>
    <t>Upper</t>
  </si>
  <si>
    <t>ANOVA</t>
  </si>
  <si>
    <t>Sources</t>
  </si>
  <si>
    <t>MS</t>
  </si>
  <si>
    <t>P value</t>
  </si>
  <si>
    <t>F crit</t>
  </si>
  <si>
    <t>RMSSE</t>
  </si>
  <si>
    <t>Omega Sq</t>
  </si>
  <si>
    <t>Between Groups</t>
  </si>
  <si>
    <t>Within Groups</t>
  </si>
  <si>
    <t>Total</t>
  </si>
  <si>
    <t>Pairwise t tests</t>
  </si>
  <si>
    <t>group 1</t>
  </si>
  <si>
    <t>group 2</t>
  </si>
  <si>
    <t>p-value</t>
  </si>
  <si>
    <t>mean</t>
  </si>
  <si>
    <t>If data table is not used it's kept hidden.</t>
  </si>
  <si>
    <t>Transformation not used</t>
  </si>
  <si>
    <t>G-SBR effluent</t>
  </si>
  <si>
    <t xml:space="preserve">sC/ N </t>
  </si>
  <si>
    <r>
      <t>sCOD 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</si>
  <si>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Theoretical estimation factors</t>
  </si>
  <si>
    <t>soluble COD aka COD after filtration:</t>
  </si>
  <si>
    <t>Power consumption:</t>
  </si>
  <si>
    <t>kW/ O2</t>
  </si>
  <si>
    <t>tCOD/sCOD in</t>
  </si>
  <si>
    <t>tCOD/sCOD SSBR</t>
  </si>
  <si>
    <t>tCOD/sCOD MEDIA</t>
  </si>
  <si>
    <t>tCOD/sCOD GSBR</t>
  </si>
  <si>
    <t>Stoichiometrical ratios</t>
  </si>
  <si>
    <t>NO3/NH4</t>
  </si>
  <si>
    <t>NO2/NH4</t>
  </si>
  <si>
    <t>NO2/NOX</t>
  </si>
  <si>
    <r>
      <t>DO</t>
    </r>
    <r>
      <rPr>
        <vertAlign val="subscript"/>
        <sz val="11"/>
        <color theme="1"/>
        <rFont val="Calibri"/>
        <family val="2"/>
        <scheme val="minor"/>
      </rPr>
      <t>set</t>
    </r>
  </si>
  <si>
    <r>
      <t>pH</t>
    </r>
    <r>
      <rPr>
        <vertAlign val="subscript"/>
        <sz val="11"/>
        <color theme="1"/>
        <rFont val="Calibri"/>
        <family val="2"/>
        <scheme val="minor"/>
      </rPr>
      <t>set</t>
    </r>
  </si>
  <si>
    <t>INHIBITION FACTORS</t>
  </si>
  <si>
    <t>AOB</t>
  </si>
  <si>
    <t>NOB</t>
  </si>
  <si>
    <t>AMX</t>
  </si>
  <si>
    <t>Unit</t>
  </si>
  <si>
    <t>FA</t>
  </si>
  <si>
    <t>mg/L</t>
  </si>
  <si>
    <t>FNA</t>
  </si>
  <si>
    <t>NO2-N</t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</si>
  <si>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/NO</t>
    </r>
    <r>
      <rPr>
        <vertAlign val="subscript"/>
        <sz val="11"/>
        <color theme="1"/>
        <rFont val="Calibri"/>
        <family val="2"/>
        <scheme val="minor"/>
      </rPr>
      <t>x</t>
    </r>
  </si>
  <si>
    <t>sCOD</t>
  </si>
  <si>
    <r>
      <t>OLR
(kg COD m</t>
    </r>
    <r>
      <rPr>
        <vertAlign val="superscript"/>
        <sz val="11"/>
        <color theme="1"/>
        <rFont val="Calibri"/>
        <family val="2"/>
        <scheme val="minor"/>
      </rPr>
      <t xml:space="preserve">-3 </t>
    </r>
    <r>
      <rPr>
        <sz val="11"/>
        <color theme="1"/>
        <rFont val="Calibri"/>
        <family val="2"/>
        <scheme val="minor"/>
      </rPr>
      <t>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</si>
  <si>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ORR 
(kg COD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</si>
  <si>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ARR 
(kg NH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-N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</si>
  <si>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NLR 
(kg N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</si>
  <si>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NRR 
(kg N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</si>
  <si>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Alkalinity 
(mg CaCO</t>
    </r>
    <r>
      <rPr>
        <vertAlign val="sub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) </t>
    </r>
  </si>
  <si>
    <r>
      <t>TSS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</si>
  <si>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VSS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</si>
  <si>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Flow 
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</si>
  <si>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Flow 
(L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</si>
  <si>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Sample 
number</t>
  </si>
  <si>
    <t>HRT 
(h)</t>
  </si>
  <si>
    <r>
      <t>DO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</si>
  <si>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Temp. 
(°C)</t>
  </si>
  <si>
    <r>
      <t>MLSS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</si>
  <si>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MLVSS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</si>
  <si>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COD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</si>
  <si>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P sol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</si>
  <si>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TON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</si>
  <si>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-N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</si>
  <si>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-N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</si>
  <si>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NO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-N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</si>
  <si>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TN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</si>
  <si>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 NO</t>
    </r>
    <r>
      <rPr>
        <vertAlign val="subscript"/>
        <sz val="11"/>
        <color theme="1"/>
        <rFont val="Calibri"/>
        <family val="2"/>
        <scheme val="minor"/>
      </rPr>
      <t>x</t>
    </r>
  </si>
  <si>
    <r>
      <t>FNA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</si>
  <si>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FA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</si>
  <si>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ARE 
(%)</t>
  </si>
  <si>
    <t>NRE 
(%)</t>
  </si>
  <si>
    <r>
      <t>DO 
(mg L</t>
    </r>
    <r>
      <rPr>
        <i/>
        <vertAlign val="superscript"/>
        <sz val="11"/>
        <color theme="1"/>
        <rFont val="Calibri"/>
        <family val="2"/>
        <scheme val="minor"/>
      </rPr>
      <t>-1</t>
    </r>
    <r>
      <rPr>
        <i/>
        <sz val="11"/>
        <color theme="1"/>
        <rFont val="Calibri"/>
        <family val="2"/>
        <scheme val="minor"/>
      </rPr>
      <t>)</t>
    </r>
  </si>
  <si>
    <r>
      <t>COND. 
(mS cm</t>
    </r>
    <r>
      <rPr>
        <i/>
        <vertAlign val="superscript"/>
        <sz val="11"/>
        <color theme="1"/>
        <rFont val="Calibri"/>
        <family val="2"/>
        <scheme val="minor"/>
      </rPr>
      <t>-2</t>
    </r>
    <r>
      <rPr>
        <i/>
        <sz val="11"/>
        <color theme="1"/>
        <rFont val="Calibri"/>
        <family val="2"/>
        <scheme val="minor"/>
      </rPr>
      <t>)</t>
    </r>
  </si>
  <si>
    <t>ORP 
(mV)</t>
  </si>
  <si>
    <r>
      <t>Alkalinity 
(mg CaCO</t>
    </r>
    <r>
      <rPr>
        <i/>
        <vertAlign val="sub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) </t>
    </r>
  </si>
  <si>
    <r>
      <t>TSS 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</si>
  <si>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VSS  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</si>
  <si>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-N 
(mg L</t>
    </r>
    <r>
      <rPr>
        <vertAlign val="superscript"/>
        <sz val="9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</si>
  <si>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OLR 
(kg COD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</si>
  <si>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SAA 
(g N  g VSS</t>
    </r>
    <r>
      <rPr>
        <vertAlign val="superscript"/>
        <sz val="11"/>
        <color theme="1"/>
        <rFont val="Calibri"/>
        <family val="2"/>
        <scheme val="minor"/>
      </rPr>
      <t xml:space="preserve">-1 </t>
    </r>
    <r>
      <rPr>
        <sz val="11"/>
        <color theme="1"/>
        <rFont val="Calibri"/>
        <family val="2"/>
        <scheme val="minor"/>
      </rPr>
      <t>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</si>
  <si>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tCOD/sCOD LTP</t>
  </si>
  <si>
    <r>
      <t>MLVSS
(mg L</t>
    </r>
    <r>
      <rPr>
        <i/>
        <vertAlign val="superscript"/>
        <sz val="11"/>
        <color theme="1"/>
        <rFont val="Calibri"/>
        <family val="2"/>
        <scheme val="minor"/>
      </rPr>
      <t>-1</t>
    </r>
    <r>
      <rPr>
        <i/>
        <sz val="11"/>
        <color theme="1"/>
        <rFont val="Calibri"/>
        <family val="2"/>
        <scheme val="minor"/>
      </rPr>
      <t>)</t>
    </r>
  </si>
  <si>
    <t>Cycle duration 
(h)</t>
  </si>
  <si>
    <r>
      <t>Sodium dosing 
(L h</t>
    </r>
    <r>
      <rPr>
        <i/>
        <vertAlign val="superscript"/>
        <sz val="11"/>
        <color theme="1"/>
        <rFont val="Calibri"/>
        <family val="2"/>
        <scheme val="minor"/>
      </rPr>
      <t>-1</t>
    </r>
    <r>
      <rPr>
        <i/>
        <sz val="11"/>
        <color theme="1"/>
        <rFont val="Calibri"/>
        <family val="2"/>
        <scheme val="minor"/>
      </rPr>
      <t>)</t>
    </r>
  </si>
  <si>
    <r>
      <t>MLSS 
(mg L</t>
    </r>
    <r>
      <rPr>
        <i/>
        <vertAlign val="superscript"/>
        <sz val="11"/>
        <color theme="1"/>
        <rFont val="Calibri"/>
        <family val="2"/>
        <scheme val="minor"/>
      </rPr>
      <t>-1</t>
    </r>
    <r>
      <rPr>
        <i/>
        <sz val="11"/>
        <color theme="1"/>
        <rFont val="Calibri"/>
        <family val="2"/>
        <scheme val="minor"/>
      </rPr>
      <t>)</t>
    </r>
  </si>
  <si>
    <t>G-SBBR</t>
  </si>
  <si>
    <t>Ammonia loading rate = nitrogen loading rate</t>
  </si>
  <si>
    <t>0 - 90</t>
  </si>
  <si>
    <t>AVG</t>
  </si>
  <si>
    <t>STDEV</t>
  </si>
  <si>
    <t>0 - 84</t>
  </si>
  <si>
    <t>29:31 - 57:90</t>
  </si>
  <si>
    <t>0:28 - 32:56</t>
  </si>
  <si>
    <t>T Test: Two Independent Samples</t>
  </si>
  <si>
    <t>SUMMARY</t>
  </si>
  <si>
    <t>Hyp Mean Diff</t>
  </si>
  <si>
    <t>Groups</t>
  </si>
  <si>
    <t>Cohen d</t>
  </si>
  <si>
    <t>Pooled</t>
  </si>
  <si>
    <t>T TEST: Equal Variances</t>
  </si>
  <si>
    <t xml:space="preserve"> </t>
  </si>
  <si>
    <t>std err</t>
  </si>
  <si>
    <t>t-stat</t>
  </si>
  <si>
    <t>t-crit</t>
  </si>
  <si>
    <t>lower</t>
  </si>
  <si>
    <t>upper</t>
  </si>
  <si>
    <t>sig</t>
  </si>
  <si>
    <t>effect r</t>
  </si>
  <si>
    <t>One Tail</t>
  </si>
  <si>
    <t>Two Tail</t>
  </si>
  <si>
    <t>T TEST: Unequal Variances</t>
  </si>
  <si>
    <t>Period 1</t>
  </si>
  <si>
    <t>Period 2</t>
  </si>
  <si>
    <t>Location</t>
  </si>
  <si>
    <t>Influent</t>
  </si>
  <si>
    <t>C to N ratio inlet</t>
  </si>
  <si>
    <t>soluble COD inlet</t>
  </si>
  <si>
    <t>Total suspended solids inlet</t>
  </si>
  <si>
    <t>pH inlet</t>
  </si>
  <si>
    <t>Alkalinity inlet</t>
  </si>
  <si>
    <t>I</t>
  </si>
  <si>
    <t>G</t>
  </si>
  <si>
    <t>K</t>
  </si>
  <si>
    <t>soluble phosphorous</t>
  </si>
  <si>
    <t>Ammonia inlet</t>
  </si>
  <si>
    <t>Nitrite inlet</t>
  </si>
  <si>
    <t>Nitrate inlet</t>
  </si>
  <si>
    <t>R</t>
  </si>
  <si>
    <t>Temperature reactor</t>
  </si>
  <si>
    <t>E</t>
  </si>
  <si>
    <t>0 - 74</t>
  </si>
  <si>
    <t>0 - 45</t>
  </si>
  <si>
    <t>46 - 74</t>
  </si>
  <si>
    <t>J</t>
  </si>
  <si>
    <t xml:space="preserve">0 - 60 </t>
  </si>
  <si>
    <t>61 - 84</t>
  </si>
  <si>
    <t>0 - 89</t>
  </si>
  <si>
    <t>0 - 53</t>
  </si>
  <si>
    <t xml:space="preserve">Total </t>
  </si>
  <si>
    <t>54 -89</t>
  </si>
  <si>
    <t>Total period comparison</t>
  </si>
  <si>
    <t>Nitrogen loading rate</t>
  </si>
  <si>
    <t>DEVSQ</t>
  </si>
  <si>
    <r>
      <t>ARR
(kg NH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-N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</si>
  <si>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NRR 
(kg N m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 xml:space="preserve"> d-1)</t>
    </r>
  </si>
  <si>
    <r>
      <t>SAA 
(g N g VSS</t>
    </r>
    <r>
      <rPr>
        <vertAlign val="superscript"/>
        <sz val="11"/>
        <color theme="1"/>
        <rFont val="Calibri"/>
        <family val="2"/>
      </rPr>
      <t xml:space="preserve">-1 </t>
    </r>
    <r>
      <rPr>
        <sz val="11"/>
        <color theme="1"/>
        <rFont val="Calibri"/>
        <family val="2"/>
      </rPr>
      <t>d</t>
    </r>
    <r>
      <rPr>
        <vertAlign val="superscript"/>
        <sz val="11"/>
        <color theme="1"/>
        <rFont val="Calibri"/>
        <family val="2"/>
      </rPr>
      <t>-1</t>
    </r>
    <r>
      <rPr>
        <sz val="11"/>
        <color theme="1"/>
        <rFont val="Calibri"/>
        <family val="2"/>
      </rPr>
      <t>)</t>
    </r>
  </si>
  <si>
    <t>TUKEY HSD/KRAMER</t>
  </si>
  <si>
    <t>alpha</t>
  </si>
  <si>
    <t>group</t>
  </si>
  <si>
    <t>n</t>
  </si>
  <si>
    <t>ss</t>
  </si>
  <si>
    <t>q-crit</t>
  </si>
  <si>
    <t>Q TEST</t>
  </si>
  <si>
    <t>q-stat</t>
  </si>
  <si>
    <t>mean-crit</t>
  </si>
  <si>
    <t>Nitrogen removal rates</t>
  </si>
  <si>
    <t>Effluent</t>
  </si>
  <si>
    <t>Nitrogen removal efficiencies</t>
  </si>
  <si>
    <t>Ammonia reactor</t>
  </si>
  <si>
    <t>Nitrite reactor</t>
  </si>
  <si>
    <t>Nitrate reactor</t>
  </si>
  <si>
    <t>Nitrate production</t>
  </si>
  <si>
    <t>Nitrite to ammonia ratio</t>
  </si>
  <si>
    <t>soluble COD reactor</t>
  </si>
  <si>
    <t>soluble phosphorous reactor</t>
  </si>
  <si>
    <t>Alkalinity reactor</t>
  </si>
  <si>
    <t>Dissolved oxygen reactor</t>
  </si>
  <si>
    <t>pH reactor</t>
  </si>
  <si>
    <t>AM</t>
  </si>
  <si>
    <t>Total suspended solids</t>
  </si>
  <si>
    <r>
      <t>sCOD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</si>
  <si>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Free ammonia</t>
  </si>
  <si>
    <t>Free nitrous acid</t>
  </si>
  <si>
    <t>AO</t>
  </si>
  <si>
    <t>X</t>
  </si>
  <si>
    <t>Y</t>
  </si>
  <si>
    <t>Z</t>
  </si>
  <si>
    <t>AB</t>
  </si>
  <si>
    <t>AC</t>
  </si>
  <si>
    <t>AE</t>
  </si>
  <si>
    <t>AF</t>
  </si>
  <si>
    <t>AP</t>
  </si>
  <si>
    <t>AR</t>
  </si>
  <si>
    <t>V</t>
  </si>
  <si>
    <t>W</t>
  </si>
  <si>
    <t>AA</t>
  </si>
  <si>
    <t>L</t>
  </si>
  <si>
    <t>M</t>
  </si>
  <si>
    <t>AD</t>
  </si>
  <si>
    <t>AJ</t>
  </si>
  <si>
    <t>AL</t>
  </si>
  <si>
    <t>MEDA</t>
  </si>
  <si>
    <t>Mann-Whitney Test for Two Independent Samples</t>
  </si>
  <si>
    <t>count</t>
  </si>
  <si>
    <t>median</t>
  </si>
  <si>
    <t>rank sum</t>
  </si>
  <si>
    <t>U</t>
  </si>
  <si>
    <t>one tail</t>
  </si>
  <si>
    <t>two tail</t>
  </si>
  <si>
    <t>std dev</t>
  </si>
  <si>
    <t>ties</t>
  </si>
  <si>
    <t>z-score</t>
  </si>
  <si>
    <t>yates</t>
  </si>
  <si>
    <t>p-norm</t>
  </si>
  <si>
    <t>p-exact</t>
  </si>
  <si>
    <t>p-simul</t>
  </si>
  <si>
    <t>N/A</t>
  </si>
  <si>
    <t>PN (AOB)</t>
  </si>
  <si>
    <t>N (NOB)</t>
  </si>
  <si>
    <t>NITRIFICATION</t>
  </si>
  <si>
    <t>(Metcalf, 2015)</t>
  </si>
  <si>
    <t>Nitrification ratios</t>
  </si>
  <si>
    <r>
      <t>µ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- µ</t>
    </r>
    <r>
      <rPr>
        <vertAlign val="subscript"/>
        <sz val="11"/>
        <color theme="1"/>
        <rFont val="Calibri"/>
        <family val="2"/>
      </rPr>
      <t xml:space="preserve">2 </t>
    </r>
    <r>
      <rPr>
        <sz val="11"/>
        <color theme="1"/>
        <rFont val="Calibri"/>
        <family val="2"/>
      </rPr>
      <t>≥ 0</t>
    </r>
  </si>
  <si>
    <r>
      <t>µ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- µ</t>
    </r>
    <r>
      <rPr>
        <vertAlign val="subscript"/>
        <sz val="11"/>
        <color theme="1"/>
        <rFont val="Calibri"/>
        <family val="2"/>
      </rPr>
      <t xml:space="preserve">2 </t>
    </r>
    <r>
      <rPr>
        <sz val="11"/>
        <color theme="1"/>
        <rFont val="Calibri"/>
        <family val="2"/>
      </rPr>
      <t>&lt; 0</t>
    </r>
  </si>
  <si>
    <r>
      <t>µ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- µ</t>
    </r>
    <r>
      <rPr>
        <vertAlign val="subscript"/>
        <sz val="11"/>
        <color theme="1"/>
        <rFont val="Calibri"/>
        <family val="2"/>
      </rPr>
      <t xml:space="preserve">2 </t>
    </r>
    <r>
      <rPr>
        <sz val="11"/>
        <color theme="1"/>
        <rFont val="Calibri"/>
        <family val="2"/>
      </rPr>
      <t>≤ 0</t>
    </r>
  </si>
  <si>
    <r>
      <t>µ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- µ</t>
    </r>
    <r>
      <rPr>
        <vertAlign val="subscript"/>
        <sz val="11"/>
        <color theme="1"/>
        <rFont val="Calibri"/>
        <family val="2"/>
      </rPr>
      <t xml:space="preserve">2 </t>
    </r>
    <r>
      <rPr>
        <sz val="11"/>
        <color theme="1"/>
        <rFont val="Calibri"/>
        <family val="2"/>
      </rPr>
      <t>&gt; 0</t>
    </r>
  </si>
  <si>
    <r>
      <t>µ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- µ</t>
    </r>
    <r>
      <rPr>
        <vertAlign val="subscript"/>
        <sz val="11"/>
        <color theme="1"/>
        <rFont val="Calibri"/>
        <family val="2"/>
      </rPr>
      <t xml:space="preserve">2 </t>
    </r>
    <r>
      <rPr>
        <sz val="11"/>
        <color theme="1"/>
        <rFont val="Calibri"/>
        <family val="2"/>
      </rPr>
      <t>= 0</t>
    </r>
  </si>
  <si>
    <r>
      <t>µ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- µ</t>
    </r>
    <r>
      <rPr>
        <vertAlign val="subscript"/>
        <sz val="11"/>
        <color theme="1"/>
        <rFont val="Calibri"/>
        <family val="2"/>
      </rPr>
      <t xml:space="preserve">2 </t>
    </r>
    <r>
      <rPr>
        <sz val="11"/>
        <color theme="1"/>
        <rFont val="Calibri"/>
        <family val="2"/>
      </rPr>
      <t>≠ 0</t>
    </r>
  </si>
  <si>
    <t>NH4-N</t>
  </si>
  <si>
    <t>col COD</t>
  </si>
  <si>
    <t>***</t>
  </si>
  <si>
    <t>*** Thames Water operational data</t>
  </si>
  <si>
    <t>Nitrogen loading rate stable</t>
  </si>
  <si>
    <t>Mixed volatile suspended liquors</t>
  </si>
  <si>
    <t>Reset controller (PLC not responding)</t>
  </si>
  <si>
    <t>Sludge blanket on clarifier. Leak at diversion pipeline.</t>
  </si>
  <si>
    <t>Flooding in inlet container, ASEng contracted</t>
  </si>
  <si>
    <t>Flooding in inlet container , ASEng contracted</t>
  </si>
  <si>
    <t>Samples discared due too problems of all pilot plants.</t>
  </si>
  <si>
    <t>S-SBR high level ammonia triped no feeding</t>
  </si>
  <si>
    <t>Restart sampling and operation as MBBR</t>
  </si>
  <si>
    <t>G-SBR PLC issue</t>
  </si>
  <si>
    <t>Change NH4-N 120 - 170 mg/L</t>
  </si>
  <si>
    <t>Reactor overflow</t>
  </si>
  <si>
    <t>Inlet hose detached, caused site flooding</t>
  </si>
  <si>
    <t>Molecular biolgy workshop</t>
  </si>
  <si>
    <t xml:space="preserve">Solenoid valve broken, to be replaced. </t>
  </si>
  <si>
    <t xml:space="preserve">Molecular biolgy workshop // re-seed </t>
  </si>
  <si>
    <r>
      <t xml:space="preserve">Molecular biolgy workshop // </t>
    </r>
    <r>
      <rPr>
        <b/>
        <sz val="11"/>
        <color theme="1"/>
        <rFont val="Calibri"/>
        <family val="2"/>
        <scheme val="minor"/>
      </rPr>
      <t xml:space="preserve">re-seed </t>
    </r>
  </si>
  <si>
    <t>buffer tank refilled</t>
  </si>
  <si>
    <t xml:space="preserve">Buffer tank refill </t>
  </si>
  <si>
    <t>No NH4-N removal in reactor</t>
  </si>
  <si>
    <t xml:space="preserve">Feed pump triggered </t>
  </si>
  <si>
    <t>Large amount of carriers stagnant in tank, clean senors</t>
  </si>
  <si>
    <t>Clean all sensors</t>
  </si>
  <si>
    <t>Air hose filled with water</t>
  </si>
  <si>
    <t>restart router</t>
  </si>
  <si>
    <t>S-SBR low T ~ 20°C</t>
  </si>
  <si>
    <t>Plant reset in auto, new solution for high level sensor issue.</t>
  </si>
  <si>
    <t>Pump and PLC tripped</t>
  </si>
  <si>
    <t>Pilot plant completely broken down.</t>
  </si>
  <si>
    <t>Itensive cleaning by Veolia, acessing data</t>
  </si>
  <si>
    <t>Reactor just mixing, no operation</t>
  </si>
  <si>
    <t>G-SBR fuse broken of PLC</t>
  </si>
  <si>
    <t>NH4-N sensor couldn't be calibrated run out of test-kits</t>
  </si>
  <si>
    <t>Jose site visit, refill buffer tank</t>
  </si>
  <si>
    <t>Reset reactor after maintenance</t>
  </si>
  <si>
    <t>Blower fuse tripped</t>
  </si>
  <si>
    <t>3 tankers of liquors to basingstoke, only little feed.</t>
  </si>
  <si>
    <t>Jose site visit</t>
  </si>
  <si>
    <t>Sludge blanket in inlet balancing tank</t>
  </si>
  <si>
    <t>1 QT</t>
  </si>
  <si>
    <t>0 QT</t>
  </si>
  <si>
    <t>2 QT</t>
  </si>
  <si>
    <t>3 QT</t>
  </si>
  <si>
    <t>4 QT</t>
  </si>
  <si>
    <t>Greater nitrification tendency? Looking at NO3/NH4 ratio</t>
  </si>
  <si>
    <t>Dissolved oxygen</t>
  </si>
  <si>
    <t>Reactor ammonia</t>
  </si>
  <si>
    <t>Nitrite to ammonia ratio for nitrite accumulation</t>
  </si>
  <si>
    <t>Limitation through alkalinity</t>
  </si>
  <si>
    <t>Biomass growth or decay an impact</t>
  </si>
  <si>
    <r>
      <t>SAA</t>
    </r>
    <r>
      <rPr>
        <vertAlign val="subscript"/>
        <sz val="11"/>
        <color theme="1"/>
        <rFont val="Calibri"/>
        <family val="2"/>
        <scheme val="minor"/>
      </rPr>
      <t>combined</t>
    </r>
    <r>
      <rPr>
        <sz val="11"/>
        <color theme="1"/>
        <rFont val="Calibri"/>
        <family val="2"/>
        <scheme val="minor"/>
      </rPr>
      <t xml:space="preserve">
(g N g VSS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</si>
  <si>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SAA</t>
    </r>
    <r>
      <rPr>
        <vertAlign val="subscript"/>
        <sz val="11"/>
        <color theme="1"/>
        <rFont val="Calibri"/>
        <family val="2"/>
        <scheme val="minor"/>
      </rPr>
      <t>carrier</t>
    </r>
    <r>
      <rPr>
        <sz val="11"/>
        <color theme="1"/>
        <rFont val="Calibri"/>
        <family val="2"/>
        <scheme val="minor"/>
      </rPr>
      <t xml:space="preserve">
(g N g VSS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</si>
  <si>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SAA</t>
    </r>
    <r>
      <rPr>
        <vertAlign val="subscript"/>
        <sz val="11"/>
        <color theme="1"/>
        <rFont val="Calibri"/>
        <family val="2"/>
        <scheme val="minor"/>
      </rPr>
      <t>suspension</t>
    </r>
    <r>
      <rPr>
        <sz val="11"/>
        <color theme="1"/>
        <rFont val="Calibri"/>
        <family val="2"/>
        <scheme val="minor"/>
      </rPr>
      <t xml:space="preserve">
(g N g VSS-1d-1)</t>
    </r>
  </si>
  <si>
    <r>
      <t>MLVSS per carrier 
(mg L</t>
    </r>
    <r>
      <rPr>
        <vertAlign val="superscript"/>
        <sz val="11"/>
        <color theme="1"/>
        <rFont val="Calibri"/>
        <family val="2"/>
        <scheme val="minor"/>
      </rPr>
      <t xml:space="preserve">-1 </t>
    </r>
    <r>
      <rPr>
        <sz val="11"/>
        <color theme="1"/>
        <rFont val="Calibri"/>
        <family val="2"/>
        <scheme val="minor"/>
      </rPr>
      <t>carrier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</si>
  <si>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SAA</t>
    </r>
    <r>
      <rPr>
        <vertAlign val="subscript"/>
        <sz val="11"/>
        <color theme="1"/>
        <rFont val="Calibri"/>
        <family val="2"/>
        <scheme val="minor"/>
      </rPr>
      <t>suspended</t>
    </r>
    <r>
      <rPr>
        <sz val="11"/>
        <color theme="1"/>
        <rFont val="Calibri"/>
        <family val="2"/>
        <scheme val="minor"/>
      </rPr>
      <t xml:space="preserve">
(g N g VSS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d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</si>
  <si>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MLVSS per carrier
(mg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carrier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</si>
  <si>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Did anammox activity influence the equal performance?</t>
  </si>
  <si>
    <t>Limitations G-SBR/S-SBR</t>
  </si>
  <si>
    <t>Limitations MEDIA/conv. SBR</t>
  </si>
  <si>
    <t>ARR</t>
  </si>
  <si>
    <t>Ammonia loading rate</t>
  </si>
  <si>
    <t>Nitrogen removal efficiency</t>
  </si>
  <si>
    <t>Ammonia removal rate</t>
  </si>
  <si>
    <t>AK</t>
  </si>
  <si>
    <t>AN</t>
  </si>
  <si>
    <t>AH</t>
  </si>
  <si>
    <t>Ammonia</t>
  </si>
  <si>
    <t>Alkalinity</t>
  </si>
  <si>
    <t>Temperature</t>
  </si>
  <si>
    <t>sC/N</t>
  </si>
  <si>
    <t>Min</t>
  </si>
  <si>
    <t>Q1 - MIN</t>
  </si>
  <si>
    <t>MED - Q1</t>
  </si>
  <si>
    <t>Q3 - MED</t>
  </si>
  <si>
    <t>Max - Q3</t>
  </si>
  <si>
    <t>effluent ammonia</t>
  </si>
  <si>
    <t>MED ARE</t>
  </si>
  <si>
    <t>MED NRE</t>
  </si>
  <si>
    <t>N-SBR</t>
  </si>
  <si>
    <t>Anammox activity</t>
  </si>
  <si>
    <t>Carrier</t>
  </si>
  <si>
    <t>Suspension</t>
  </si>
  <si>
    <t>AT, AU</t>
  </si>
  <si>
    <t xml:space="preserve">SRT </t>
  </si>
  <si>
    <t>AQ</t>
  </si>
  <si>
    <t>Ammonia removal efficiency</t>
  </si>
  <si>
    <r>
      <t>DEMON</t>
    </r>
    <r>
      <rPr>
        <b/>
        <sz val="11"/>
        <color theme="1"/>
        <rFont val="Calibri"/>
        <family val="2"/>
      </rPr>
      <t>®</t>
    </r>
  </si>
  <si>
    <r>
      <t>Anita</t>
    </r>
    <r>
      <rPr>
        <b/>
        <sz val="11"/>
        <color theme="1"/>
        <rFont val="Calibri"/>
        <family val="2"/>
      </rPr>
      <t>™MOX</t>
    </r>
  </si>
  <si>
    <t>LIMIT</t>
  </si>
  <si>
    <r>
      <t>ELAN</t>
    </r>
    <r>
      <rPr>
        <b/>
        <sz val="11"/>
        <color theme="1"/>
        <rFont val="Calibri"/>
        <family val="2"/>
      </rPr>
      <t>®</t>
    </r>
  </si>
  <si>
    <r>
      <t>CASS</t>
    </r>
    <r>
      <rPr>
        <b/>
        <sz val="11"/>
        <color theme="1"/>
        <rFont val="Calibri"/>
        <family val="2"/>
      </rPr>
      <t>™LTP</t>
    </r>
  </si>
  <si>
    <t>Ammonia residual to reach target</t>
  </si>
  <si>
    <t>Alkalinity need</t>
  </si>
  <si>
    <t>Alkalinity left</t>
  </si>
  <si>
    <t>Anita alk</t>
  </si>
  <si>
    <t>DEM alk</t>
  </si>
  <si>
    <t>ELA alk</t>
  </si>
  <si>
    <t>days were alkalinity is needed</t>
  </si>
  <si>
    <t>DEMON</t>
  </si>
  <si>
    <t>ANITAMOX</t>
  </si>
  <si>
    <t>ELAN</t>
  </si>
  <si>
    <t>MSAA (%)</t>
  </si>
  <si>
    <t>MSAA (%) biofilm</t>
  </si>
  <si>
    <t>MSAA (%) susp</t>
  </si>
  <si>
    <t>Return sludge (m3/d)</t>
  </si>
  <si>
    <t>SRT (d)</t>
  </si>
  <si>
    <t>ut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</si>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</sst>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"/>
    <numFmt numFmtId="165" formatCode="0.000"/>
    <numFmt numFmtId="166" formatCode="_-* #,##0.00\ _€_-;\-* #,##0.00\ _€_-;_-* &quot;-&quot;??\ _€_-;_-@_-"/>
    <numFmt numFmtId="167" formatCode="0.0000"/>
    <numFmt numFmtId="168" formatCode="0.0%"/>
    <numFmt numFmtId="169" formatCode="0.00000"/>
  </numFmts>
  <fonts count="47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3F3F3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11"/>
      <color theme="1" tint="0.249977111117893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Calibri"/>
      <family val="2"/>
    </font>
    <font>
      <sz val="11"/>
      <color theme="1" tint="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.8000000000000007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Arial"/>
      <family val="2"/>
    </font>
    <font>
      <vertAlign val="superscript"/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i/>
      <vertAlign val="subscript"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8.8000000000000007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theme="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 style="thin">
        <color indexed="64"/>
      </left>
      <right/>
      <top style="thin">
        <color indexed="64"/>
      </top>
      <bottom style="thick">
        <color theme="4"/>
      </bottom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 style="thin">
        <color indexed="64"/>
      </right>
      <top style="thin">
        <color indexed="64"/>
      </top>
      <bottom style="thick">
        <color theme="4"/>
      </bottom>
      <diagonal/>
    </border>
    <border>
      <left style="thin">
        <color indexed="64"/>
      </left>
      <right/>
      <top style="thick">
        <color theme="4" tint="0.499984740745262"/>
      </top>
      <bottom style="medium">
        <color theme="4" tint="0.39997558519241921"/>
      </bottom>
      <diagonal/>
    </border>
    <border>
      <left/>
      <right/>
      <top style="thick">
        <color theme="4" tint="0.499984740745262"/>
      </top>
      <bottom style="medium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medium">
        <color theme="4" tint="0.39997558519241921"/>
      </bottom>
      <diagonal/>
    </border>
    <border>
      <left/>
      <right/>
      <top style="thin">
        <color indexed="64"/>
      </top>
      <bottom style="medium">
        <color theme="4" tint="0.39997558519241921"/>
      </bottom>
      <diagonal/>
    </border>
    <border>
      <left/>
      <right style="thin">
        <color indexed="64"/>
      </right>
      <top style="thick">
        <color theme="4" tint="0.499984740745262"/>
      </top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medium">
        <color theme="4" tint="0.3999755851924192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ck">
        <color theme="4" tint="0.499984740745262"/>
      </top>
      <bottom/>
      <diagonal/>
    </border>
    <border>
      <left/>
      <right/>
      <top style="medium">
        <color theme="4" tint="0.3999755851924192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1"/>
      </bottom>
      <diagonal/>
    </border>
  </borders>
  <cellStyleXfs count="12">
    <xf numFmtId="0" fontId="0" fillId="0" borderId="0"/>
    <xf numFmtId="0" fontId="1" fillId="0" borderId="1" applyNumberFormat="0" applyFill="0" applyAlignment="0" applyProtection="0"/>
    <xf numFmtId="0" fontId="2" fillId="2" borderId="2" applyNumberFormat="0" applyAlignment="0" applyProtection="0"/>
    <xf numFmtId="0" fontId="3" fillId="0" borderId="0" applyNumberFormat="0" applyFill="0" applyBorder="0" applyAlignment="0" applyProtection="0"/>
    <xf numFmtId="9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8" fillId="0" borderId="0"/>
    <xf numFmtId="0" fontId="33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</cellStyleXfs>
  <cellXfs count="374">
    <xf numFmtId="0" fontId="0" fillId="0" borderId="0" xfId="0"/>
    <xf numFmtId="0" fontId="1" fillId="0" borderId="1" xfId="1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0" xfId="0" applyNumberFormat="1"/>
    <xf numFmtId="0" fontId="1" fillId="0" borderId="0" xfId="1" applyBorder="1"/>
    <xf numFmtId="2" fontId="0" fillId="0" borderId="0" xfId="0" applyNumberFormat="1"/>
    <xf numFmtId="0" fontId="0" fillId="0" borderId="7" xfId="0" applyBorder="1"/>
    <xf numFmtId="0" fontId="0" fillId="0" borderId="9" xfId="0" applyBorder="1"/>
    <xf numFmtId="0" fontId="0" fillId="0" borderId="8" xfId="0" applyBorder="1"/>
    <xf numFmtId="0" fontId="7" fillId="0" borderId="10" xfId="0" applyFont="1" applyBorder="1" applyAlignment="1">
      <alignment vertical="center"/>
    </xf>
    <xf numFmtId="0" fontId="7" fillId="0" borderId="0" xfId="0" applyFont="1" applyBorder="1"/>
    <xf numFmtId="0" fontId="0" fillId="0" borderId="0" xfId="0" applyBorder="1"/>
    <xf numFmtId="0" fontId="0" fillId="0" borderId="11" xfId="0" applyBorder="1"/>
    <xf numFmtId="0" fontId="7" fillId="0" borderId="10" xfId="0" applyFont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" fillId="2" borderId="3" xfId="2" applyBorder="1" applyAlignment="1">
      <alignment horizontal="center" vertical="center"/>
    </xf>
    <xf numFmtId="164" fontId="0" fillId="0" borderId="0" xfId="0" applyNumberFormat="1"/>
    <xf numFmtId="165" fontId="0" fillId="0" borderId="0" xfId="0" applyNumberFormat="1"/>
    <xf numFmtId="9" fontId="0" fillId="0" borderId="0" xfId="4" applyFont="1"/>
    <xf numFmtId="1" fontId="0" fillId="0" borderId="0" xfId="0" applyNumberFormat="1"/>
    <xf numFmtId="9" fontId="0" fillId="0" borderId="0" xfId="0" applyNumberFormat="1"/>
    <xf numFmtId="0" fontId="0" fillId="8" borderId="0" xfId="0" applyFill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9" fontId="0" fillId="0" borderId="0" xfId="4" applyNumberFormat="1" applyFont="1"/>
    <xf numFmtId="0" fontId="7" fillId="0" borderId="0" xfId="0" applyFont="1"/>
    <xf numFmtId="2" fontId="7" fillId="0" borderId="0" xfId="0" applyNumberFormat="1" applyFont="1"/>
    <xf numFmtId="0" fontId="0" fillId="0" borderId="0" xfId="0"/>
    <xf numFmtId="0" fontId="0" fillId="0" borderId="0" xfId="0" applyFill="1"/>
    <xf numFmtId="0" fontId="4" fillId="0" borderId="0" xfId="3" applyFont="1" applyFill="1" applyAlignment="1"/>
    <xf numFmtId="0" fontId="0" fillId="0" borderId="10" xfId="0" applyBorder="1"/>
    <xf numFmtId="9" fontId="0" fillId="0" borderId="0" xfId="4" applyFont="1" applyBorder="1"/>
    <xf numFmtId="0" fontId="0" fillId="0" borderId="0" xfId="0" applyBorder="1" applyAlignment="1"/>
    <xf numFmtId="0" fontId="0" fillId="0" borderId="0" xfId="0" applyAlignment="1"/>
    <xf numFmtId="0" fontId="13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3" fillId="0" borderId="10" xfId="0" applyFont="1" applyBorder="1" applyAlignment="1">
      <alignment horizontal="left" vertical="center" wrapText="1"/>
    </xf>
    <xf numFmtId="0" fontId="6" fillId="0" borderId="16" xfId="0" applyFont="1" applyBorder="1"/>
    <xf numFmtId="0" fontId="16" fillId="0" borderId="0" xfId="0" applyFont="1" applyAlignment="1"/>
    <xf numFmtId="1" fontId="7" fillId="0" borderId="0" xfId="0" applyNumberFormat="1" applyFont="1"/>
    <xf numFmtId="164" fontId="7" fillId="0" borderId="0" xfId="0" applyNumberFormat="1" applyFont="1"/>
    <xf numFmtId="0" fontId="5" fillId="3" borderId="3" xfId="0" applyFont="1" applyFill="1" applyBorder="1"/>
    <xf numFmtId="0" fontId="17" fillId="3" borderId="3" xfId="0" applyFont="1" applyFill="1" applyBorder="1"/>
    <xf numFmtId="0" fontId="5" fillId="8" borderId="3" xfId="0" applyFont="1" applyFill="1" applyBorder="1" applyAlignment="1">
      <alignment horizontal="center"/>
    </xf>
    <xf numFmtId="0" fontId="4" fillId="0" borderId="0" xfId="3" applyFont="1" applyFill="1" applyBorder="1" applyAlignment="1"/>
    <xf numFmtId="0" fontId="14" fillId="0" borderId="0" xfId="0" applyFont="1" applyAlignment="1">
      <alignment horizontal="center" vertical="center" wrapText="1"/>
    </xf>
    <xf numFmtId="2" fontId="0" fillId="0" borderId="0" xfId="4" applyNumberFormat="1" applyFont="1"/>
    <xf numFmtId="0" fontId="0" fillId="0" borderId="0" xfId="0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5" fillId="0" borderId="10" xfId="0" applyFont="1" applyBorder="1"/>
    <xf numFmtId="165" fontId="15" fillId="0" borderId="0" xfId="0" applyNumberFormat="1" applyFont="1" applyBorder="1" applyAlignment="1">
      <alignment horizontal="center" vertical="center"/>
    </xf>
    <xf numFmtId="165" fontId="0" fillId="0" borderId="0" xfId="0" applyNumberFormat="1" applyBorder="1" applyAlignment="1">
      <alignment vertical="center"/>
    </xf>
    <xf numFmtId="165" fontId="0" fillId="0" borderId="0" xfId="0" applyNumberFormat="1" applyBorder="1"/>
    <xf numFmtId="0" fontId="0" fillId="0" borderId="3" xfId="0" applyBorder="1"/>
    <xf numFmtId="0" fontId="0" fillId="0" borderId="3" xfId="0" applyBorder="1" applyAlignment="1">
      <alignment horizontal="left"/>
    </xf>
    <xf numFmtId="0" fontId="5" fillId="10" borderId="3" xfId="0" applyFont="1" applyFill="1" applyBorder="1" applyAlignment="1">
      <alignment vertical="top" wrapText="1"/>
    </xf>
    <xf numFmtId="0" fontId="0" fillId="10" borderId="3" xfId="0" applyFill="1" applyBorder="1" applyAlignment="1">
      <alignment vertical="top" wrapText="1"/>
    </xf>
    <xf numFmtId="0" fontId="0" fillId="10" borderId="3" xfId="0" applyFill="1" applyBorder="1" applyAlignment="1">
      <alignment horizontal="left" vertical="top" wrapText="1"/>
    </xf>
    <xf numFmtId="0" fontId="0" fillId="0" borderId="3" xfId="0" applyBorder="1" applyAlignment="1"/>
    <xf numFmtId="0" fontId="0" fillId="0" borderId="0" xfId="0" applyFill="1" applyBorder="1"/>
    <xf numFmtId="0" fontId="3" fillId="0" borderId="0" xfId="3" applyFill="1" applyBorder="1" applyAlignment="1"/>
    <xf numFmtId="0" fontId="4" fillId="0" borderId="0" xfId="3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164" fontId="0" fillId="0" borderId="0" xfId="0" applyNumberFormat="1" applyBorder="1"/>
    <xf numFmtId="0" fontId="16" fillId="8" borderId="6" xfId="0" applyFont="1" applyFill="1" applyBorder="1" applyAlignment="1">
      <alignment horizontal="center"/>
    </xf>
    <xf numFmtId="164" fontId="30" fillId="0" borderId="3" xfId="0" applyNumberFormat="1" applyFont="1" applyBorder="1"/>
    <xf numFmtId="1" fontId="30" fillId="0" borderId="3" xfId="0" applyNumberFormat="1" applyFont="1" applyBorder="1"/>
    <xf numFmtId="2" fontId="30" fillId="0" borderId="3" xfId="4" applyNumberFormat="1" applyFont="1" applyBorder="1"/>
    <xf numFmtId="9" fontId="30" fillId="0" borderId="3" xfId="4" applyFont="1" applyBorder="1"/>
    <xf numFmtId="2" fontId="30" fillId="0" borderId="3" xfId="0" applyNumberFormat="1" applyFont="1" applyBorder="1"/>
    <xf numFmtId="165" fontId="30" fillId="0" borderId="3" xfId="0" applyNumberFormat="1" applyFont="1" applyBorder="1"/>
    <xf numFmtId="0" fontId="30" fillId="0" borderId="0" xfId="0" applyFont="1"/>
    <xf numFmtId="10" fontId="0" fillId="0" borderId="0" xfId="4" applyNumberFormat="1" applyFont="1"/>
    <xf numFmtId="0" fontId="5" fillId="3" borderId="19" xfId="0" applyFont="1" applyFill="1" applyBorder="1"/>
    <xf numFmtId="9" fontId="30" fillId="0" borderId="19" xfId="4" applyFont="1" applyBorder="1"/>
    <xf numFmtId="2" fontId="30" fillId="0" borderId="19" xfId="0" applyNumberFormat="1" applyFont="1" applyBorder="1"/>
    <xf numFmtId="165" fontId="30" fillId="0" borderId="19" xfId="0" applyNumberFormat="1" applyFont="1" applyBorder="1"/>
    <xf numFmtId="164" fontId="30" fillId="0" borderId="19" xfId="0" applyNumberFormat="1" applyFont="1" applyBorder="1"/>
    <xf numFmtId="1" fontId="30" fillId="0" borderId="19" xfId="0" applyNumberFormat="1" applyFont="1" applyBorder="1"/>
    <xf numFmtId="0" fontId="17" fillId="3" borderId="20" xfId="0" applyFont="1" applyFill="1" applyBorder="1"/>
    <xf numFmtId="9" fontId="30" fillId="0" borderId="20" xfId="4" applyFont="1" applyBorder="1"/>
    <xf numFmtId="2" fontId="30" fillId="0" borderId="20" xfId="4" applyNumberFormat="1" applyFont="1" applyBorder="1"/>
    <xf numFmtId="0" fontId="17" fillId="3" borderId="17" xfId="0" applyFont="1" applyFill="1" applyBorder="1"/>
    <xf numFmtId="9" fontId="30" fillId="0" borderId="17" xfId="4" applyFont="1" applyBorder="1"/>
    <xf numFmtId="165" fontId="30" fillId="0" borderId="17" xfId="4" applyNumberFormat="1" applyFont="1" applyBorder="1"/>
    <xf numFmtId="2" fontId="30" fillId="0" borderId="17" xfId="4" applyNumberFormat="1" applyFont="1" applyBorder="1"/>
    <xf numFmtId="164" fontId="30" fillId="0" borderId="17" xfId="4" applyNumberFormat="1" applyFont="1" applyBorder="1"/>
    <xf numFmtId="165" fontId="30" fillId="0" borderId="20" xfId="4" applyNumberFormat="1" applyFont="1" applyBorder="1"/>
    <xf numFmtId="0" fontId="5" fillId="14" borderId="19" xfId="0" applyFont="1" applyFill="1" applyBorder="1" applyAlignment="1">
      <alignment vertical="center"/>
    </xf>
    <xf numFmtId="0" fontId="5" fillId="14" borderId="3" xfId="0" applyFont="1" applyFill="1" applyBorder="1" applyAlignment="1">
      <alignment vertical="center"/>
    </xf>
    <xf numFmtId="9" fontId="0" fillId="13" borderId="3" xfId="0" applyNumberFormat="1" applyFill="1" applyBorder="1"/>
    <xf numFmtId="2" fontId="0" fillId="13" borderId="3" xfId="0" applyNumberFormat="1" applyFill="1" applyBorder="1"/>
    <xf numFmtId="9" fontId="0" fillId="13" borderId="19" xfId="0" applyNumberFormat="1" applyFill="1" applyBorder="1"/>
    <xf numFmtId="2" fontId="0" fillId="13" borderId="19" xfId="0" applyNumberFormat="1" applyFill="1" applyBorder="1"/>
    <xf numFmtId="0" fontId="5" fillId="3" borderId="22" xfId="0" applyFont="1" applyFill="1" applyBorder="1"/>
    <xf numFmtId="9" fontId="30" fillId="0" borderId="22" xfId="4" applyFont="1" applyBorder="1"/>
    <xf numFmtId="2" fontId="30" fillId="0" borderId="22" xfId="0" applyNumberFormat="1" applyFont="1" applyBorder="1"/>
    <xf numFmtId="165" fontId="30" fillId="0" borderId="22" xfId="0" applyNumberFormat="1" applyFont="1" applyBorder="1"/>
    <xf numFmtId="164" fontId="30" fillId="0" borderId="22" xfId="0" applyNumberFormat="1" applyFont="1" applyBorder="1"/>
    <xf numFmtId="1" fontId="30" fillId="0" borderId="22" xfId="0" applyNumberFormat="1" applyFont="1" applyBorder="1"/>
    <xf numFmtId="1" fontId="30" fillId="0" borderId="3" xfId="4" applyNumberFormat="1" applyFont="1" applyBorder="1"/>
    <xf numFmtId="0" fontId="0" fillId="13" borderId="3" xfId="0" applyNumberFormat="1" applyFill="1" applyBorder="1"/>
    <xf numFmtId="1" fontId="30" fillId="0" borderId="17" xfId="4" applyNumberFormat="1" applyFont="1" applyBorder="1"/>
    <xf numFmtId="165" fontId="30" fillId="0" borderId="3" xfId="4" applyNumberFormat="1" applyFont="1" applyBorder="1"/>
    <xf numFmtId="165" fontId="0" fillId="13" borderId="3" xfId="0" applyNumberFormat="1" applyFill="1" applyBorder="1"/>
    <xf numFmtId="0" fontId="5" fillId="12" borderId="18" xfId="0" applyFont="1" applyFill="1" applyBorder="1" applyAlignment="1">
      <alignment horizontal="center"/>
    </xf>
    <xf numFmtId="164" fontId="30" fillId="0" borderId="21" xfId="4" applyNumberFormat="1" applyFont="1" applyBorder="1"/>
    <xf numFmtId="164" fontId="30" fillId="0" borderId="3" xfId="4" applyNumberFormat="1" applyFont="1" applyBorder="1"/>
    <xf numFmtId="0" fontId="0" fillId="5" borderId="0" xfId="0" applyFill="1" applyAlignment="1">
      <alignment horizontal="center" vertical="center" wrapText="1"/>
    </xf>
    <xf numFmtId="164" fontId="30" fillId="0" borderId="17" xfId="0" applyNumberFormat="1" applyFont="1" applyBorder="1"/>
    <xf numFmtId="0" fontId="0" fillId="15" borderId="0" xfId="0" applyFill="1"/>
    <xf numFmtId="14" fontId="5" fillId="0" borderId="0" xfId="0" applyNumberFormat="1" applyFont="1"/>
    <xf numFmtId="164" fontId="0" fillId="0" borderId="0" xfId="4" applyNumberFormat="1" applyFont="1"/>
    <xf numFmtId="0" fontId="7" fillId="0" borderId="0" xfId="0" applyNumberFormat="1" applyFont="1"/>
    <xf numFmtId="0" fontId="5" fillId="8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32" fillId="0" borderId="0" xfId="0" applyFont="1"/>
    <xf numFmtId="2" fontId="32" fillId="0" borderId="0" xfId="0" applyNumberFormat="1" applyFont="1"/>
    <xf numFmtId="1" fontId="0" fillId="0" borderId="0" xfId="0" applyNumberFormat="1" applyBorder="1"/>
    <xf numFmtId="0" fontId="0" fillId="15" borderId="0" xfId="0" applyFill="1" applyBorder="1"/>
    <xf numFmtId="2" fontId="32" fillId="0" borderId="0" xfId="0" applyNumberFormat="1" applyFont="1" applyFill="1"/>
    <xf numFmtId="0" fontId="5" fillId="12" borderId="3" xfId="0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15" borderId="0" xfId="0" applyFill="1" applyAlignment="1"/>
    <xf numFmtId="0" fontId="0" fillId="15" borderId="0" xfId="0" applyFill="1" applyBorder="1" applyAlignment="1"/>
    <xf numFmtId="0" fontId="34" fillId="15" borderId="0" xfId="0" applyFont="1" applyFill="1"/>
    <xf numFmtId="0" fontId="2" fillId="2" borderId="19" xfId="2" applyBorder="1" applyAlignment="1">
      <alignment horizontal="center" vertical="center"/>
    </xf>
    <xf numFmtId="0" fontId="10" fillId="0" borderId="0" xfId="6"/>
    <xf numFmtId="0" fontId="16" fillId="15" borderId="0" xfId="0" applyFont="1" applyFill="1"/>
    <xf numFmtId="0" fontId="29" fillId="15" borderId="0" xfId="0" applyFont="1" applyFill="1" applyAlignment="1"/>
    <xf numFmtId="0" fontId="16" fillId="15" borderId="0" xfId="0" applyFont="1" applyFill="1" applyAlignment="1"/>
    <xf numFmtId="0" fontId="33" fillId="0" borderId="13" xfId="9" applyBorder="1"/>
    <xf numFmtId="0" fontId="33" fillId="0" borderId="0" xfId="9" applyBorder="1"/>
    <xf numFmtId="0" fontId="0" fillId="5" borderId="0" xfId="0" applyFill="1"/>
    <xf numFmtId="164" fontId="38" fillId="0" borderId="0" xfId="0" applyNumberFormat="1" applyFont="1"/>
    <xf numFmtId="0" fontId="38" fillId="0" borderId="0" xfId="0" applyNumberFormat="1" applyFont="1"/>
    <xf numFmtId="0" fontId="0" fillId="0" borderId="0" xfId="0" applyBorder="1" applyAlignment="1">
      <alignment horizontal="center"/>
    </xf>
    <xf numFmtId="0" fontId="0" fillId="0" borderId="27" xfId="0" applyBorder="1"/>
    <xf numFmtId="0" fontId="0" fillId="0" borderId="16" xfId="0" applyBorder="1"/>
    <xf numFmtId="0" fontId="33" fillId="0" borderId="12" xfId="9" applyBorder="1" applyAlignment="1">
      <alignment horizontal="right"/>
    </xf>
    <xf numFmtId="0" fontId="0" fillId="16" borderId="0" xfId="0" applyFill="1" applyBorder="1"/>
    <xf numFmtId="0" fontId="0" fillId="16" borderId="13" xfId="0" applyFill="1" applyBorder="1"/>
    <xf numFmtId="0" fontId="0" fillId="16" borderId="27" xfId="0" applyFill="1" applyBorder="1"/>
    <xf numFmtId="0" fontId="33" fillId="0" borderId="13" xfId="9" applyBorder="1" applyAlignment="1">
      <alignment horizontal="right"/>
    </xf>
    <xf numFmtId="0" fontId="38" fillId="0" borderId="0" xfId="0" applyFont="1"/>
    <xf numFmtId="2" fontId="38" fillId="0" borderId="0" xfId="0" applyNumberFormat="1" applyFont="1"/>
    <xf numFmtId="1" fontId="38" fillId="0" borderId="0" xfId="0" applyNumberFormat="1" applyFont="1"/>
    <xf numFmtId="2" fontId="39" fillId="0" borderId="0" xfId="4" applyNumberFormat="1" applyFont="1"/>
    <xf numFmtId="0" fontId="0" fillId="5" borderId="0" xfId="0" applyFill="1" applyBorder="1"/>
    <xf numFmtId="0" fontId="0" fillId="5" borderId="13" xfId="0" applyFill="1" applyBorder="1"/>
    <xf numFmtId="0" fontId="0" fillId="0" borderId="13" xfId="0" applyFill="1" applyBorder="1"/>
    <xf numFmtId="0" fontId="0" fillId="0" borderId="27" xfId="0" applyFill="1" applyBorder="1"/>
    <xf numFmtId="164" fontId="0" fillId="0" borderId="13" xfId="0" applyNumberFormat="1" applyBorder="1"/>
    <xf numFmtId="164" fontId="0" fillId="0" borderId="27" xfId="0" applyNumberFormat="1" applyBorder="1"/>
    <xf numFmtId="1" fontId="0" fillId="0" borderId="27" xfId="0" applyNumberFormat="1" applyBorder="1"/>
    <xf numFmtId="0" fontId="0" fillId="5" borderId="10" xfId="0" applyFill="1" applyBorder="1"/>
    <xf numFmtId="0" fontId="0" fillId="5" borderId="11" xfId="0" applyFill="1" applyBorder="1"/>
    <xf numFmtId="0" fontId="0" fillId="5" borderId="12" xfId="0" applyFill="1" applyBorder="1"/>
    <xf numFmtId="0" fontId="0" fillId="5" borderId="14" xfId="0" applyFill="1" applyBorder="1"/>
    <xf numFmtId="0" fontId="0" fillId="0" borderId="7" xfId="0" applyBorder="1" applyAlignment="1">
      <alignment horizontal="center" vertical="center"/>
    </xf>
    <xf numFmtId="0" fontId="0" fillId="16" borderId="11" xfId="0" applyFill="1" applyBorder="1"/>
    <xf numFmtId="0" fontId="0" fillId="16" borderId="14" xfId="0" applyFill="1" applyBorder="1"/>
    <xf numFmtId="0" fontId="0" fillId="16" borderId="23" xfId="0" applyFill="1" applyBorder="1"/>
    <xf numFmtId="164" fontId="32" fillId="0" borderId="0" xfId="0" applyNumberFormat="1" applyFont="1"/>
    <xf numFmtId="0" fontId="14" fillId="0" borderId="0" xfId="0" applyFont="1" applyBorder="1"/>
    <xf numFmtId="0" fontId="1" fillId="9" borderId="1" xfId="1" applyFill="1"/>
    <xf numFmtId="0" fontId="0" fillId="0" borderId="0" xfId="0" applyAlignment="1">
      <alignment horizontal="center"/>
    </xf>
    <xf numFmtId="167" fontId="0" fillId="0" borderId="0" xfId="0" applyNumberFormat="1"/>
    <xf numFmtId="0" fontId="35" fillId="4" borderId="25" xfId="10" applyFill="1"/>
    <xf numFmtId="1" fontId="35" fillId="4" borderId="25" xfId="10" applyNumberFormat="1" applyFill="1"/>
    <xf numFmtId="2" fontId="35" fillId="4" borderId="25" xfId="10" applyNumberFormat="1" applyFill="1"/>
    <xf numFmtId="0" fontId="33" fillId="0" borderId="0" xfId="9"/>
    <xf numFmtId="0" fontId="40" fillId="0" borderId="13" xfId="0" applyFont="1" applyBorder="1"/>
    <xf numFmtId="1" fontId="6" fillId="0" borderId="40" xfId="0" applyNumberFormat="1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2" fontId="6" fillId="0" borderId="40" xfId="0" applyNumberFormat="1" applyFont="1" applyBorder="1" applyAlignment="1">
      <alignment horizontal="center"/>
    </xf>
    <xf numFmtId="1" fontId="0" fillId="0" borderId="9" xfId="0" applyNumberFormat="1" applyBorder="1"/>
    <xf numFmtId="2" fontId="0" fillId="0" borderId="9" xfId="0" applyNumberFormat="1" applyBorder="1"/>
    <xf numFmtId="1" fontId="0" fillId="0" borderId="13" xfId="0" applyNumberFormat="1" applyBorder="1"/>
    <xf numFmtId="2" fontId="0" fillId="0" borderId="13" xfId="0" applyNumberFormat="1" applyBorder="1"/>
    <xf numFmtId="1" fontId="33" fillId="0" borderId="0" xfId="9" applyNumberFormat="1"/>
    <xf numFmtId="0" fontId="36" fillId="0" borderId="36" xfId="11" applyBorder="1" applyAlignment="1">
      <alignment horizontal="center"/>
    </xf>
    <xf numFmtId="0" fontId="36" fillId="0" borderId="37" xfId="11" applyBorder="1" applyAlignment="1">
      <alignment horizontal="center"/>
    </xf>
    <xf numFmtId="0" fontId="36" fillId="0" borderId="39" xfId="11" applyBorder="1" applyAlignment="1">
      <alignment horizontal="center"/>
    </xf>
    <xf numFmtId="0" fontId="36" fillId="0" borderId="34" xfId="11" applyBorder="1" applyAlignment="1">
      <alignment horizontal="center"/>
    </xf>
    <xf numFmtId="0" fontId="36" fillId="0" borderId="35" xfId="11" applyBorder="1" applyAlignment="1">
      <alignment horizontal="center"/>
    </xf>
    <xf numFmtId="0" fontId="36" fillId="0" borderId="38" xfId="11" applyBorder="1" applyAlignment="1">
      <alignment horizontal="center"/>
    </xf>
    <xf numFmtId="2" fontId="0" fillId="0" borderId="0" xfId="0" applyNumberFormat="1" applyBorder="1"/>
    <xf numFmtId="0" fontId="5" fillId="6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168" fontId="0" fillId="0" borderId="0" xfId="4" applyNumberFormat="1" applyFont="1" applyBorder="1"/>
    <xf numFmtId="0" fontId="0" fillId="0" borderId="0" xfId="0" applyFont="1" applyFill="1" applyBorder="1"/>
    <xf numFmtId="0" fontId="5" fillId="2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9" fontId="0" fillId="0" borderId="0" xfId="0" applyNumberFormat="1"/>
    <xf numFmtId="14" fontId="5" fillId="15" borderId="0" xfId="0" applyNumberFormat="1" applyFont="1" applyFill="1"/>
    <xf numFmtId="2" fontId="7" fillId="15" borderId="0" xfId="0" applyNumberFormat="1" applyFont="1" applyFill="1"/>
    <xf numFmtId="164" fontId="7" fillId="15" borderId="0" xfId="0" applyNumberFormat="1" applyFont="1" applyFill="1"/>
    <xf numFmtId="0" fontId="7" fillId="15" borderId="0" xfId="0" applyFont="1" applyFill="1"/>
    <xf numFmtId="0" fontId="0" fillId="15" borderId="0" xfId="0" applyNumberFormat="1" applyFill="1"/>
    <xf numFmtId="165" fontId="0" fillId="15" borderId="0" xfId="0" applyNumberFormat="1" applyFill="1"/>
    <xf numFmtId="2" fontId="0" fillId="15" borderId="0" xfId="0" applyNumberFormat="1" applyFill="1"/>
    <xf numFmtId="9" fontId="0" fillId="15" borderId="0" xfId="4" applyNumberFormat="1" applyFont="1" applyFill="1"/>
    <xf numFmtId="2" fontId="0" fillId="15" borderId="0" xfId="4" applyNumberFormat="1" applyFont="1" applyFill="1"/>
    <xf numFmtId="164" fontId="0" fillId="15" borderId="0" xfId="0" applyNumberFormat="1" applyFill="1"/>
    <xf numFmtId="164" fontId="0" fillId="15" borderId="0" xfId="4" applyNumberFormat="1" applyFont="1" applyFill="1"/>
    <xf numFmtId="0" fontId="0" fillId="11" borderId="0" xfId="0" applyFill="1"/>
    <xf numFmtId="1" fontId="0" fillId="15" borderId="0" xfId="0" applyNumberFormat="1" applyFill="1"/>
    <xf numFmtId="0" fontId="5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5" fillId="11" borderId="0" xfId="0" applyFon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5" fillId="8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0" fillId="21" borderId="0" xfId="0" applyFill="1"/>
    <xf numFmtId="0" fontId="0" fillId="21" borderId="0" xfId="0" applyFill="1" applyBorder="1"/>
    <xf numFmtId="0" fontId="0" fillId="22" borderId="0" xfId="0" applyFill="1"/>
    <xf numFmtId="0" fontId="44" fillId="23" borderId="0" xfId="0" applyFont="1" applyFill="1"/>
    <xf numFmtId="0" fontId="45" fillId="23" borderId="0" xfId="0" applyFont="1" applyFill="1"/>
    <xf numFmtId="0" fontId="0" fillId="0" borderId="0" xfId="4" applyNumberFormat="1" applyFont="1"/>
    <xf numFmtId="2" fontId="0" fillId="0" borderId="0" xfId="0" applyNumberFormat="1" applyAlignment="1">
      <alignment wrapText="1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5" fillId="0" borderId="0" xfId="0" applyFont="1"/>
    <xf numFmtId="0" fontId="0" fillId="23" borderId="0" xfId="0" applyFill="1"/>
    <xf numFmtId="0" fontId="6" fillId="0" borderId="7" xfId="0" applyFont="1" applyBorder="1"/>
    <xf numFmtId="0" fontId="5" fillId="0" borderId="10" xfId="0" applyFont="1" applyFill="1" applyBorder="1"/>
    <xf numFmtId="0" fontId="5" fillId="0" borderId="12" xfId="0" applyFont="1" applyFill="1" applyBorder="1"/>
    <xf numFmtId="0" fontId="0" fillId="0" borderId="13" xfId="0" applyBorder="1" applyAlignment="1">
      <alignment horizontal="center"/>
    </xf>
    <xf numFmtId="0" fontId="14" fillId="0" borderId="12" xfId="0" applyFont="1" applyBorder="1" applyAlignment="1">
      <alignment horizontal="center" vertical="center"/>
    </xf>
    <xf numFmtId="0" fontId="46" fillId="0" borderId="0" xfId="0" applyFont="1" applyFill="1" applyBorder="1"/>
    <xf numFmtId="0" fontId="46" fillId="0" borderId="0" xfId="0" applyFont="1" applyBorder="1"/>
    <xf numFmtId="0" fontId="46" fillId="0" borderId="0" xfId="0" applyFont="1"/>
    <xf numFmtId="0" fontId="5" fillId="0" borderId="0" xfId="0" applyNumberFormat="1" applyFont="1" applyAlignment="1">
      <alignment horizontal="center"/>
    </xf>
    <xf numFmtId="0" fontId="7" fillId="0" borderId="13" xfId="0" applyFont="1" applyBorder="1"/>
    <xf numFmtId="2" fontId="0" fillId="0" borderId="3" xfId="0" applyNumberFormat="1" applyBorder="1"/>
    <xf numFmtId="0" fontId="5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21" borderId="0" xfId="0" applyFont="1" applyFill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7" fontId="5" fillId="0" borderId="0" xfId="0" applyNumberFormat="1" applyFont="1"/>
    <xf numFmtId="17" fontId="0" fillId="0" borderId="0" xfId="0" applyNumberFormat="1"/>
    <xf numFmtId="0" fontId="5" fillId="0" borderId="17" xfId="0" applyFont="1" applyBorder="1" applyAlignment="1">
      <alignment horizontal="center"/>
    </xf>
    <xf numFmtId="0" fontId="5" fillId="0" borderId="3" xfId="0" applyFont="1" applyBorder="1"/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0" fontId="0" fillId="0" borderId="0" xfId="0" applyNumberFormat="1"/>
    <xf numFmtId="9" fontId="0" fillId="15" borderId="0" xfId="4" applyFont="1" applyFill="1"/>
    <xf numFmtId="0" fontId="0" fillId="0" borderId="0" xfId="0" applyAlignment="1">
      <alignment horizontal="center"/>
    </xf>
    <xf numFmtId="165" fontId="0" fillId="0" borderId="0" xfId="4" applyNumberFormat="1" applyFont="1"/>
    <xf numFmtId="167" fontId="0" fillId="0" borderId="0" xfId="4" applyNumberFormat="1" applyFont="1"/>
    <xf numFmtId="169" fontId="0" fillId="0" borderId="0" xfId="4" applyNumberFormat="1" applyFont="1"/>
    <xf numFmtId="0" fontId="0" fillId="0" borderId="53" xfId="0" applyBorder="1"/>
    <xf numFmtId="0" fontId="0" fillId="0" borderId="52" xfId="0" applyBorder="1"/>
    <xf numFmtId="0" fontId="0" fillId="15" borderId="9" xfId="0" applyFill="1" applyBorder="1"/>
    <xf numFmtId="9" fontId="0" fillId="0" borderId="45" xfId="0" applyNumberFormat="1" applyBorder="1"/>
    <xf numFmtId="9" fontId="0" fillId="0" borderId="46" xfId="0" applyNumberFormat="1" applyBorder="1"/>
    <xf numFmtId="0" fontId="0" fillId="0" borderId="0" xfId="0" applyAlignment="1">
      <alignment horizontal="center"/>
    </xf>
    <xf numFmtId="2" fontId="0" fillId="0" borderId="45" xfId="4" applyNumberFormat="1" applyFont="1" applyBorder="1"/>
    <xf numFmtId="2" fontId="0" fillId="0" borderId="46" xfId="4" applyNumberFormat="1" applyFont="1" applyBorder="1"/>
    <xf numFmtId="0" fontId="5" fillId="0" borderId="54" xfId="0" applyFont="1" applyBorder="1"/>
    <xf numFmtId="165" fontId="5" fillId="0" borderId="0" xfId="0" applyNumberFormat="1" applyFont="1"/>
    <xf numFmtId="164" fontId="5" fillId="0" borderId="0" xfId="0" applyNumberFormat="1" applyFont="1"/>
    <xf numFmtId="0" fontId="0" fillId="0" borderId="3" xfId="0" applyBorder="1" applyAlignment="1">
      <alignment horizontal="left"/>
    </xf>
    <xf numFmtId="0" fontId="35" fillId="18" borderId="25" xfId="10" applyFill="1" applyAlignment="1">
      <alignment horizontal="center"/>
    </xf>
    <xf numFmtId="0" fontId="5" fillId="19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35" fillId="17" borderId="28" xfId="10" applyFill="1" applyBorder="1" applyAlignment="1">
      <alignment horizontal="center"/>
    </xf>
    <xf numFmtId="0" fontId="35" fillId="17" borderId="29" xfId="10" applyFill="1" applyBorder="1" applyAlignment="1">
      <alignment horizontal="center"/>
    </xf>
    <xf numFmtId="0" fontId="35" fillId="17" borderId="30" xfId="10" applyFill="1" applyBorder="1" applyAlignment="1">
      <alignment horizontal="center"/>
    </xf>
    <xf numFmtId="0" fontId="1" fillId="0" borderId="31" xfId="1" applyBorder="1" applyAlignment="1">
      <alignment horizontal="center"/>
    </xf>
    <xf numFmtId="0" fontId="1" fillId="0" borderId="32" xfId="1" applyBorder="1" applyAlignment="1">
      <alignment horizontal="center"/>
    </xf>
    <xf numFmtId="0" fontId="1" fillId="0" borderId="33" xfId="1" applyBorder="1" applyAlignment="1">
      <alignment horizontal="center"/>
    </xf>
    <xf numFmtId="0" fontId="12" fillId="0" borderId="4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0" fontId="5" fillId="10" borderId="4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/>
    </xf>
    <xf numFmtId="0" fontId="5" fillId="10" borderId="4" xfId="0" applyFont="1" applyFill="1" applyBorder="1" applyAlignment="1">
      <alignment horizontal="left" vertical="top"/>
    </xf>
    <xf numFmtId="0" fontId="5" fillId="10" borderId="5" xfId="0" applyFont="1" applyFill="1" applyBorder="1" applyAlignment="1">
      <alignment horizontal="left" vertical="top"/>
    </xf>
    <xf numFmtId="0" fontId="5" fillId="10" borderId="6" xfId="0" applyFont="1" applyFill="1" applyBorder="1" applyAlignment="1">
      <alignment horizontal="left" vertical="top"/>
    </xf>
    <xf numFmtId="0" fontId="5" fillId="10" borderId="3" xfId="0" applyFont="1" applyFill="1" applyBorder="1" applyAlignment="1">
      <alignment vertical="top"/>
    </xf>
    <xf numFmtId="0" fontId="0" fillId="10" borderId="3" xfId="0" applyFill="1" applyBorder="1" applyAlignment="1">
      <alignment vertical="top"/>
    </xf>
    <xf numFmtId="0" fontId="3" fillId="2" borderId="3" xfId="3" applyFill="1" applyBorder="1" applyAlignment="1">
      <alignment horizontal="center" vertical="center"/>
    </xf>
    <xf numFmtId="0" fontId="3" fillId="2" borderId="24" xfId="3" applyFill="1" applyBorder="1" applyAlignment="1">
      <alignment horizontal="center" vertical="center"/>
    </xf>
    <xf numFmtId="0" fontId="0" fillId="7" borderId="7" xfId="0" quotePrefix="1" applyFill="1" applyBorder="1" applyAlignment="1">
      <alignment horizontal="left" wrapText="1"/>
    </xf>
    <xf numFmtId="0" fontId="0" fillId="7" borderId="9" xfId="0" quotePrefix="1" applyFill="1" applyBorder="1" applyAlignment="1">
      <alignment horizontal="left" wrapText="1"/>
    </xf>
    <xf numFmtId="0" fontId="0" fillId="7" borderId="8" xfId="0" quotePrefix="1" applyFill="1" applyBorder="1" applyAlignment="1">
      <alignment horizontal="left" wrapText="1"/>
    </xf>
    <xf numFmtId="0" fontId="35" fillId="14" borderId="28" xfId="10" applyFill="1" applyBorder="1" applyAlignment="1">
      <alignment horizontal="center" vertical="center"/>
    </xf>
    <xf numFmtId="0" fontId="35" fillId="14" borderId="29" xfId="10" applyFill="1" applyBorder="1" applyAlignment="1">
      <alignment horizontal="center" vertical="center"/>
    </xf>
    <xf numFmtId="0" fontId="35" fillId="14" borderId="30" xfId="10" applyFill="1" applyBorder="1" applyAlignment="1">
      <alignment horizontal="center" vertical="center"/>
    </xf>
    <xf numFmtId="0" fontId="35" fillId="18" borderId="28" xfId="10" applyFill="1" applyBorder="1" applyAlignment="1">
      <alignment horizontal="center" vertical="center"/>
    </xf>
    <xf numFmtId="0" fontId="35" fillId="18" borderId="29" xfId="10" applyFill="1" applyBorder="1" applyAlignment="1">
      <alignment horizontal="center" vertical="center"/>
    </xf>
    <xf numFmtId="0" fontId="35" fillId="18" borderId="30" xfId="10" applyFill="1" applyBorder="1" applyAlignment="1">
      <alignment horizontal="center" vertical="center"/>
    </xf>
    <xf numFmtId="0" fontId="2" fillId="5" borderId="7" xfId="2" applyFill="1" applyBorder="1" applyAlignment="1">
      <alignment horizontal="center"/>
    </xf>
    <xf numFmtId="0" fontId="2" fillId="5" borderId="8" xfId="2" applyFill="1" applyBorder="1" applyAlignment="1">
      <alignment horizontal="center"/>
    </xf>
    <xf numFmtId="0" fontId="0" fillId="7" borderId="10" xfId="0" quotePrefix="1" applyFill="1" applyBorder="1" applyAlignment="1">
      <alignment horizontal="left" vertical="top" wrapText="1"/>
    </xf>
    <xf numFmtId="0" fontId="0" fillId="7" borderId="0" xfId="0" quotePrefix="1" applyFill="1" applyBorder="1" applyAlignment="1">
      <alignment horizontal="left" vertical="top" wrapText="1"/>
    </xf>
    <xf numFmtId="0" fontId="0" fillId="7" borderId="11" xfId="0" quotePrefix="1" applyFill="1" applyBorder="1" applyAlignment="1">
      <alignment horizontal="left" vertical="top" wrapText="1"/>
    </xf>
    <xf numFmtId="0" fontId="0" fillId="7" borderId="12" xfId="0" quotePrefix="1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4" xfId="0" applyFill="1" applyBorder="1" applyAlignment="1">
      <alignment horizontal="left" vertical="top" wrapText="1"/>
    </xf>
    <xf numFmtId="0" fontId="5" fillId="6" borderId="15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5" fillId="12" borderId="4" xfId="0" applyFont="1" applyFill="1" applyBorder="1" applyAlignment="1">
      <alignment horizontal="center"/>
    </xf>
    <xf numFmtId="0" fontId="5" fillId="12" borderId="5" xfId="0" applyFont="1" applyFill="1" applyBorder="1" applyAlignment="1">
      <alignment horizontal="center"/>
    </xf>
    <xf numFmtId="0" fontId="5" fillId="12" borderId="6" xfId="0" applyFont="1" applyFill="1" applyBorder="1" applyAlignment="1">
      <alignment horizontal="center"/>
    </xf>
    <xf numFmtId="0" fontId="29" fillId="11" borderId="0" xfId="0" applyFont="1" applyFill="1" applyAlignment="1">
      <alignment horizontal="center"/>
    </xf>
    <xf numFmtId="0" fontId="5" fillId="14" borderId="19" xfId="0" applyFont="1" applyFill="1" applyBorder="1" applyAlignment="1">
      <alignment horizontal="center" vertical="center"/>
    </xf>
    <xf numFmtId="0" fontId="5" fillId="14" borderId="3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0" fontId="16" fillId="9" borderId="6" xfId="0" applyFont="1" applyFill="1" applyBorder="1" applyAlignment="1">
      <alignment horizontal="center"/>
    </xf>
    <xf numFmtId="0" fontId="16" fillId="8" borderId="4" xfId="0" applyFont="1" applyFill="1" applyBorder="1" applyAlignment="1">
      <alignment horizontal="center"/>
    </xf>
    <xf numFmtId="0" fontId="16" fillId="8" borderId="5" xfId="0" applyFont="1" applyFill="1" applyBorder="1" applyAlignment="1">
      <alignment horizontal="center"/>
    </xf>
    <xf numFmtId="0" fontId="29" fillId="3" borderId="17" xfId="0" applyFont="1" applyFill="1" applyBorder="1" applyAlignment="1">
      <alignment horizontal="center" vertical="center"/>
    </xf>
    <xf numFmtId="0" fontId="29" fillId="3" borderId="18" xfId="0" applyFont="1" applyFill="1" applyBorder="1" applyAlignment="1">
      <alignment horizontal="center" vertical="center"/>
    </xf>
    <xf numFmtId="0" fontId="29" fillId="3" borderId="21" xfId="0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5" fillId="12" borderId="42" xfId="0" applyFont="1" applyFill="1" applyBorder="1" applyAlignment="1">
      <alignment horizontal="center"/>
    </xf>
    <xf numFmtId="0" fontId="5" fillId="12" borderId="0" xfId="0" applyFont="1" applyFill="1" applyBorder="1" applyAlignment="1">
      <alignment horizontal="center"/>
    </xf>
    <xf numFmtId="0" fontId="35" fillId="0" borderId="25" xfId="10" applyAlignment="1">
      <alignment horizontal="center"/>
    </xf>
    <xf numFmtId="0" fontId="36" fillId="0" borderId="26" xfId="11" applyAlignment="1">
      <alignment horizontal="center"/>
    </xf>
    <xf numFmtId="0" fontId="5" fillId="12" borderId="41" xfId="0" applyFont="1" applyFill="1" applyBorder="1" applyAlignment="1">
      <alignment horizontal="center"/>
    </xf>
    <xf numFmtId="0" fontId="5" fillId="1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43" fillId="22" borderId="0" xfId="0" applyFont="1" applyFill="1" applyAlignment="1">
      <alignment horizontal="center"/>
    </xf>
    <xf numFmtId="0" fontId="43" fillId="3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33" fillId="0" borderId="0" xfId="9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1" xfId="0" applyFont="1" applyBorder="1" applyAlignment="1">
      <alignment horizontal="center"/>
    </xf>
  </cellXfs>
  <cellStyles count="12">
    <cellStyle name="Comma 11" xfId="7" xr:uid="{00000000-0005-0000-0000-000000000000}"/>
    <cellStyle name="Explanatory Text" xfId="9" builtinId="53"/>
    <cellStyle name="Heading 1" xfId="1" builtinId="16"/>
    <cellStyle name="Heading 2" xfId="10" builtinId="17"/>
    <cellStyle name="Heading 3" xfId="11" builtinId="18"/>
    <cellStyle name="Hyperlink" xfId="3" builtinId="8"/>
    <cellStyle name="Milliers 2" xfId="5" xr:uid="{00000000-0005-0000-0000-000006000000}"/>
    <cellStyle name="Normal" xfId="0" builtinId="0"/>
    <cellStyle name="Normal 19" xfId="8" xr:uid="{00000000-0005-0000-0000-000008000000}"/>
    <cellStyle name="Normal 2" xfId="6" xr:uid="{00000000-0005-0000-0000-000009000000}"/>
    <cellStyle name="Output" xfId="2" builtinId="21"/>
    <cellStyle name="Percent" xfId="4" builtinId="5"/>
  </cellStyles>
  <dxfs count="6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7" tint="0.79998168889431442"/>
      </font>
      <fill>
        <patternFill>
          <bgColor theme="8"/>
        </patternFill>
      </fill>
    </dxf>
    <dxf>
      <font>
        <b/>
        <i/>
        <color theme="4"/>
      </font>
      <fill>
        <patternFill>
          <bgColor theme="5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theme="9"/>
      </font>
    </dxf>
    <dxf>
      <font>
        <b/>
        <i val="0"/>
        <color theme="5"/>
      </font>
    </dxf>
    <dxf>
      <font>
        <b/>
        <i val="0"/>
        <color theme="9"/>
      </font>
    </dxf>
    <dxf>
      <font>
        <b/>
        <i val="0"/>
        <color theme="5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alignment horizontal="center" vertical="bottom" textRotation="0" wrapText="0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border outline="0">
        <top style="thin">
          <color theme="1"/>
        </top>
      </border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3" formatCode="0%"/>
    </dxf>
    <dxf>
      <numFmt numFmtId="13" formatCode="0%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0" formatCode="General"/>
    </dxf>
    <dxf>
      <numFmt numFmtId="0" formatCode="General"/>
    </dxf>
    <dxf>
      <numFmt numFmtId="2" formatCode="0.00"/>
    </dxf>
    <dxf>
      <numFmt numFmtId="13" formatCode="0%"/>
    </dxf>
    <dxf>
      <numFmt numFmtId="0" formatCode="General"/>
    </dxf>
    <dxf>
      <numFmt numFmtId="2" formatCode="0.00"/>
    </dxf>
    <dxf>
      <numFmt numFmtId="2" formatCode="0.00"/>
    </dxf>
    <dxf>
      <numFmt numFmtId="165" formatCode="0.000"/>
    </dxf>
    <dxf>
      <numFmt numFmtId="2" formatCode="0.00"/>
    </dxf>
    <dxf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/>
      </font>
      <numFmt numFmtId="19" formatCode="dd/mm/yyyy"/>
    </dxf>
    <dxf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/>
        <i/>
        <color theme="5" tint="-0.499984740745262"/>
      </font>
      <fill>
        <patternFill>
          <bgColor theme="5" tint="0.79998168889431442"/>
        </patternFill>
      </fill>
    </dxf>
    <dxf>
      <font>
        <b/>
        <i/>
        <color theme="7" tint="-0.499984740745262"/>
      </font>
      <fill>
        <patternFill>
          <bgColor theme="7" tint="0.79998168889431442"/>
        </patternFill>
      </fill>
    </dxf>
    <dxf>
      <font>
        <b/>
        <i/>
        <color rgb="FFFF0000"/>
      </font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13" formatCode="0%"/>
    </dxf>
    <dxf>
      <numFmt numFmtId="0" formatCode="General"/>
    </dxf>
    <dxf>
      <numFmt numFmtId="13" formatCode="0%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0" formatCode="General"/>
    </dxf>
    <dxf>
      <numFmt numFmtId="164" formatCode="0.0"/>
    </dxf>
    <dxf>
      <numFmt numFmtId="0" formatCode="General"/>
    </dxf>
    <dxf>
      <numFmt numFmtId="164" formatCode="0.0"/>
    </dxf>
    <dxf>
      <numFmt numFmtId="164" formatCode="0.0"/>
    </dxf>
    <dxf>
      <numFmt numFmtId="165" formatCode="0.00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0" formatCode="General"/>
    </dxf>
    <dxf>
      <numFmt numFmtId="2" formatCode="0.00"/>
    </dxf>
    <dxf>
      <numFmt numFmtId="13" formatCode="0%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0" formatCode="General"/>
    </dxf>
    <dxf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alignment horizontal="center" vertical="center" textRotation="0" wrapText="1" indent="0" justifyLastLine="0" shrinkToFit="0" readingOrder="0"/>
    </dxf>
    <dxf>
      <font>
        <b/>
        <i/>
        <color theme="4" tint="-0.499984740745262"/>
      </font>
      <fill>
        <patternFill>
          <bgColor theme="4" tint="0.79998168889431442"/>
        </patternFill>
      </fill>
    </dxf>
    <dxf>
      <font>
        <b/>
        <i/>
        <color theme="5" tint="-0.499984740745262"/>
      </font>
      <fill>
        <patternFill>
          <bgColor theme="5" tint="0.79998168889431442"/>
        </patternFill>
      </fill>
    </dxf>
    <dxf>
      <font>
        <b/>
        <i/>
        <color theme="7" tint="-0.499984740745262"/>
      </font>
      <fill>
        <patternFill>
          <bgColor theme="7" tint="0.59996337778862885"/>
        </patternFill>
      </fill>
    </dxf>
    <dxf>
      <font>
        <b/>
        <i/>
        <color theme="9" tint="-0.499984740745262"/>
      </font>
      <fill>
        <patternFill>
          <bgColor theme="9" tint="0.79998168889431442"/>
        </patternFill>
      </fill>
    </dxf>
    <dxf>
      <font>
        <b/>
        <i/>
        <color theme="8"/>
      </font>
      <fill>
        <patternFill>
          <bgColor theme="4" tint="0.79998168889431442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165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alignment horizontal="center" vertical="center" textRotation="0" wrapText="1" indent="0" justifyLastLine="0" shrinkToFit="0" readingOrder="0"/>
    </dxf>
    <dxf>
      <font>
        <b/>
        <i/>
        <color theme="4" tint="-0.499984740745262"/>
      </font>
      <fill>
        <patternFill>
          <bgColor theme="4" tint="0.79998168889431442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ont>
        <b/>
        <i/>
        <color theme="7" tint="-0.499984740745262"/>
      </font>
      <fill>
        <patternFill>
          <bgColor theme="7" tint="0.59996337778862885"/>
        </patternFill>
      </fill>
    </dxf>
    <dxf>
      <font>
        <b/>
        <i/>
        <color theme="9" tint="-0.499984740745262"/>
      </font>
      <fill>
        <patternFill>
          <bgColor theme="3" tint="0.59996337778862885"/>
        </patternFill>
      </fill>
    </dxf>
    <dxf>
      <font>
        <b/>
        <i/>
        <color theme="8" tint="-0.499984740745262"/>
      </font>
      <fill>
        <patternFill>
          <bgColor theme="8" tint="0.79998168889431442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theme="9"/>
      </font>
    </dxf>
    <dxf>
      <font>
        <b/>
        <i val="0"/>
        <color theme="5"/>
      </font>
    </dxf>
    <dxf>
      <font>
        <b/>
        <i val="0"/>
        <color theme="9"/>
      </font>
    </dxf>
    <dxf>
      <font>
        <b/>
        <i val="0"/>
        <color theme="5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2" formatCode="0.00"/>
    </dxf>
    <dxf>
      <numFmt numFmtId="2" formatCode="0.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4" formatCode="0.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</dxf>
    <dxf>
      <numFmt numFmtId="164" formatCode="0.0"/>
    </dxf>
    <dxf>
      <numFmt numFmtId="165" formatCode="0.000"/>
    </dxf>
    <dxf>
      <numFmt numFmtId="165" formatCode="0.000"/>
    </dxf>
    <dxf>
      <numFmt numFmtId="164" formatCode="0.0"/>
    </dxf>
    <dxf>
      <numFmt numFmtId="165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alignment horizontal="center" vertical="center" textRotation="0" wrapText="1" indent="0" justifyLastLine="0" shrinkToFit="0" readingOrder="0"/>
    </dxf>
    <dxf>
      <font>
        <b/>
        <i/>
        <color theme="7" tint="-0.499984740745262"/>
      </font>
      <fill>
        <patternFill>
          <bgColor theme="6" tint="0.59996337778862885"/>
        </patternFill>
      </fill>
    </dxf>
    <dxf>
      <font>
        <b/>
        <i/>
        <color theme="7" tint="-0.499984740745262"/>
      </font>
      <fill>
        <patternFill>
          <bgColor theme="7" tint="0.59996337778862885"/>
        </patternFill>
      </fill>
    </dxf>
    <dxf>
      <font>
        <b/>
        <i/>
        <color theme="8" tint="-0.499984740745262"/>
      </font>
      <fill>
        <patternFill>
          <bgColor theme="8" tint="0.59996337778862885"/>
        </patternFill>
      </fill>
    </dxf>
    <dxf>
      <font>
        <b/>
        <i/>
        <color theme="8" tint="-0.499984740745262"/>
      </font>
      <fill>
        <patternFill>
          <bgColor theme="8" tint="0.59996337778862885"/>
        </patternFill>
      </fill>
    </dxf>
    <dxf>
      <font>
        <b/>
        <i/>
        <color theme="5" tint="-0.499984740745262"/>
      </font>
      <fill>
        <patternFill>
          <bgColor theme="9" tint="0.79998168889431442"/>
        </patternFill>
      </fill>
    </dxf>
    <dxf>
      <font>
        <b/>
        <i/>
        <color rgb="FFFF0000"/>
      </font>
    </dxf>
    <dxf>
      <font>
        <b/>
        <i/>
        <color theme="9" tint="-0.499984740745262"/>
      </font>
      <fill>
        <patternFill>
          <bgColor theme="9" tint="0.79998168889431442"/>
        </patternFill>
      </fill>
    </dxf>
    <dxf>
      <font>
        <b/>
        <i/>
        <color theme="5" tint="-0.499984740745262"/>
      </font>
      <fill>
        <patternFill>
          <bgColor theme="5" tint="0.79998168889431442"/>
        </patternFill>
      </fill>
    </dxf>
    <dxf>
      <font>
        <b/>
        <i/>
        <color theme="9" tint="-0.499984740745262"/>
      </font>
      <fill>
        <patternFill>
          <bgColor theme="9" tint="0.59996337778862885"/>
        </patternFill>
      </fill>
    </dxf>
    <dxf>
      <font>
        <b/>
        <i/>
        <color theme="5" tint="-0.499984740745262"/>
      </font>
      <fill>
        <patternFill>
          <bgColor theme="5" tint="0.79998168889431442"/>
        </patternFill>
      </fill>
    </dxf>
    <dxf>
      <numFmt numFmtId="13" formatCode="0%"/>
    </dxf>
    <dxf>
      <numFmt numFmtId="13" formatCode="0%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0" formatCode="General"/>
    </dxf>
    <dxf>
      <numFmt numFmtId="0" formatCode="General"/>
    </dxf>
    <dxf>
      <numFmt numFmtId="2" formatCode="0.00"/>
    </dxf>
    <dxf>
      <numFmt numFmtId="13" formatCode="0%"/>
    </dxf>
    <dxf>
      <numFmt numFmtId="0" formatCode="General"/>
    </dxf>
    <dxf>
      <numFmt numFmtId="2" formatCode="0.00"/>
    </dxf>
    <dxf>
      <numFmt numFmtId="2" formatCode="0.00"/>
    </dxf>
    <dxf>
      <numFmt numFmtId="165" formatCode="0.000"/>
    </dxf>
    <dxf>
      <numFmt numFmtId="2" formatCode="0.00"/>
    </dxf>
    <dxf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/>
      </font>
      <numFmt numFmtId="19" formatCode="dd/mm/yyyy"/>
    </dxf>
    <dxf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/>
        <i/>
        <color rgb="FFFF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0" formatCode="General"/>
    </dxf>
    <dxf>
      <numFmt numFmtId="13" formatCode="0%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0" formatCode="General"/>
    </dxf>
    <dxf>
      <numFmt numFmtId="164" formatCode="0.0"/>
    </dxf>
    <dxf>
      <numFmt numFmtId="0" formatCode="General"/>
    </dxf>
    <dxf>
      <numFmt numFmtId="164" formatCode="0.0"/>
    </dxf>
    <dxf>
      <numFmt numFmtId="164" formatCode="0.0"/>
    </dxf>
    <dxf>
      <numFmt numFmtId="165" formatCode="0.00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0" formatCode="General"/>
    </dxf>
    <dxf>
      <numFmt numFmtId="2" formatCode="0.00"/>
    </dxf>
    <dxf>
      <numFmt numFmtId="13" formatCode="0%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0" formatCode="General"/>
    </dxf>
    <dxf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theme="5" tint="0.79998168889431442"/>
      </font>
      <fill>
        <patternFill>
          <bgColor theme="8"/>
        </patternFill>
      </fill>
    </dxf>
    <dxf>
      <font>
        <b/>
        <i/>
        <color theme="7" tint="0.79998168889431442"/>
      </font>
      <fill>
        <patternFill>
          <bgColor theme="5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numFmt numFmtId="164" formatCode="0.0"/>
    </dxf>
    <dxf>
      <numFmt numFmtId="164" formatCode="0.0"/>
    </dxf>
    <dxf>
      <numFmt numFmtId="164" formatCode="0.0"/>
    </dxf>
    <dxf>
      <numFmt numFmtId="2" formatCode="0.00"/>
    </dxf>
    <dxf>
      <numFmt numFmtId="164" formatCode="0.0"/>
    </dxf>
    <dxf>
      <numFmt numFmtId="165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"/>
    </dxf>
    <dxf>
      <numFmt numFmtId="2" formatCode="0.00"/>
    </dxf>
    <dxf>
      <numFmt numFmtId="1" formatCode="0"/>
    </dxf>
    <dxf>
      <numFmt numFmtId="0" formatCode="General"/>
    </dxf>
    <dxf>
      <numFmt numFmtId="164" formatCode="0.0"/>
    </dxf>
    <dxf>
      <font>
        <b/>
      </font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0" formatCode="General"/>
    </dxf>
    <dxf>
      <numFmt numFmtId="13" formatCode="0%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0" formatCode="General"/>
    </dxf>
    <dxf>
      <numFmt numFmtId="164" formatCode="0.0"/>
    </dxf>
    <dxf>
      <numFmt numFmtId="0" formatCode="General"/>
    </dxf>
    <dxf>
      <numFmt numFmtId="164" formatCode="0.0"/>
    </dxf>
    <dxf>
      <numFmt numFmtId="164" formatCode="0.0"/>
    </dxf>
    <dxf>
      <numFmt numFmtId="165" formatCode="0.00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0" formatCode="General"/>
    </dxf>
    <dxf>
      <numFmt numFmtId="2" formatCode="0.00"/>
    </dxf>
    <dxf>
      <numFmt numFmtId="13" formatCode="0%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0" formatCode="General"/>
    </dxf>
    <dxf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alignment horizontal="center" vertical="center" textRotation="0" wrapText="1" indent="0" justifyLastLine="0" shrinkToFit="0" readingOrder="0"/>
    </dxf>
    <dxf>
      <font>
        <b/>
        <i/>
        <color rgb="FFFF0000"/>
      </font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00"/>
    </dxf>
    <dxf>
      <numFmt numFmtId="165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alignment horizontal="center" vertical="center" textRotation="0" wrapText="1" indent="0" justifyLastLine="0" shrinkToFit="0" readingOrder="0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2" formatCode="0.00"/>
    </dxf>
    <dxf>
      <numFmt numFmtId="2" formatCode="0.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4" formatCode="0.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</dxf>
    <dxf>
      <numFmt numFmtId="164" formatCode="0.0"/>
    </dxf>
    <dxf>
      <numFmt numFmtId="165" formatCode="0.000"/>
    </dxf>
    <dxf>
      <numFmt numFmtId="165" formatCode="0.000"/>
    </dxf>
    <dxf>
      <numFmt numFmtId="164" formatCode="0.0"/>
    </dxf>
    <dxf>
      <numFmt numFmtId="165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13" formatCode="0%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i/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alignment horizontal="center" vertical="center" textRotation="0" wrapText="1" indent="0" justifyLastLine="0" shrinkToFit="0" readingOrder="0"/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numFmt numFmtId="164" formatCode="0.0"/>
    </dxf>
    <dxf>
      <numFmt numFmtId="164" formatCode="0.0"/>
    </dxf>
    <dxf>
      <numFmt numFmtId="164" formatCode="0.0"/>
    </dxf>
    <dxf>
      <numFmt numFmtId="2" formatCode="0.00"/>
    </dxf>
    <dxf>
      <numFmt numFmtId="164" formatCode="0.0"/>
    </dxf>
    <dxf>
      <numFmt numFmtId="165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"/>
    </dxf>
    <dxf>
      <numFmt numFmtId="2" formatCode="0.00"/>
    </dxf>
    <dxf>
      <numFmt numFmtId="1" formatCode="0"/>
    </dxf>
    <dxf>
      <numFmt numFmtId="0" formatCode="General"/>
    </dxf>
    <dxf>
      <numFmt numFmtId="164" formatCode="0.0"/>
    </dxf>
    <dxf>
      <font>
        <b/>
      </font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connections" Target="connections.xml"/><Relationship Id="rId35" Type="http://schemas.openxmlformats.org/officeDocument/2006/relationships/calcChain" Target="calcChain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>
                <a:solidFill>
                  <a:schemeClr val="tx1"/>
                </a:solidFill>
              </a:rPr>
              <a:t>Influent</a:t>
            </a:r>
            <a:r>
              <a:rPr lang="en-GB" sz="1000" b="1" baseline="0">
                <a:solidFill>
                  <a:schemeClr val="tx1"/>
                </a:solidFill>
              </a:rPr>
              <a:t> &amp; effluent ammonia including treatment aim</a:t>
            </a:r>
            <a:endParaRPr lang="en-GB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541529686400512E-2"/>
          <c:y val="8.5295693995385405E-2"/>
          <c:w val="0.90533813493378412"/>
          <c:h val="0.7363143518518519"/>
        </c:manualLayout>
      </c:layout>
      <c:scatterChart>
        <c:scatterStyle val="lineMarker"/>
        <c:varyColors val="0"/>
        <c:ser>
          <c:idx val="1"/>
          <c:order val="0"/>
          <c:tx>
            <c:v>Influent</c:v>
          </c:tx>
          <c:spPr>
            <a:ln w="2222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'1-Influent'!$B$4:$B$2657</c:f>
              <c:numCache>
                <c:formatCode>General</c:formatCode>
                <c:ptCount val="26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'1-Influent'!$P$4:$P$2657</c:f>
              <c:numCache>
                <c:formatCode>General</c:formatCode>
                <c:ptCount val="2654"/>
                <c:pt idx="0">
                  <c:v>861.04</c:v>
                </c:pt>
                <c:pt idx="1">
                  <c:v>1011</c:v>
                </c:pt>
                <c:pt idx="6">
                  <c:v>1413.6</c:v>
                </c:pt>
                <c:pt idx="7">
                  <c:v>1482.2</c:v>
                </c:pt>
                <c:pt idx="8">
                  <c:v>1445.5</c:v>
                </c:pt>
                <c:pt idx="9">
                  <c:v>1370.7</c:v>
                </c:pt>
                <c:pt idx="10">
                  <c:v>1421.9</c:v>
                </c:pt>
                <c:pt idx="11">
                  <c:v>1417.1</c:v>
                </c:pt>
                <c:pt idx="12">
                  <c:v>1390.3</c:v>
                </c:pt>
                <c:pt idx="13">
                  <c:v>1412.6</c:v>
                </c:pt>
                <c:pt idx="14">
                  <c:v>1236.7</c:v>
                </c:pt>
                <c:pt idx="15">
                  <c:v>1333.6</c:v>
                </c:pt>
                <c:pt idx="27">
                  <c:v>1161.8</c:v>
                </c:pt>
                <c:pt idx="28">
                  <c:v>1177.4000000000001</c:v>
                </c:pt>
                <c:pt idx="29">
                  <c:v>1343.7</c:v>
                </c:pt>
                <c:pt idx="30">
                  <c:v>1457.6</c:v>
                </c:pt>
                <c:pt idx="31">
                  <c:v>1497.7</c:v>
                </c:pt>
                <c:pt idx="32">
                  <c:v>1467.1</c:v>
                </c:pt>
                <c:pt idx="33">
                  <c:v>1501.4</c:v>
                </c:pt>
                <c:pt idx="34">
                  <c:v>1271.0999999999999</c:v>
                </c:pt>
                <c:pt idx="35">
                  <c:v>1247.5</c:v>
                </c:pt>
                <c:pt idx="36">
                  <c:v>1490.5</c:v>
                </c:pt>
                <c:pt idx="37">
                  <c:v>1352.5</c:v>
                </c:pt>
                <c:pt idx="38">
                  <c:v>1388.3</c:v>
                </c:pt>
                <c:pt idx="39">
                  <c:v>1417.7</c:v>
                </c:pt>
                <c:pt idx="40">
                  <c:v>1364.9</c:v>
                </c:pt>
                <c:pt idx="41">
                  <c:v>1205.3</c:v>
                </c:pt>
                <c:pt idx="42">
                  <c:v>1375.8</c:v>
                </c:pt>
                <c:pt idx="43">
                  <c:v>1466.6</c:v>
                </c:pt>
                <c:pt idx="44" formatCode="0.00">
                  <c:v>1269.2</c:v>
                </c:pt>
                <c:pt idx="45" formatCode="0.00">
                  <c:v>1307.7</c:v>
                </c:pt>
                <c:pt idx="46" formatCode="0.00">
                  <c:v>1380.4</c:v>
                </c:pt>
                <c:pt idx="47" formatCode="0.00">
                  <c:v>1351.4</c:v>
                </c:pt>
                <c:pt idx="48" formatCode="0.00">
                  <c:v>1356.8</c:v>
                </c:pt>
                <c:pt idx="49" formatCode="0.00">
                  <c:v>1252.2</c:v>
                </c:pt>
                <c:pt idx="50" formatCode="0.00">
                  <c:v>1042.0999999999999</c:v>
                </c:pt>
                <c:pt idx="51" formatCode="0.00">
                  <c:v>1018.3</c:v>
                </c:pt>
                <c:pt idx="52" formatCode="0.00">
                  <c:v>1201.5</c:v>
                </c:pt>
                <c:pt idx="53" formatCode="0.00">
                  <c:v>1277.2</c:v>
                </c:pt>
                <c:pt idx="54" formatCode="0.00">
                  <c:v>1270.5</c:v>
                </c:pt>
                <c:pt idx="55" formatCode="0.00">
                  <c:v>1315.9</c:v>
                </c:pt>
                <c:pt idx="56" formatCode="0.00">
                  <c:v>1312.8</c:v>
                </c:pt>
                <c:pt idx="57" formatCode="0.00">
                  <c:v>1326</c:v>
                </c:pt>
                <c:pt idx="58" formatCode="0.00">
                  <c:v>1400.9</c:v>
                </c:pt>
                <c:pt idx="59" formatCode="0.00">
                  <c:v>1386.9</c:v>
                </c:pt>
                <c:pt idx="60" formatCode="0.00">
                  <c:v>1296.7</c:v>
                </c:pt>
                <c:pt idx="61" formatCode="0.00">
                  <c:v>1319.3</c:v>
                </c:pt>
                <c:pt idx="62" formatCode="0.00">
                  <c:v>1209</c:v>
                </c:pt>
                <c:pt idx="63" formatCode="0.00">
                  <c:v>1227.5</c:v>
                </c:pt>
                <c:pt idx="64" formatCode="0.00">
                  <c:v>1226.0999999999999</c:v>
                </c:pt>
                <c:pt idx="65" formatCode="0.00">
                  <c:v>1220.8</c:v>
                </c:pt>
                <c:pt idx="66" formatCode="0.00">
                  <c:v>1231.0999999999999</c:v>
                </c:pt>
                <c:pt idx="67" formatCode="0.00">
                  <c:v>1221.5</c:v>
                </c:pt>
                <c:pt idx="68" formatCode="0.00">
                  <c:v>1251</c:v>
                </c:pt>
                <c:pt idx="69" formatCode="0.00">
                  <c:v>1235</c:v>
                </c:pt>
                <c:pt idx="70" formatCode="0.00">
                  <c:v>1246</c:v>
                </c:pt>
                <c:pt idx="71" formatCode="0.00">
                  <c:v>1153.3</c:v>
                </c:pt>
                <c:pt idx="72" formatCode="0.00">
                  <c:v>1269.5999999999999</c:v>
                </c:pt>
                <c:pt idx="73" formatCode="0.00">
                  <c:v>1200.4000000000001</c:v>
                </c:pt>
                <c:pt idx="74" formatCode="0.00">
                  <c:v>1218.3</c:v>
                </c:pt>
                <c:pt idx="75" formatCode="0.00">
                  <c:v>1249.3</c:v>
                </c:pt>
                <c:pt idx="76" formatCode="0.00">
                  <c:v>1305.3</c:v>
                </c:pt>
                <c:pt idx="77" formatCode="0.00">
                  <c:v>1289.3</c:v>
                </c:pt>
                <c:pt idx="78" formatCode="0.00">
                  <c:v>1412.31</c:v>
                </c:pt>
                <c:pt idx="79" formatCode="0.00">
                  <c:v>1442.7</c:v>
                </c:pt>
                <c:pt idx="80" formatCode="0.00">
                  <c:v>1407.1</c:v>
                </c:pt>
                <c:pt idx="81" formatCode="0.00">
                  <c:v>1410.35</c:v>
                </c:pt>
                <c:pt idx="82" formatCode="0.00">
                  <c:v>1278.9000000000001</c:v>
                </c:pt>
                <c:pt idx="83" formatCode="0.00">
                  <c:v>1229.3</c:v>
                </c:pt>
                <c:pt idx="84" formatCode="0.00">
                  <c:v>1248.2</c:v>
                </c:pt>
                <c:pt idx="85" formatCode="0.00">
                  <c:v>1156.2</c:v>
                </c:pt>
                <c:pt idx="86" formatCode="0.00">
                  <c:v>1289.3</c:v>
                </c:pt>
                <c:pt idx="87" formatCode="0.00">
                  <c:v>1278.9000000000001</c:v>
                </c:pt>
                <c:pt idx="88" formatCode="0.00">
                  <c:v>1248.2</c:v>
                </c:pt>
                <c:pt idx="89" formatCode="0.00">
                  <c:v>1174.5999999999999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E4-4A79-A646-8F47C41985C7}"/>
            </c:ext>
          </c:extLst>
        </c:ser>
        <c:ser>
          <c:idx val="0"/>
          <c:order val="1"/>
          <c:tx>
            <c:v>S-SBR</c:v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'S-SBR'!$B$4:$B$3114</c:f>
              <c:numCache>
                <c:formatCode>General</c:formatCode>
                <c:ptCount val="31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'S-SBR'!$X$4:$X$3114</c:f>
              <c:numCache>
                <c:formatCode>General</c:formatCode>
                <c:ptCount val="3111"/>
                <c:pt idx="0">
                  <c:v>447.93</c:v>
                </c:pt>
                <c:pt idx="6">
                  <c:v>213.64</c:v>
                </c:pt>
                <c:pt idx="7">
                  <c:v>235.12</c:v>
                </c:pt>
                <c:pt idx="8">
                  <c:v>221.11</c:v>
                </c:pt>
                <c:pt idx="10">
                  <c:v>125.24</c:v>
                </c:pt>
                <c:pt idx="11">
                  <c:v>126.74</c:v>
                </c:pt>
                <c:pt idx="14">
                  <c:v>114.57</c:v>
                </c:pt>
                <c:pt idx="15">
                  <c:v>122.37</c:v>
                </c:pt>
                <c:pt idx="27">
                  <c:v>148.19</c:v>
                </c:pt>
                <c:pt idx="28">
                  <c:v>145.22999999999999</c:v>
                </c:pt>
                <c:pt idx="29">
                  <c:v>157.54</c:v>
                </c:pt>
                <c:pt idx="30">
                  <c:v>150.6</c:v>
                </c:pt>
                <c:pt idx="31">
                  <c:v>153.16</c:v>
                </c:pt>
                <c:pt idx="32">
                  <c:v>162.46</c:v>
                </c:pt>
                <c:pt idx="33">
                  <c:v>159.53</c:v>
                </c:pt>
                <c:pt idx="34">
                  <c:v>151.25</c:v>
                </c:pt>
                <c:pt idx="35">
                  <c:v>154.16</c:v>
                </c:pt>
                <c:pt idx="36">
                  <c:v>162.94</c:v>
                </c:pt>
                <c:pt idx="37">
                  <c:v>204.31</c:v>
                </c:pt>
                <c:pt idx="38">
                  <c:v>145.68</c:v>
                </c:pt>
                <c:pt idx="39">
                  <c:v>177.07</c:v>
                </c:pt>
                <c:pt idx="41">
                  <c:v>151.28</c:v>
                </c:pt>
                <c:pt idx="42">
                  <c:v>154.61000000000001</c:v>
                </c:pt>
                <c:pt idx="43">
                  <c:v>135.72999999999999</c:v>
                </c:pt>
                <c:pt idx="44">
                  <c:v>146.55000000000001</c:v>
                </c:pt>
                <c:pt idx="45">
                  <c:v>149.24</c:v>
                </c:pt>
                <c:pt idx="46">
                  <c:v>152.44</c:v>
                </c:pt>
                <c:pt idx="47">
                  <c:v>163.11000000000001</c:v>
                </c:pt>
                <c:pt idx="48">
                  <c:v>153.63999999999999</c:v>
                </c:pt>
                <c:pt idx="50">
                  <c:v>88.52</c:v>
                </c:pt>
                <c:pt idx="51">
                  <c:v>154.65</c:v>
                </c:pt>
                <c:pt idx="52">
                  <c:v>151.24</c:v>
                </c:pt>
                <c:pt idx="53">
                  <c:v>153.51</c:v>
                </c:pt>
                <c:pt idx="54">
                  <c:v>164.16</c:v>
                </c:pt>
                <c:pt idx="55">
                  <c:v>168.2</c:v>
                </c:pt>
                <c:pt idx="56">
                  <c:v>156.63</c:v>
                </c:pt>
                <c:pt idx="57">
                  <c:v>159.27000000000001</c:v>
                </c:pt>
                <c:pt idx="58">
                  <c:v>152.27000000000001</c:v>
                </c:pt>
                <c:pt idx="59">
                  <c:v>151.13</c:v>
                </c:pt>
                <c:pt idx="60">
                  <c:v>149.53</c:v>
                </c:pt>
                <c:pt idx="61">
                  <c:v>148.06</c:v>
                </c:pt>
                <c:pt idx="62">
                  <c:v>174.1</c:v>
                </c:pt>
                <c:pt idx="63">
                  <c:v>173.1</c:v>
                </c:pt>
                <c:pt idx="69">
                  <c:v>148.88999999999999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B0-40DC-A39F-0E43A1098C70}"/>
            </c:ext>
          </c:extLst>
        </c:ser>
        <c:ser>
          <c:idx val="2"/>
          <c:order val="2"/>
          <c:tx>
            <c:v>Media</c:v>
          </c:tx>
          <c:spPr>
            <a:ln w="2222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'1-Media'!$B$4:$B$3384</c:f>
              <c:numCache>
                <c:formatCode>General</c:formatCode>
                <c:ptCount val="338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'1-Media'!$V$4:$V$3384</c:f>
              <c:numCache>
                <c:formatCode>0.00</c:formatCode>
                <c:ptCount val="3381"/>
                <c:pt idx="0" formatCode="General">
                  <c:v>343.82</c:v>
                </c:pt>
                <c:pt idx="6">
                  <c:v>133.16</c:v>
                </c:pt>
                <c:pt idx="7">
                  <c:v>173.05</c:v>
                </c:pt>
                <c:pt idx="8">
                  <c:v>183.1</c:v>
                </c:pt>
                <c:pt idx="14">
                  <c:v>42.52</c:v>
                </c:pt>
                <c:pt idx="15">
                  <c:v>48.13</c:v>
                </c:pt>
                <c:pt idx="28" formatCode="General">
                  <c:v>20.81</c:v>
                </c:pt>
                <c:pt idx="29" formatCode="General">
                  <c:v>19.329999999999998</c:v>
                </c:pt>
                <c:pt idx="30" formatCode="General">
                  <c:v>67.41</c:v>
                </c:pt>
                <c:pt idx="31" formatCode="General">
                  <c:v>100.87</c:v>
                </c:pt>
                <c:pt idx="33" formatCode="General">
                  <c:v>86.99</c:v>
                </c:pt>
                <c:pt idx="34" formatCode="General">
                  <c:v>250.9</c:v>
                </c:pt>
                <c:pt idx="35" formatCode="General">
                  <c:v>233.52</c:v>
                </c:pt>
                <c:pt idx="36" formatCode="General">
                  <c:v>867.26</c:v>
                </c:pt>
                <c:pt idx="37" formatCode="General">
                  <c:v>1063.8</c:v>
                </c:pt>
                <c:pt idx="40" formatCode="General">
                  <c:v>798.85</c:v>
                </c:pt>
                <c:pt idx="41" formatCode="General">
                  <c:v>738.77</c:v>
                </c:pt>
                <c:pt idx="43" formatCode="General">
                  <c:v>807.89</c:v>
                </c:pt>
                <c:pt idx="44">
                  <c:v>536.35</c:v>
                </c:pt>
                <c:pt idx="45">
                  <c:v>460.82</c:v>
                </c:pt>
                <c:pt idx="47">
                  <c:v>468.07</c:v>
                </c:pt>
                <c:pt idx="48">
                  <c:v>469.73</c:v>
                </c:pt>
                <c:pt idx="51">
                  <c:v>146.97999999999999</c:v>
                </c:pt>
                <c:pt idx="52">
                  <c:v>183.72</c:v>
                </c:pt>
                <c:pt idx="53">
                  <c:v>222.15</c:v>
                </c:pt>
                <c:pt idx="54">
                  <c:v>286.63</c:v>
                </c:pt>
                <c:pt idx="55">
                  <c:v>564.02</c:v>
                </c:pt>
                <c:pt idx="56">
                  <c:v>772.6</c:v>
                </c:pt>
                <c:pt idx="57">
                  <c:v>949.85</c:v>
                </c:pt>
                <c:pt idx="58">
                  <c:v>742.6</c:v>
                </c:pt>
                <c:pt idx="59">
                  <c:v>728.16</c:v>
                </c:pt>
                <c:pt idx="60">
                  <c:v>719.04</c:v>
                </c:pt>
                <c:pt idx="61">
                  <c:v>736.41</c:v>
                </c:pt>
                <c:pt idx="62">
                  <c:v>589.38</c:v>
                </c:pt>
                <c:pt idx="63">
                  <c:v>442.96</c:v>
                </c:pt>
                <c:pt idx="64">
                  <c:v>498.31</c:v>
                </c:pt>
                <c:pt idx="65">
                  <c:v>529.95000000000005</c:v>
                </c:pt>
                <c:pt idx="66">
                  <c:v>579.75</c:v>
                </c:pt>
                <c:pt idx="67">
                  <c:v>611.83000000000004</c:v>
                </c:pt>
                <c:pt idx="68">
                  <c:v>609.12</c:v>
                </c:pt>
                <c:pt idx="69">
                  <c:v>754.12</c:v>
                </c:pt>
                <c:pt idx="70">
                  <c:v>781.42</c:v>
                </c:pt>
                <c:pt idx="73">
                  <c:v>645.17999999999995</c:v>
                </c:pt>
                <c:pt idx="74">
                  <c:v>638.45000000000005</c:v>
                </c:pt>
                <c:pt idx="77">
                  <c:v>558.47</c:v>
                </c:pt>
                <c:pt idx="78">
                  <c:v>850.07</c:v>
                </c:pt>
                <c:pt idx="79">
                  <c:v>916.95</c:v>
                </c:pt>
                <c:pt idx="80">
                  <c:v>816.44</c:v>
                </c:pt>
                <c:pt idx="81">
                  <c:v>816.44</c:v>
                </c:pt>
                <c:pt idx="82">
                  <c:v>807.93</c:v>
                </c:pt>
                <c:pt idx="83">
                  <c:v>766.36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E4-4A79-A646-8F47C41985C7}"/>
            </c:ext>
          </c:extLst>
        </c:ser>
        <c:ser>
          <c:idx val="3"/>
          <c:order val="3"/>
          <c:tx>
            <c:v>G-SBR</c:v>
          </c:tx>
          <c:spPr>
            <a:ln w="2222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'G-SBR'!$B$4:$B$3424</c:f>
              <c:numCache>
                <c:formatCode>General</c:formatCode>
                <c:ptCount val="34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'G-SBR'!$W$4:$W$3424</c:f>
              <c:numCache>
                <c:formatCode>0.00</c:formatCode>
                <c:ptCount val="3421"/>
                <c:pt idx="0">
                  <c:v>69.62</c:v>
                </c:pt>
                <c:pt idx="14">
                  <c:v>134.97</c:v>
                </c:pt>
                <c:pt idx="15">
                  <c:v>202.32</c:v>
                </c:pt>
                <c:pt idx="27" formatCode="General">
                  <c:v>441.89</c:v>
                </c:pt>
                <c:pt idx="28" formatCode="General">
                  <c:v>484.84</c:v>
                </c:pt>
                <c:pt idx="29" formatCode="General">
                  <c:v>161.69</c:v>
                </c:pt>
                <c:pt idx="30" formatCode="General">
                  <c:v>1187</c:v>
                </c:pt>
                <c:pt idx="31" formatCode="General">
                  <c:v>463.66</c:v>
                </c:pt>
                <c:pt idx="32" formatCode="General">
                  <c:v>519.74</c:v>
                </c:pt>
                <c:pt idx="33" formatCode="General">
                  <c:v>223.86</c:v>
                </c:pt>
                <c:pt idx="34" formatCode="General">
                  <c:v>171.06</c:v>
                </c:pt>
                <c:pt idx="35" formatCode="General">
                  <c:v>776.75</c:v>
                </c:pt>
                <c:pt idx="36" formatCode="General">
                  <c:v>161.43</c:v>
                </c:pt>
                <c:pt idx="37" formatCode="General">
                  <c:v>403.49</c:v>
                </c:pt>
                <c:pt idx="38" formatCode="General">
                  <c:v>527.66999999999996</c:v>
                </c:pt>
                <c:pt idx="39" formatCode="General">
                  <c:v>432.65</c:v>
                </c:pt>
                <c:pt idx="40" formatCode="General">
                  <c:v>209.25</c:v>
                </c:pt>
                <c:pt idx="56">
                  <c:v>1156.3</c:v>
                </c:pt>
                <c:pt idx="57">
                  <c:v>1185.2</c:v>
                </c:pt>
                <c:pt idx="72">
                  <c:v>51.12</c:v>
                </c:pt>
                <c:pt idx="73">
                  <c:v>66.33</c:v>
                </c:pt>
                <c:pt idx="77">
                  <c:v>267.64999999999998</c:v>
                </c:pt>
                <c:pt idx="78">
                  <c:v>275.25</c:v>
                </c:pt>
                <c:pt idx="79">
                  <c:v>269.45</c:v>
                </c:pt>
                <c:pt idx="80">
                  <c:v>264.41000000000003</c:v>
                </c:pt>
                <c:pt idx="85">
                  <c:v>107.67</c:v>
                </c:pt>
                <c:pt idx="86">
                  <c:v>130.69999999999999</c:v>
                </c:pt>
                <c:pt idx="87">
                  <c:v>114.03</c:v>
                </c:pt>
                <c:pt idx="88">
                  <c:v>119.06</c:v>
                </c:pt>
                <c:pt idx="89">
                  <c:v>124.75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E4-4A79-A646-8F47C41985C7}"/>
            </c:ext>
          </c:extLst>
        </c:ser>
        <c:ser>
          <c:idx val="6"/>
          <c:order val="4"/>
          <c:tx>
            <c:v>NH4-N aim</c:v>
          </c:tx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DataPlots!$A$5:$A$6</c:f>
              <c:numCache>
                <c:formatCode>General</c:formatCode>
                <c:ptCount val="2"/>
                <c:pt idx="0">
                  <c:v>0</c:v>
                </c:pt>
                <c:pt idx="1">
                  <c:v>400</c:v>
                </c:pt>
              </c:numCache>
            </c:numRef>
          </c:xVal>
          <c:yVal>
            <c:numRef>
              <c:f>DataPlots!$B$5:$B$6</c:f>
              <c:numCache>
                <c:formatCode>General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B0-40DC-A39F-0E43A1098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158080"/>
        <c:axId val="356164352"/>
      </c:scatterChart>
      <c:valAx>
        <c:axId val="356158080"/>
        <c:scaling>
          <c:orientation val="minMax"/>
          <c:max val="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Time (d)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64352"/>
        <c:crossesAt val="0.1"/>
        <c:crossBetween val="midCat"/>
      </c:valAx>
      <c:valAx>
        <c:axId val="356164352"/>
        <c:scaling>
          <c:logBase val="10"/>
          <c:orientation val="minMax"/>
          <c:min val="1"/>
        </c:scaling>
        <c:delete val="0"/>
        <c:axPos val="l"/>
        <c:minorGridlines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 NH</a:t>
                </a:r>
                <a:r>
                  <a:rPr lang="en-GB" b="1" baseline="-25000">
                    <a:solidFill>
                      <a:schemeClr val="tx1"/>
                    </a:solidFill>
                  </a:rPr>
                  <a:t>4</a:t>
                </a:r>
                <a:r>
                  <a:rPr lang="en-GB" b="1">
                    <a:solidFill>
                      <a:schemeClr val="tx1"/>
                    </a:solidFill>
                  </a:rPr>
                  <a:t>-N  (mg</a:t>
                </a:r>
                <a:r>
                  <a:rPr lang="en-GB" b="1" baseline="0">
                    <a:solidFill>
                      <a:schemeClr val="tx1"/>
                    </a:solidFill>
                  </a:rPr>
                  <a:t> </a:t>
                </a:r>
                <a:r>
                  <a:rPr lang="en-GB" b="1">
                    <a:solidFill>
                      <a:schemeClr val="tx1"/>
                    </a:solidFill>
                  </a:rPr>
                  <a:t>L</a:t>
                </a:r>
                <a:r>
                  <a:rPr lang="en-GB" b="1" baseline="30000">
                    <a:solidFill>
                      <a:schemeClr val="tx1"/>
                    </a:solidFill>
                  </a:rPr>
                  <a:t>-1</a:t>
                </a:r>
                <a:r>
                  <a:rPr lang="en-GB" b="1">
                    <a:solidFill>
                      <a:schemeClr val="tx1"/>
                    </a:solidFill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cross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58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5011118427790386"/>
          <c:w val="0.99890130346884298"/>
          <c:h val="4.7834210230326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DO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2672362793009735E-2"/>
          <c:y val="0.14606424383223113"/>
          <c:w val="0.8725983751768005"/>
          <c:h val="0.59623554854809224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'S-SBR'!$H$4:$H$66</c:f>
              <c:numCache>
                <c:formatCode>0.00</c:formatCode>
                <c:ptCount val="63"/>
                <c:pt idx="0">
                  <c:v>0.26</c:v>
                </c:pt>
                <c:pt idx="6">
                  <c:v>0.2129701596113808</c:v>
                </c:pt>
                <c:pt idx="7">
                  <c:v>0.22548230395558641</c:v>
                </c:pt>
                <c:pt idx="8">
                  <c:v>0.1413185287994462</c:v>
                </c:pt>
                <c:pt idx="10">
                  <c:v>9.8979875086745633E-2</c:v>
                </c:pt>
                <c:pt idx="11">
                  <c:v>6.3908205841446838E-2</c:v>
                </c:pt>
                <c:pt idx="14">
                  <c:v>0.22548230395558641</c:v>
                </c:pt>
                <c:pt idx="15">
                  <c:v>0.1413185287994462</c:v>
                </c:pt>
                <c:pt idx="27">
                  <c:v>0.12858431644691329</c:v>
                </c:pt>
                <c:pt idx="28">
                  <c:v>0.20159611380985409</c:v>
                </c:pt>
                <c:pt idx="29">
                  <c:v>0.2291880638445522</c:v>
                </c:pt>
                <c:pt idx="30">
                  <c:v>0.20868147120055491</c:v>
                </c:pt>
                <c:pt idx="31">
                  <c:v>0.20270645385149219</c:v>
                </c:pt>
                <c:pt idx="32">
                  <c:v>0.18540333796940209</c:v>
                </c:pt>
                <c:pt idx="33">
                  <c:v>0.15982650936849441</c:v>
                </c:pt>
                <c:pt idx="34">
                  <c:v>0.16191533657182561</c:v>
                </c:pt>
                <c:pt idx="35">
                  <c:v>0.19148507980569091</c:v>
                </c:pt>
                <c:pt idx="36">
                  <c:v>0.14692574600971589</c:v>
                </c:pt>
                <c:pt idx="37">
                  <c:v>0.16725884802220739</c:v>
                </c:pt>
                <c:pt idx="38">
                  <c:v>0.17746009715475389</c:v>
                </c:pt>
                <c:pt idx="39">
                  <c:v>0.20008344923504959</c:v>
                </c:pt>
                <c:pt idx="41">
                  <c:v>0.15274809160305419</c:v>
                </c:pt>
                <c:pt idx="42">
                  <c:v>0.1049132546842473</c:v>
                </c:pt>
                <c:pt idx="43">
                  <c:v>0.22621096460791151</c:v>
                </c:pt>
                <c:pt idx="44">
                  <c:v>0.20128383067314409</c:v>
                </c:pt>
                <c:pt idx="45">
                  <c:v>0.16830673143650279</c:v>
                </c:pt>
                <c:pt idx="46">
                  <c:v>0.162809457579973</c:v>
                </c:pt>
                <c:pt idx="47">
                  <c:v>0.17459403192227649</c:v>
                </c:pt>
                <c:pt idx="48">
                  <c:v>0.11076335877862679</c:v>
                </c:pt>
                <c:pt idx="50">
                  <c:v>0.14396252602359519</c:v>
                </c:pt>
                <c:pt idx="51">
                  <c:v>0.17793893129771041</c:v>
                </c:pt>
                <c:pt idx="52">
                  <c:v>0.17337265787647529</c:v>
                </c:pt>
                <c:pt idx="53">
                  <c:v>0.14687065368567481</c:v>
                </c:pt>
                <c:pt idx="54">
                  <c:v>0.19396252602359529</c:v>
                </c:pt>
                <c:pt idx="55">
                  <c:v>0.16741845940319261</c:v>
                </c:pt>
                <c:pt idx="56">
                  <c:v>0.14072172102706509</c:v>
                </c:pt>
                <c:pt idx="57">
                  <c:v>0.14113115891741859</c:v>
                </c:pt>
                <c:pt idx="58">
                  <c:v>0.13693268563497621</c:v>
                </c:pt>
                <c:pt idx="59">
                  <c:v>0.13722414989590609</c:v>
                </c:pt>
                <c:pt idx="60">
                  <c:v>0.13206536856745499</c:v>
                </c:pt>
                <c:pt idx="61">
                  <c:v>0.2322970159611378</c:v>
                </c:pt>
                <c:pt idx="62">
                  <c:v>0.20321998612074921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12-4334-865B-28000527C83E}"/>
            </c:ext>
          </c:extLst>
        </c:ser>
        <c:ser>
          <c:idx val="1"/>
          <c:order val="1"/>
          <c:tx>
            <c:v>Media</c:v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'1-Media'!$G$4:$G$66</c:f>
              <c:numCache>
                <c:formatCode>0.0</c:formatCode>
                <c:ptCount val="63"/>
                <c:pt idx="0">
                  <c:v>0.18035838741864732</c:v>
                </c:pt>
                <c:pt idx="6">
                  <c:v>5.4614717239712479E-2</c:v>
                </c:pt>
                <c:pt idx="7">
                  <c:v>7.8844151467715895E-2</c:v>
                </c:pt>
                <c:pt idx="8">
                  <c:v>0.54048247173485431</c:v>
                </c:pt>
                <c:pt idx="14">
                  <c:v>0.75967979860963697</c:v>
                </c:pt>
                <c:pt idx="15">
                  <c:v>0.39360812223648617</c:v>
                </c:pt>
                <c:pt idx="28">
                  <c:v>0.51188562934812842</c:v>
                </c:pt>
                <c:pt idx="29">
                  <c:v>0.78811567128532178</c:v>
                </c:pt>
                <c:pt idx="30">
                  <c:v>0.67350789719687609</c:v>
                </c:pt>
                <c:pt idx="31">
                  <c:v>0.98758070041573909</c:v>
                </c:pt>
                <c:pt idx="33">
                  <c:v>0.69430970165753103</c:v>
                </c:pt>
                <c:pt idx="34">
                  <c:v>1.2784940126619997</c:v>
                </c:pt>
                <c:pt idx="35">
                  <c:v>0.62792172844378491</c:v>
                </c:pt>
                <c:pt idx="36">
                  <c:v>1.0936228732750757</c:v>
                </c:pt>
                <c:pt idx="37">
                  <c:v>0.76170296868757426</c:v>
                </c:pt>
                <c:pt idx="40">
                  <c:v>0.85797943474827687</c:v>
                </c:pt>
                <c:pt idx="41">
                  <c:v>1.2032818468090396</c:v>
                </c:pt>
                <c:pt idx="43">
                  <c:v>2.4593396381304027</c:v>
                </c:pt>
                <c:pt idx="44">
                  <c:v>0.88628427488280026</c:v>
                </c:pt>
                <c:pt idx="45">
                  <c:v>0.91132289045016746</c:v>
                </c:pt>
                <c:pt idx="47">
                  <c:v>0.40535057256181223</c:v>
                </c:pt>
                <c:pt idx="48">
                  <c:v>1.1796342397379569</c:v>
                </c:pt>
                <c:pt idx="51">
                  <c:v>0.54771607038679737</c:v>
                </c:pt>
                <c:pt idx="52">
                  <c:v>0.62387669181107896</c:v>
                </c:pt>
                <c:pt idx="53">
                  <c:v>0.73639751744742032</c:v>
                </c:pt>
                <c:pt idx="54">
                  <c:v>0.8440385284791263</c:v>
                </c:pt>
                <c:pt idx="55">
                  <c:v>0.7946541999123734</c:v>
                </c:pt>
                <c:pt idx="56">
                  <c:v>0.80251171523934639</c:v>
                </c:pt>
                <c:pt idx="57">
                  <c:v>0.68774947951037368</c:v>
                </c:pt>
                <c:pt idx="58">
                  <c:v>0.79410968508334756</c:v>
                </c:pt>
                <c:pt idx="59">
                  <c:v>0.86344758781944864</c:v>
                </c:pt>
                <c:pt idx="60">
                  <c:v>0.9397401076478703</c:v>
                </c:pt>
                <c:pt idx="61">
                  <c:v>0.96557054803918441</c:v>
                </c:pt>
                <c:pt idx="62">
                  <c:v>1.3452906964430169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12-4334-865B-28000527C83E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'G-SBR'!$B$4:$B$80</c:f>
              <c:numCache>
                <c:formatCode>General</c:formatCode>
                <c:ptCount val="7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</c:numCache>
            </c:numRef>
          </c:xVal>
          <c:yVal>
            <c:numRef>
              <c:f>'G-SBR'!$G$4:$G$80</c:f>
              <c:numCache>
                <c:formatCode>0.0</c:formatCode>
                <c:ptCount val="77"/>
                <c:pt idx="0">
                  <c:v>0.39491530000000002</c:v>
                </c:pt>
                <c:pt idx="14">
                  <c:v>0.16673729125</c:v>
                </c:pt>
                <c:pt idx="15">
                  <c:v>0.3784957625</c:v>
                </c:pt>
                <c:pt idx="27">
                  <c:v>0.47050848750000002</c:v>
                </c:pt>
                <c:pt idx="28">
                  <c:v>0.48629238749999998</c:v>
                </c:pt>
                <c:pt idx="29">
                  <c:v>0.45743643750000001</c:v>
                </c:pt>
                <c:pt idx="30">
                  <c:v>0.45012712500000002</c:v>
                </c:pt>
                <c:pt idx="31">
                  <c:v>0.4255508375</c:v>
                </c:pt>
                <c:pt idx="32">
                  <c:v>0.32362288750000001</c:v>
                </c:pt>
                <c:pt idx="33">
                  <c:v>0.33663135625000001</c:v>
                </c:pt>
                <c:pt idx="34">
                  <c:v>0.34082628124999997</c:v>
                </c:pt>
                <c:pt idx="35">
                  <c:v>0.33063559375000001</c:v>
                </c:pt>
                <c:pt idx="36">
                  <c:v>0.39512711875000001</c:v>
                </c:pt>
                <c:pt idx="37">
                  <c:v>0.39239406874999999</c:v>
                </c:pt>
                <c:pt idx="38">
                  <c:v>0.39877118125</c:v>
                </c:pt>
                <c:pt idx="39">
                  <c:v>0.40885593749999999</c:v>
                </c:pt>
                <c:pt idx="40">
                  <c:v>0.40811439999999999</c:v>
                </c:pt>
                <c:pt idx="72">
                  <c:v>0.6</c:v>
                </c:pt>
                <c:pt idx="73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12-4334-865B-28000527C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473600"/>
        <c:axId val="494475904"/>
      </c:scatterChart>
      <c:valAx>
        <c:axId val="49447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 d</a:t>
                </a:r>
              </a:p>
            </c:rich>
          </c:tx>
          <c:layout>
            <c:manualLayout>
              <c:xMode val="edge"/>
              <c:yMode val="edge"/>
              <c:x val="0.49123688133775628"/>
              <c:y val="0.83594017825771361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475904"/>
        <c:crosses val="autoZero"/>
        <c:crossBetween val="midCat"/>
      </c:valAx>
      <c:valAx>
        <c:axId val="494475904"/>
        <c:scaling>
          <c:orientation val="minMax"/>
          <c:max val="3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Dissolved</a:t>
                </a:r>
                <a:r>
                  <a:rPr lang="en-GB" baseline="0"/>
                  <a:t> oxygen, mg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473600"/>
        <c:crosses val="autoZero"/>
        <c:crossBetween val="midCat"/>
        <c:majorUnit val="1"/>
      </c:valAx>
    </c:plotArea>
    <c:legend>
      <c:legendPos val="b"/>
      <c:layout>
        <c:manualLayout>
          <c:xMode val="edge"/>
          <c:yMode val="edge"/>
          <c:x val="7.080105432867535E-3"/>
          <c:y val="0.90920404872913863"/>
          <c:w val="0.99291989456713248"/>
          <c:h val="6.3669622677041127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pH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522208147388882E-2"/>
          <c:y val="0.1737173065239106"/>
          <c:w val="0.87117278175901602"/>
          <c:h val="0.59582926940498204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'S-SBR'!$B$4:$B$60</c:f>
              <c:numCache>
                <c:formatCode>General</c:formatCode>
                <c:ptCount val="5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</c:numCache>
            </c:numRef>
          </c:xVal>
          <c:yVal>
            <c:numRef>
              <c:f>'S-SBR'!$P$4:$P$60</c:f>
              <c:numCache>
                <c:formatCode>General</c:formatCode>
                <c:ptCount val="57"/>
                <c:pt idx="0">
                  <c:v>7.9</c:v>
                </c:pt>
                <c:pt idx="6">
                  <c:v>8.3000000000000007</c:v>
                </c:pt>
                <c:pt idx="7">
                  <c:v>8.3000000000000007</c:v>
                </c:pt>
                <c:pt idx="8">
                  <c:v>9.1999999999999993</c:v>
                </c:pt>
                <c:pt idx="10">
                  <c:v>8.1</c:v>
                </c:pt>
                <c:pt idx="11">
                  <c:v>8.1</c:v>
                </c:pt>
                <c:pt idx="14">
                  <c:v>8</c:v>
                </c:pt>
                <c:pt idx="15">
                  <c:v>8</c:v>
                </c:pt>
                <c:pt idx="27">
                  <c:v>7.9</c:v>
                </c:pt>
                <c:pt idx="28">
                  <c:v>7.9</c:v>
                </c:pt>
                <c:pt idx="29">
                  <c:v>8</c:v>
                </c:pt>
                <c:pt idx="30">
                  <c:v>8</c:v>
                </c:pt>
                <c:pt idx="31">
                  <c:v>7.9</c:v>
                </c:pt>
                <c:pt idx="32">
                  <c:v>7.9</c:v>
                </c:pt>
                <c:pt idx="33">
                  <c:v>8</c:v>
                </c:pt>
                <c:pt idx="34">
                  <c:v>7.8</c:v>
                </c:pt>
                <c:pt idx="35">
                  <c:v>7.8</c:v>
                </c:pt>
                <c:pt idx="36">
                  <c:v>7.9</c:v>
                </c:pt>
                <c:pt idx="37">
                  <c:v>7.9</c:v>
                </c:pt>
                <c:pt idx="38">
                  <c:v>8</c:v>
                </c:pt>
                <c:pt idx="39">
                  <c:v>7.9</c:v>
                </c:pt>
                <c:pt idx="41">
                  <c:v>7.9</c:v>
                </c:pt>
                <c:pt idx="42">
                  <c:v>7.9</c:v>
                </c:pt>
                <c:pt idx="43">
                  <c:v>7.4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7.9</c:v>
                </c:pt>
                <c:pt idx="50">
                  <c:v>7.6</c:v>
                </c:pt>
                <c:pt idx="51">
                  <c:v>7.9</c:v>
                </c:pt>
                <c:pt idx="52">
                  <c:v>7.8</c:v>
                </c:pt>
                <c:pt idx="53">
                  <c:v>7.8</c:v>
                </c:pt>
                <c:pt idx="54">
                  <c:v>7.9</c:v>
                </c:pt>
                <c:pt idx="55">
                  <c:v>7.9</c:v>
                </c:pt>
                <c:pt idx="56">
                  <c:v>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12-4334-865B-28000527C83E}"/>
            </c:ext>
          </c:extLst>
        </c:ser>
        <c:ser>
          <c:idx val="1"/>
          <c:order val="1"/>
          <c:tx>
            <c:v>Media</c:v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'1-Media'!$F$4:$F$66</c:f>
              <c:numCache>
                <c:formatCode>0.0</c:formatCode>
                <c:ptCount val="63"/>
                <c:pt idx="0">
                  <c:v>7.6885653477251346</c:v>
                </c:pt>
                <c:pt idx="6">
                  <c:v>7.2039114492959921</c:v>
                </c:pt>
                <c:pt idx="7">
                  <c:v>7.2620058581051996</c:v>
                </c:pt>
                <c:pt idx="8">
                  <c:v>6.9244787864327551</c:v>
                </c:pt>
                <c:pt idx="14">
                  <c:v>6.6422534705615215</c:v>
                </c:pt>
                <c:pt idx="15">
                  <c:v>6.898019221126102</c:v>
                </c:pt>
                <c:pt idx="28">
                  <c:v>6.3786664806857205</c:v>
                </c:pt>
                <c:pt idx="29">
                  <c:v>6.3551720771802795</c:v>
                </c:pt>
                <c:pt idx="30">
                  <c:v>6.7381538952526556</c:v>
                </c:pt>
                <c:pt idx="31">
                  <c:v>6.7457239673353655</c:v>
                </c:pt>
                <c:pt idx="33">
                  <c:v>6.5494141821975473</c:v>
                </c:pt>
                <c:pt idx="34">
                  <c:v>6.8861673951604141</c:v>
                </c:pt>
                <c:pt idx="35">
                  <c:v>7.4289829544787684</c:v>
                </c:pt>
                <c:pt idx="36">
                  <c:v>8.2946048665071519</c:v>
                </c:pt>
                <c:pt idx="37">
                  <c:v>7.641298160500015</c:v>
                </c:pt>
                <c:pt idx="40">
                  <c:v>7.5788563915690963</c:v>
                </c:pt>
                <c:pt idx="41">
                  <c:v>7.7121315475802836</c:v>
                </c:pt>
                <c:pt idx="43">
                  <c:v>8.5212951618447477</c:v>
                </c:pt>
                <c:pt idx="44">
                  <c:v>7.5708413688476943</c:v>
                </c:pt>
                <c:pt idx="45">
                  <c:v>7.3374633118742993</c:v>
                </c:pt>
                <c:pt idx="47">
                  <c:v>7.4423096273475871</c:v>
                </c:pt>
                <c:pt idx="48">
                  <c:v>7.3725459018708603</c:v>
                </c:pt>
                <c:pt idx="51">
                  <c:v>6.7863970494692376</c:v>
                </c:pt>
                <c:pt idx="52">
                  <c:v>6.8037625062552562</c:v>
                </c:pt>
                <c:pt idx="53">
                  <c:v>6.8947369781727179</c:v>
                </c:pt>
                <c:pt idx="54">
                  <c:v>7.0157302639956942</c:v>
                </c:pt>
                <c:pt idx="55">
                  <c:v>7.2471351199827021</c:v>
                </c:pt>
                <c:pt idx="56">
                  <c:v>7.5224342362742505</c:v>
                </c:pt>
                <c:pt idx="57">
                  <c:v>7.7347576374065872</c:v>
                </c:pt>
                <c:pt idx="58">
                  <c:v>7.722689855847662</c:v>
                </c:pt>
                <c:pt idx="59">
                  <c:v>7.502317733129086</c:v>
                </c:pt>
                <c:pt idx="60">
                  <c:v>7.4317069616387261</c:v>
                </c:pt>
                <c:pt idx="61">
                  <c:v>7.4288723775803405</c:v>
                </c:pt>
                <c:pt idx="62">
                  <c:v>7.4565674602385403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12-4334-865B-28000527C83E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'G-SBR'!$F$4:$F$8987</c:f>
              <c:numCache>
                <c:formatCode>0.0</c:formatCode>
                <c:ptCount val="8984"/>
                <c:pt idx="0">
                  <c:v>7.9762310000000003</c:v>
                </c:pt>
                <c:pt idx="14">
                  <c:v>7.6424874999999997</c:v>
                </c:pt>
                <c:pt idx="15">
                  <c:v>7.8322795625000001</c:v>
                </c:pt>
                <c:pt idx="27">
                  <c:v>7.5189305624999996</c:v>
                </c:pt>
                <c:pt idx="28">
                  <c:v>7.6157895624999998</c:v>
                </c:pt>
                <c:pt idx="29">
                  <c:v>7.8351973749999999</c:v>
                </c:pt>
                <c:pt idx="30">
                  <c:v>7.7654817500000002</c:v>
                </c:pt>
                <c:pt idx="31">
                  <c:v>7.3731219374999997</c:v>
                </c:pt>
                <c:pt idx="32">
                  <c:v>8.2137414999999994</c:v>
                </c:pt>
                <c:pt idx="33">
                  <c:v>8.2580753125000008</c:v>
                </c:pt>
                <c:pt idx="34">
                  <c:v>8.319079125</c:v>
                </c:pt>
                <c:pt idx="35">
                  <c:v>8.3036820625000001</c:v>
                </c:pt>
                <c:pt idx="36">
                  <c:v>7.4741088749999998</c:v>
                </c:pt>
                <c:pt idx="37">
                  <c:v>7.6773770624999997</c:v>
                </c:pt>
                <c:pt idx="38">
                  <c:v>7.9348155624999999</c:v>
                </c:pt>
                <c:pt idx="39">
                  <c:v>7.9841257499999996</c:v>
                </c:pt>
                <c:pt idx="40">
                  <c:v>8.1569081249999993</c:v>
                </c:pt>
                <c:pt idx="56">
                  <c:v>8.9</c:v>
                </c:pt>
                <c:pt idx="57">
                  <c:v>8.9</c:v>
                </c:pt>
                <c:pt idx="72">
                  <c:v>7.4</c:v>
                </c:pt>
                <c:pt idx="73">
                  <c:v>7.3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7.6</c:v>
                </c:pt>
                <c:pt idx="89">
                  <c:v>7.6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12-4334-865B-28000527C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529152"/>
        <c:axId val="494527232"/>
      </c:scatterChart>
      <c:valAx>
        <c:axId val="49452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</a:t>
                </a:r>
                <a:r>
                  <a:rPr lang="en-GB" baseline="0"/>
                  <a:t> d</a:t>
                </a:r>
                <a:endParaRPr lang="en-GB"/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527232"/>
        <c:crosses val="autoZero"/>
        <c:crossBetween val="midCat"/>
      </c:valAx>
      <c:valAx>
        <c:axId val="494527232"/>
        <c:scaling>
          <c:orientation val="minMax"/>
          <c:max val="9"/>
          <c:min val="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pH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529152"/>
        <c:crosses val="autoZero"/>
        <c:crossBetween val="midCat"/>
        <c:majorUnit val="1"/>
      </c:valAx>
    </c:plotArea>
    <c:legend>
      <c:legendPos val="b"/>
      <c:layout>
        <c:manualLayout>
          <c:xMode val="edge"/>
          <c:yMode val="edge"/>
          <c:x val="4.1532794113039303E-3"/>
          <c:y val="0.92488058302844678"/>
          <c:w val="0.99584672058869605"/>
          <c:h val="7.511941697155323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Temperature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69853757405428"/>
          <c:y val="0.14663405955978975"/>
          <c:w val="0.85245281404283879"/>
          <c:h val="0.58571840277777776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'S-SBR'!$J$4:$J$66</c:f>
              <c:numCache>
                <c:formatCode>0.00</c:formatCode>
                <c:ptCount val="63"/>
                <c:pt idx="0">
                  <c:v>27.744652777777791</c:v>
                </c:pt>
                <c:pt idx="6">
                  <c:v>29.483194444444461</c:v>
                </c:pt>
                <c:pt idx="7">
                  <c:v>28.499097222222229</c:v>
                </c:pt>
                <c:pt idx="8">
                  <c:v>26.52756944444446</c:v>
                </c:pt>
                <c:pt idx="10">
                  <c:v>24.466111111111111</c:v>
                </c:pt>
                <c:pt idx="11">
                  <c:v>24.490555555555581</c:v>
                </c:pt>
                <c:pt idx="14">
                  <c:v>28.499097222222229</c:v>
                </c:pt>
                <c:pt idx="15">
                  <c:v>26.52756944444446</c:v>
                </c:pt>
                <c:pt idx="27">
                  <c:v>23.310208333333321</c:v>
                </c:pt>
                <c:pt idx="28">
                  <c:v>23.544861111111128</c:v>
                </c:pt>
                <c:pt idx="29">
                  <c:v>23.76194444444441</c:v>
                </c:pt>
                <c:pt idx="30">
                  <c:v>23.896666666666668</c:v>
                </c:pt>
                <c:pt idx="31">
                  <c:v>24.136527777777768</c:v>
                </c:pt>
                <c:pt idx="32">
                  <c:v>24.795902777777759</c:v>
                </c:pt>
                <c:pt idx="33">
                  <c:v>25.985902777777781</c:v>
                </c:pt>
                <c:pt idx="34">
                  <c:v>25.75125000000001</c:v>
                </c:pt>
                <c:pt idx="35">
                  <c:v>25.572986111111131</c:v>
                </c:pt>
                <c:pt idx="36">
                  <c:v>24.929722222222239</c:v>
                </c:pt>
                <c:pt idx="37">
                  <c:v>22.88493055555556</c:v>
                </c:pt>
                <c:pt idx="38">
                  <c:v>22.29333333333334</c:v>
                </c:pt>
                <c:pt idx="39">
                  <c:v>21.368750000000009</c:v>
                </c:pt>
                <c:pt idx="41">
                  <c:v>21.566388888888881</c:v>
                </c:pt>
                <c:pt idx="42">
                  <c:v>22.588541666666689</c:v>
                </c:pt>
                <c:pt idx="43">
                  <c:v>23.60291666666668</c:v>
                </c:pt>
                <c:pt idx="44" formatCode="0">
                  <c:v>23.053402777777791</c:v>
                </c:pt>
                <c:pt idx="45" formatCode="0">
                  <c:v>22.570000000000011</c:v>
                </c:pt>
                <c:pt idx="46" formatCode="0">
                  <c:v>21.71083333333333</c:v>
                </c:pt>
                <c:pt idx="47" formatCode="0">
                  <c:v>21.26076388888891</c:v>
                </c:pt>
                <c:pt idx="48" formatCode="0">
                  <c:v>21.77097222222222</c:v>
                </c:pt>
                <c:pt idx="50" formatCode="0">
                  <c:v>23.578958333333318</c:v>
                </c:pt>
                <c:pt idx="51" formatCode="0">
                  <c:v>24.358819444444439</c:v>
                </c:pt>
                <c:pt idx="52" formatCode="0">
                  <c:v>22.216250000000009</c:v>
                </c:pt>
                <c:pt idx="53" formatCode="0">
                  <c:v>20.712430555555571</c:v>
                </c:pt>
                <c:pt idx="54" formatCode="0">
                  <c:v>21.635103448275871</c:v>
                </c:pt>
                <c:pt idx="55" formatCode="0">
                  <c:v>22.737999999999989</c:v>
                </c:pt>
                <c:pt idx="56" formatCode="0">
                  <c:v>23.836275862068959</c:v>
                </c:pt>
                <c:pt idx="57" formatCode="0">
                  <c:v>24.347586206896551</c:v>
                </c:pt>
                <c:pt idx="58" formatCode="0">
                  <c:v>24.301241379310369</c:v>
                </c:pt>
                <c:pt idx="59" formatCode="0">
                  <c:v>25.118344827586231</c:v>
                </c:pt>
                <c:pt idx="60" formatCode="0">
                  <c:v>22.921250000000001</c:v>
                </c:pt>
                <c:pt idx="61" formatCode="0">
                  <c:v>22.158541666666672</c:v>
                </c:pt>
                <c:pt idx="62" formatCode="0">
                  <c:v>23.210000000000012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8A-4D07-8369-036E8BBDD35E}"/>
            </c:ext>
          </c:extLst>
        </c:ser>
        <c:ser>
          <c:idx val="1"/>
          <c:order val="1"/>
          <c:tx>
            <c:v>Media</c:v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'1-Media'!$H$4:$H$66</c:f>
              <c:numCache>
                <c:formatCode>0</c:formatCode>
                <c:ptCount val="63"/>
                <c:pt idx="0">
                  <c:v>28.329758646090134</c:v>
                </c:pt>
                <c:pt idx="6">
                  <c:v>27.782509298301413</c:v>
                </c:pt>
                <c:pt idx="7">
                  <c:v>30.738752938442371</c:v>
                </c:pt>
                <c:pt idx="8">
                  <c:v>31.317503803018809</c:v>
                </c:pt>
                <c:pt idx="14">
                  <c:v>30.895082075866465</c:v>
                </c:pt>
                <c:pt idx="15">
                  <c:v>29.126135634449113</c:v>
                </c:pt>
                <c:pt idx="28">
                  <c:v>30.485470553646067</c:v>
                </c:pt>
                <c:pt idx="29">
                  <c:v>32.51722166001155</c:v>
                </c:pt>
                <c:pt idx="30">
                  <c:v>28.081257666866218</c:v>
                </c:pt>
                <c:pt idx="31">
                  <c:v>28.092086186884014</c:v>
                </c:pt>
                <c:pt idx="33">
                  <c:v>28.303015354398802</c:v>
                </c:pt>
                <c:pt idx="34">
                  <c:v>28.03328929928929</c:v>
                </c:pt>
                <c:pt idx="35">
                  <c:v>28.803811582746047</c:v>
                </c:pt>
                <c:pt idx="36">
                  <c:v>26.533379329984612</c:v>
                </c:pt>
                <c:pt idx="37">
                  <c:v>29.878323457341192</c:v>
                </c:pt>
                <c:pt idx="40">
                  <c:v>30.001857889977149</c:v>
                </c:pt>
                <c:pt idx="41">
                  <c:v>28.856715225834105</c:v>
                </c:pt>
                <c:pt idx="43">
                  <c:v>20.258395487961774</c:v>
                </c:pt>
                <c:pt idx="44">
                  <c:v>30.103749801201442</c:v>
                </c:pt>
                <c:pt idx="45">
                  <c:v>29.907519083973103</c:v>
                </c:pt>
                <c:pt idx="47">
                  <c:v>30.821603820705448</c:v>
                </c:pt>
                <c:pt idx="48">
                  <c:v>29.957416071655103</c:v>
                </c:pt>
                <c:pt idx="51">
                  <c:v>30.842287856065248</c:v>
                </c:pt>
                <c:pt idx="52">
                  <c:v>30.837813503499746</c:v>
                </c:pt>
                <c:pt idx="53">
                  <c:v>30.813896008391879</c:v>
                </c:pt>
                <c:pt idx="54">
                  <c:v>30.81632573420039</c:v>
                </c:pt>
                <c:pt idx="55">
                  <c:v>30.870194814801838</c:v>
                </c:pt>
                <c:pt idx="56">
                  <c:v>30.88967916494606</c:v>
                </c:pt>
                <c:pt idx="57">
                  <c:v>30.887442510353942</c:v>
                </c:pt>
                <c:pt idx="58">
                  <c:v>31.159713438590838</c:v>
                </c:pt>
                <c:pt idx="59">
                  <c:v>30.882852210720475</c:v>
                </c:pt>
                <c:pt idx="60">
                  <c:v>30.90256207819326</c:v>
                </c:pt>
                <c:pt idx="61">
                  <c:v>30.856286968137191</c:v>
                </c:pt>
                <c:pt idx="62">
                  <c:v>30.222949961828135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8A-4D07-8369-036E8BBDD35E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'G-SBR'!$B$4:$B$80</c:f>
              <c:numCache>
                <c:formatCode>General</c:formatCode>
                <c:ptCount val="7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</c:numCache>
            </c:numRef>
          </c:xVal>
          <c:yVal>
            <c:numRef>
              <c:f>'G-SBR'!$E$4:$E$80</c:f>
              <c:numCache>
                <c:formatCode>0.0</c:formatCode>
                <c:ptCount val="77"/>
                <c:pt idx="0">
                  <c:v>25.477589999999999</c:v>
                </c:pt>
                <c:pt idx="14">
                  <c:v>17.549936249999998</c:v>
                </c:pt>
                <c:pt idx="15">
                  <c:v>18.962759375000001</c:v>
                </c:pt>
                <c:pt idx="27">
                  <c:v>30.359635624999999</c:v>
                </c:pt>
                <c:pt idx="28">
                  <c:v>27.316898125000002</c:v>
                </c:pt>
                <c:pt idx="29">
                  <c:v>33.499074374999999</c:v>
                </c:pt>
                <c:pt idx="30">
                  <c:v>27.716984374999999</c:v>
                </c:pt>
                <c:pt idx="31">
                  <c:v>29.057996875000001</c:v>
                </c:pt>
                <c:pt idx="32">
                  <c:v>29.3640975</c:v>
                </c:pt>
                <c:pt idx="33">
                  <c:v>30.756553125</c:v>
                </c:pt>
                <c:pt idx="34">
                  <c:v>28.562416249999998</c:v>
                </c:pt>
                <c:pt idx="35">
                  <c:v>31.664441875000001</c:v>
                </c:pt>
                <c:pt idx="36">
                  <c:v>29.244463124999999</c:v>
                </c:pt>
                <c:pt idx="37">
                  <c:v>27.8776525</c:v>
                </c:pt>
                <c:pt idx="38">
                  <c:v>28.459829375000002</c:v>
                </c:pt>
                <c:pt idx="39">
                  <c:v>27.250819374999999</c:v>
                </c:pt>
                <c:pt idx="40">
                  <c:v>26.701079374999999</c:v>
                </c:pt>
                <c:pt idx="56">
                  <c:v>27</c:v>
                </c:pt>
                <c:pt idx="57">
                  <c:v>27</c:v>
                </c:pt>
                <c:pt idx="72">
                  <c:v>32.299999999999997</c:v>
                </c:pt>
                <c:pt idx="73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8A-4D07-8369-036E8BBDD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97376"/>
        <c:axId val="494199936"/>
      </c:scatterChart>
      <c:valAx>
        <c:axId val="49419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 d</a:t>
                </a:r>
              </a:p>
            </c:rich>
          </c:tx>
          <c:layout>
            <c:manualLayout>
              <c:xMode val="edge"/>
              <c:yMode val="edge"/>
              <c:x val="0.4888265470767244"/>
              <c:y val="0.83983885141787662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199936"/>
        <c:crosses val="autoZero"/>
        <c:crossBetween val="midCat"/>
      </c:valAx>
      <c:valAx>
        <c:axId val="494199936"/>
        <c:scaling>
          <c:orientation val="minMax"/>
          <c:min val="1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Temperature, °C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197376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4.7027617389968713E-3"/>
          <c:y val="0.92700460981007893"/>
          <c:w val="0.99434581589046689"/>
          <c:h val="7.299539018992103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HRT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151269841269841"/>
          <c:y val="0.14843014254574757"/>
          <c:w val="0.82160575396825397"/>
          <c:h val="0.60661165781492121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'S-SBR'!$G$4:$G$66</c:f>
              <c:numCache>
                <c:formatCode>0</c:formatCode>
                <c:ptCount val="63"/>
                <c:pt idx="0">
                  <c:v>38.872691933916428</c:v>
                </c:pt>
                <c:pt idx="6">
                  <c:v>36.435403066646423</c:v>
                </c:pt>
                <c:pt idx="7">
                  <c:v>37.765538945712038</c:v>
                </c:pt>
                <c:pt idx="8">
                  <c:v>31.331592689295043</c:v>
                </c:pt>
                <c:pt idx="10">
                  <c:v>31.746031746031747</c:v>
                </c:pt>
                <c:pt idx="11">
                  <c:v>1655.1724137931033</c:v>
                </c:pt>
                <c:pt idx="14">
                  <c:v>37.765538945712038</c:v>
                </c:pt>
                <c:pt idx="15">
                  <c:v>31.331592689295043</c:v>
                </c:pt>
                <c:pt idx="27">
                  <c:v>31.82601776952659</c:v>
                </c:pt>
                <c:pt idx="28">
                  <c:v>36.815462494247583</c:v>
                </c:pt>
                <c:pt idx="29">
                  <c:v>35.91201556187341</c:v>
                </c:pt>
                <c:pt idx="30">
                  <c:v>37.336652146857503</c:v>
                </c:pt>
                <c:pt idx="31">
                  <c:v>37.014188772362743</c:v>
                </c:pt>
                <c:pt idx="32">
                  <c:v>37.151702786377705</c:v>
                </c:pt>
                <c:pt idx="33">
                  <c:v>36.068530207394048</c:v>
                </c:pt>
                <c:pt idx="34">
                  <c:v>35.072336694432273</c:v>
                </c:pt>
                <c:pt idx="35">
                  <c:v>36.046860919194955</c:v>
                </c:pt>
                <c:pt idx="36">
                  <c:v>34.227039361095265</c:v>
                </c:pt>
                <c:pt idx="37">
                  <c:v>37.025609379821042</c:v>
                </c:pt>
                <c:pt idx="38">
                  <c:v>35.629453681710217</c:v>
                </c:pt>
                <c:pt idx="39">
                  <c:v>35.922766052986077</c:v>
                </c:pt>
                <c:pt idx="41">
                  <c:v>38.498556304138603</c:v>
                </c:pt>
                <c:pt idx="42">
                  <c:v>37.842951750236509</c:v>
                </c:pt>
                <c:pt idx="43">
                  <c:v>37.570444583594245</c:v>
                </c:pt>
                <c:pt idx="44">
                  <c:v>76.800000000000011</c:v>
                </c:pt>
                <c:pt idx="45">
                  <c:v>64.742379282438634</c:v>
                </c:pt>
                <c:pt idx="46">
                  <c:v>66.133921190410575</c:v>
                </c:pt>
                <c:pt idx="47">
                  <c:v>66.097493803359953</c:v>
                </c:pt>
                <c:pt idx="48">
                  <c:v>69.49471550600839</c:v>
                </c:pt>
                <c:pt idx="50">
                  <c:v>74.418604651162781</c:v>
                </c:pt>
                <c:pt idx="51">
                  <c:v>68.278805120910391</c:v>
                </c:pt>
                <c:pt idx="52">
                  <c:v>67.104711309939887</c:v>
                </c:pt>
                <c:pt idx="53">
                  <c:v>64.196870402567868</c:v>
                </c:pt>
                <c:pt idx="54">
                  <c:v>63.534083388484447</c:v>
                </c:pt>
                <c:pt idx="55">
                  <c:v>65.609622744669224</c:v>
                </c:pt>
                <c:pt idx="56">
                  <c:v>65.173116089613032</c:v>
                </c:pt>
                <c:pt idx="57">
                  <c:v>66.006600660065999</c:v>
                </c:pt>
                <c:pt idx="58">
                  <c:v>64.542154094392899</c:v>
                </c:pt>
                <c:pt idx="59">
                  <c:v>67.482075073808517</c:v>
                </c:pt>
                <c:pt idx="60">
                  <c:v>67.863707054997889</c:v>
                </c:pt>
                <c:pt idx="61">
                  <c:v>66.472787702534276</c:v>
                </c:pt>
                <c:pt idx="62">
                  <c:v>71.090047393364927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AF-449E-83A9-77FF2FA437F9}"/>
            </c:ext>
          </c:extLst>
        </c:ser>
        <c:ser>
          <c:idx val="1"/>
          <c:order val="1"/>
          <c:tx>
            <c:v>Media</c:v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'1-Media'!$E$4:$E$66</c:f>
              <c:numCache>
                <c:formatCode>0.0</c:formatCode>
                <c:ptCount val="63"/>
                <c:pt idx="0">
                  <c:v>291.00091538682574</c:v>
                </c:pt>
                <c:pt idx="6">
                  <c:v>235.29411764705884</c:v>
                </c:pt>
                <c:pt idx="7">
                  <c:v>72.767742623309502</c:v>
                </c:pt>
                <c:pt idx="8">
                  <c:v>488.8077872267512</c:v>
                </c:pt>
                <c:pt idx="14">
                  <c:v>326.9190875820002</c:v>
                </c:pt>
                <c:pt idx="15">
                  <c:v>352.94207725584778</c:v>
                </c:pt>
                <c:pt idx="28">
                  <c:v>309.21953308225221</c:v>
                </c:pt>
                <c:pt idx="29">
                  <c:v>129.12436651675904</c:v>
                </c:pt>
                <c:pt idx="30">
                  <c:v>129.62439174014085</c:v>
                </c:pt>
                <c:pt idx="31">
                  <c:v>83.136933092059849</c:v>
                </c:pt>
                <c:pt idx="33">
                  <c:v>156.67409694195689</c:v>
                </c:pt>
                <c:pt idx="34">
                  <c:v>51.389910186730361</c:v>
                </c:pt>
                <c:pt idx="35">
                  <c:v>382.42437449087356</c:v>
                </c:pt>
                <c:pt idx="36">
                  <c:v>100.71995893031402</c:v>
                </c:pt>
                <c:pt idx="37">
                  <c:v>13.647733808682398</c:v>
                </c:pt>
                <c:pt idx="40">
                  <c:v>157.80559300599219</c:v>
                </c:pt>
                <c:pt idx="41">
                  <c:v>41.039079181135008</c:v>
                </c:pt>
                <c:pt idx="43">
                  <c:v>217.82697550495936</c:v>
                </c:pt>
                <c:pt idx="44">
                  <c:v>191.82521998712207</c:v>
                </c:pt>
                <c:pt idx="45">
                  <c:v>43.948860125163009</c:v>
                </c:pt>
                <c:pt idx="47">
                  <c:v>182.24204841819687</c:v>
                </c:pt>
                <c:pt idx="48">
                  <c:v>364.96747203926793</c:v>
                </c:pt>
                <c:pt idx="51">
                  <c:v>109.60211297688704</c:v>
                </c:pt>
                <c:pt idx="52">
                  <c:v>94.396069557167621</c:v>
                </c:pt>
                <c:pt idx="53">
                  <c:v>94.620918992338062</c:v>
                </c:pt>
                <c:pt idx="54">
                  <c:v>63.470091202686206</c:v>
                </c:pt>
                <c:pt idx="55">
                  <c:v>57.904698092512263</c:v>
                </c:pt>
                <c:pt idx="56">
                  <c:v>35.378168967389186</c:v>
                </c:pt>
                <c:pt idx="57">
                  <c:v>28.996248036582546</c:v>
                </c:pt>
                <c:pt idx="58">
                  <c:v>58.315841644263173</c:v>
                </c:pt>
                <c:pt idx="59">
                  <c:v>87.731719369410115</c:v>
                </c:pt>
                <c:pt idx="60">
                  <c:v>48.591924184501153</c:v>
                </c:pt>
                <c:pt idx="61">
                  <c:v>64.456557962066825</c:v>
                </c:pt>
                <c:pt idx="62">
                  <c:v>50.772460981892408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AF-449E-83A9-77FF2FA437F9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'G-SBR'!$B$4:$B$80</c:f>
              <c:numCache>
                <c:formatCode>General</c:formatCode>
                <c:ptCount val="7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</c:numCache>
            </c:numRef>
          </c:xVal>
          <c:yVal>
            <c:numRef>
              <c:f>'G-SBR'!$D$4:$D$80</c:f>
              <c:numCache>
                <c:formatCode>0.0</c:formatCode>
                <c:ptCount val="77"/>
                <c:pt idx="0">
                  <c:v>48.344439999999999</c:v>
                </c:pt>
                <c:pt idx="14">
                  <c:v>48.344439999999999</c:v>
                </c:pt>
                <c:pt idx="15">
                  <c:v>119</c:v>
                </c:pt>
                <c:pt idx="27">
                  <c:v>67.062960000000004</c:v>
                </c:pt>
                <c:pt idx="28">
                  <c:v>17.733339999999998</c:v>
                </c:pt>
                <c:pt idx="29">
                  <c:v>18.50741</c:v>
                </c:pt>
                <c:pt idx="30">
                  <c:v>18.718520000000002</c:v>
                </c:pt>
                <c:pt idx="31">
                  <c:v>68.751850000000005</c:v>
                </c:pt>
                <c:pt idx="32">
                  <c:v>87.400009999999995</c:v>
                </c:pt>
                <c:pt idx="33">
                  <c:v>103.65560000000001</c:v>
                </c:pt>
                <c:pt idx="34">
                  <c:v>100.2778</c:v>
                </c:pt>
                <c:pt idx="35">
                  <c:v>104.21850000000001</c:v>
                </c:pt>
                <c:pt idx="36">
                  <c:v>104.21850000000001</c:v>
                </c:pt>
                <c:pt idx="37">
                  <c:v>114.1407</c:v>
                </c:pt>
                <c:pt idx="38">
                  <c:v>109.7778</c:v>
                </c:pt>
                <c:pt idx="39">
                  <c:v>120.12220000000001</c:v>
                </c:pt>
                <c:pt idx="40">
                  <c:v>117.7296</c:v>
                </c:pt>
                <c:pt idx="56" formatCode="General">
                  <c:v>40</c:v>
                </c:pt>
                <c:pt idx="57" formatCode="General">
                  <c:v>40</c:v>
                </c:pt>
                <c:pt idx="72" formatCode="General">
                  <c:v>19.5</c:v>
                </c:pt>
                <c:pt idx="73" formatCode="General">
                  <c:v>20.7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AF-449E-83A9-77FF2FA4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574208"/>
        <c:axId val="494580864"/>
      </c:scatterChart>
      <c:valAx>
        <c:axId val="49457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 d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580864"/>
        <c:crosses val="autoZero"/>
        <c:crossBetween val="midCat"/>
      </c:valAx>
      <c:valAx>
        <c:axId val="494580864"/>
        <c:scaling>
          <c:orientation val="minMax"/>
          <c:max val="1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Hydraulic</a:t>
                </a:r>
                <a:r>
                  <a:rPr lang="en-GB" baseline="0"/>
                  <a:t> retention time, h</a:t>
                </a:r>
                <a:endParaRPr lang="en-GB"/>
              </a:p>
            </c:rich>
          </c:tx>
          <c:overlay val="0"/>
        </c:title>
        <c:numFmt formatCode="0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574208"/>
        <c:crosses val="autoZero"/>
        <c:crossBetween val="midCat"/>
        <c:majorUnit val="50"/>
      </c:valAx>
    </c:plotArea>
    <c:legend>
      <c:legendPos val="b"/>
      <c:layout>
        <c:manualLayout>
          <c:xMode val="edge"/>
          <c:yMode val="edge"/>
          <c:x val="6.3987288321656101E-3"/>
          <c:y val="0.90681445791854198"/>
          <c:w val="0.99090782968253355"/>
          <c:h val="7.992567513952442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Alkalinity as CaCO</a:t>
            </a:r>
            <a:r>
              <a:rPr lang="en-GB" sz="1000" baseline="-25000"/>
              <a:t>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56545433107776"/>
          <c:y val="6.0425306025618894E-2"/>
          <c:w val="0.86145957651172889"/>
          <c:h val="0.78570925925925927"/>
        </c:manualLayout>
      </c:layout>
      <c:scatterChart>
        <c:scatterStyle val="lineMarker"/>
        <c:varyColors val="0"/>
        <c:ser>
          <c:idx val="4"/>
          <c:order val="0"/>
          <c:tx>
            <c:v>Influent</c:v>
          </c:tx>
          <c:spPr>
            <a:ln w="22225">
              <a:noFill/>
              <a:prstDash val="lgDash"/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'1-Influent'!$B$4:$B$2657</c:f>
              <c:numCache>
                <c:formatCode>General</c:formatCode>
                <c:ptCount val="26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'1-Influent'!$G$4:$G$2657</c:f>
              <c:numCache>
                <c:formatCode>General</c:formatCode>
                <c:ptCount val="2654"/>
                <c:pt idx="0">
                  <c:v>3009</c:v>
                </c:pt>
                <c:pt idx="1">
                  <c:v>3924</c:v>
                </c:pt>
                <c:pt idx="6" formatCode="0">
                  <c:v>5393</c:v>
                </c:pt>
                <c:pt idx="7" formatCode="0">
                  <c:v>5559</c:v>
                </c:pt>
                <c:pt idx="8" formatCode="0">
                  <c:v>5498</c:v>
                </c:pt>
                <c:pt idx="9" formatCode="0">
                  <c:v>5058</c:v>
                </c:pt>
                <c:pt idx="10" formatCode="0">
                  <c:v>5334</c:v>
                </c:pt>
                <c:pt idx="11" formatCode="0">
                  <c:v>5389</c:v>
                </c:pt>
                <c:pt idx="12" formatCode="0">
                  <c:v>5210</c:v>
                </c:pt>
                <c:pt idx="13" formatCode="0">
                  <c:v>5268</c:v>
                </c:pt>
                <c:pt idx="14" formatCode="0">
                  <c:v>4644</c:v>
                </c:pt>
                <c:pt idx="15" formatCode="0">
                  <c:v>5012</c:v>
                </c:pt>
                <c:pt idx="27">
                  <c:v>4419</c:v>
                </c:pt>
                <c:pt idx="28">
                  <c:v>4297</c:v>
                </c:pt>
                <c:pt idx="29">
                  <c:v>4824</c:v>
                </c:pt>
                <c:pt idx="30">
                  <c:v>5050</c:v>
                </c:pt>
                <c:pt idx="31">
                  <c:v>4736</c:v>
                </c:pt>
                <c:pt idx="32">
                  <c:v>4833</c:v>
                </c:pt>
                <c:pt idx="33">
                  <c:v>5126</c:v>
                </c:pt>
                <c:pt idx="34">
                  <c:v>4651</c:v>
                </c:pt>
                <c:pt idx="35">
                  <c:v>4520</c:v>
                </c:pt>
                <c:pt idx="36">
                  <c:v>5525</c:v>
                </c:pt>
                <c:pt idx="37">
                  <c:v>5186</c:v>
                </c:pt>
                <c:pt idx="38">
                  <c:v>5607</c:v>
                </c:pt>
                <c:pt idx="39">
                  <c:v>5402</c:v>
                </c:pt>
                <c:pt idx="40">
                  <c:v>5678</c:v>
                </c:pt>
                <c:pt idx="41">
                  <c:v>4423</c:v>
                </c:pt>
                <c:pt idx="42">
                  <c:v>4970</c:v>
                </c:pt>
                <c:pt idx="43">
                  <c:v>5247</c:v>
                </c:pt>
                <c:pt idx="44" formatCode="0">
                  <c:v>4626</c:v>
                </c:pt>
                <c:pt idx="45" formatCode="0">
                  <c:v>4968</c:v>
                </c:pt>
                <c:pt idx="46" formatCode="0">
                  <c:v>5227</c:v>
                </c:pt>
                <c:pt idx="47" formatCode="0">
                  <c:v>4976</c:v>
                </c:pt>
                <c:pt idx="48" formatCode="0">
                  <c:v>5073</c:v>
                </c:pt>
                <c:pt idx="49" formatCode="0">
                  <c:v>4694</c:v>
                </c:pt>
                <c:pt idx="50" formatCode="0">
                  <c:v>3822</c:v>
                </c:pt>
                <c:pt idx="51" formatCode="0">
                  <c:v>3907</c:v>
                </c:pt>
                <c:pt idx="52" formatCode="0">
                  <c:v>4556</c:v>
                </c:pt>
                <c:pt idx="53" formatCode="0">
                  <c:v>4630</c:v>
                </c:pt>
                <c:pt idx="54" formatCode="0">
                  <c:v>4598</c:v>
                </c:pt>
                <c:pt idx="55" formatCode="0">
                  <c:v>4763</c:v>
                </c:pt>
                <c:pt idx="56" formatCode="0">
                  <c:v>4818</c:v>
                </c:pt>
                <c:pt idx="57" formatCode="0">
                  <c:v>4778</c:v>
                </c:pt>
                <c:pt idx="58" formatCode="0">
                  <c:v>4701</c:v>
                </c:pt>
                <c:pt idx="59" formatCode="0">
                  <c:v>4773</c:v>
                </c:pt>
                <c:pt idx="60" formatCode="0">
                  <c:v>4517</c:v>
                </c:pt>
                <c:pt idx="61" formatCode="0">
                  <c:v>4521</c:v>
                </c:pt>
                <c:pt idx="62" formatCode="0">
                  <c:v>4615</c:v>
                </c:pt>
                <c:pt idx="63" formatCode="0">
                  <c:v>4534</c:v>
                </c:pt>
                <c:pt idx="64" formatCode="0">
                  <c:v>4629</c:v>
                </c:pt>
                <c:pt idx="65" formatCode="0">
                  <c:v>4512</c:v>
                </c:pt>
                <c:pt idx="66" formatCode="0">
                  <c:v>4491</c:v>
                </c:pt>
                <c:pt idx="67" formatCode="0">
                  <c:v>4466</c:v>
                </c:pt>
                <c:pt idx="68" formatCode="0">
                  <c:v>4524</c:v>
                </c:pt>
                <c:pt idx="69" formatCode="0">
                  <c:v>4524</c:v>
                </c:pt>
                <c:pt idx="70" formatCode="0">
                  <c:v>4383</c:v>
                </c:pt>
                <c:pt idx="71" formatCode="0">
                  <c:v>4365</c:v>
                </c:pt>
                <c:pt idx="72" formatCode="0">
                  <c:v>4601</c:v>
                </c:pt>
                <c:pt idx="73" formatCode="0">
                  <c:v>4350</c:v>
                </c:pt>
                <c:pt idx="74" formatCode="0">
                  <c:v>4425</c:v>
                </c:pt>
                <c:pt idx="75" formatCode="0">
                  <c:v>4701</c:v>
                </c:pt>
                <c:pt idx="76">
                  <c:v>4751</c:v>
                </c:pt>
                <c:pt idx="77">
                  <c:v>4719</c:v>
                </c:pt>
                <c:pt idx="78">
                  <c:v>4893</c:v>
                </c:pt>
                <c:pt idx="79">
                  <c:v>4853</c:v>
                </c:pt>
                <c:pt idx="80">
                  <c:v>4875</c:v>
                </c:pt>
                <c:pt idx="81">
                  <c:v>4858</c:v>
                </c:pt>
                <c:pt idx="82">
                  <c:v>4522</c:v>
                </c:pt>
                <c:pt idx="83">
                  <c:v>4426</c:v>
                </c:pt>
                <c:pt idx="84">
                  <c:v>4438</c:v>
                </c:pt>
                <c:pt idx="85" formatCode="0">
                  <c:v>4409</c:v>
                </c:pt>
                <c:pt idx="86" formatCode="0">
                  <c:v>4299</c:v>
                </c:pt>
                <c:pt idx="87" formatCode="0">
                  <c:v>4215</c:v>
                </c:pt>
                <c:pt idx="88" formatCode="0">
                  <c:v>4148</c:v>
                </c:pt>
                <c:pt idx="89" formatCode="0">
                  <c:v>4174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39-4FA2-B040-EF8513933778}"/>
            </c:ext>
          </c:extLst>
        </c:ser>
        <c:ser>
          <c:idx val="5"/>
          <c:order val="1"/>
          <c:tx>
            <c:v>S-SBR</c:v>
          </c:tx>
          <c:spPr>
            <a:ln w="22225">
              <a:noFill/>
              <a:prstDash val="lgDash"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'S-SBR'!$B$4:$B$3114</c:f>
              <c:numCache>
                <c:formatCode>General</c:formatCode>
                <c:ptCount val="31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'S-SBR'!$O$4:$O$3114</c:f>
              <c:numCache>
                <c:formatCode>General</c:formatCode>
                <c:ptCount val="3111"/>
                <c:pt idx="0">
                  <c:v>2117</c:v>
                </c:pt>
                <c:pt idx="6">
                  <c:v>1105</c:v>
                </c:pt>
                <c:pt idx="7">
                  <c:v>1176</c:v>
                </c:pt>
                <c:pt idx="8">
                  <c:v>1058</c:v>
                </c:pt>
                <c:pt idx="10">
                  <c:v>600</c:v>
                </c:pt>
                <c:pt idx="11">
                  <c:v>588</c:v>
                </c:pt>
                <c:pt idx="14">
                  <c:v>573</c:v>
                </c:pt>
                <c:pt idx="15">
                  <c:v>579</c:v>
                </c:pt>
                <c:pt idx="27">
                  <c:v>761</c:v>
                </c:pt>
                <c:pt idx="28">
                  <c:v>750</c:v>
                </c:pt>
                <c:pt idx="29">
                  <c:v>795</c:v>
                </c:pt>
                <c:pt idx="30">
                  <c:v>637</c:v>
                </c:pt>
                <c:pt idx="31">
                  <c:v>610</c:v>
                </c:pt>
                <c:pt idx="32">
                  <c:v>721</c:v>
                </c:pt>
                <c:pt idx="33">
                  <c:v>611</c:v>
                </c:pt>
                <c:pt idx="34">
                  <c:v>555</c:v>
                </c:pt>
                <c:pt idx="35">
                  <c:v>569</c:v>
                </c:pt>
                <c:pt idx="36">
                  <c:v>656</c:v>
                </c:pt>
                <c:pt idx="37">
                  <c:v>809</c:v>
                </c:pt>
                <c:pt idx="38">
                  <c:v>636</c:v>
                </c:pt>
                <c:pt idx="39">
                  <c:v>709</c:v>
                </c:pt>
                <c:pt idx="41">
                  <c:v>584</c:v>
                </c:pt>
                <c:pt idx="42">
                  <c:v>637</c:v>
                </c:pt>
                <c:pt idx="43">
                  <c:v>596</c:v>
                </c:pt>
                <c:pt idx="44">
                  <c:v>559</c:v>
                </c:pt>
                <c:pt idx="45">
                  <c:v>576</c:v>
                </c:pt>
                <c:pt idx="46">
                  <c:v>551</c:v>
                </c:pt>
                <c:pt idx="47">
                  <c:v>1061</c:v>
                </c:pt>
                <c:pt idx="48">
                  <c:v>2434</c:v>
                </c:pt>
                <c:pt idx="50">
                  <c:v>620</c:v>
                </c:pt>
                <c:pt idx="51">
                  <c:v>637</c:v>
                </c:pt>
                <c:pt idx="52">
                  <c:v>481</c:v>
                </c:pt>
                <c:pt idx="53">
                  <c:v>583</c:v>
                </c:pt>
                <c:pt idx="54">
                  <c:v>582</c:v>
                </c:pt>
                <c:pt idx="55">
                  <c:v>585</c:v>
                </c:pt>
                <c:pt idx="56">
                  <c:v>615</c:v>
                </c:pt>
                <c:pt idx="57">
                  <c:v>610</c:v>
                </c:pt>
                <c:pt idx="58">
                  <c:v>574</c:v>
                </c:pt>
                <c:pt idx="59">
                  <c:v>603</c:v>
                </c:pt>
                <c:pt idx="60">
                  <c:v>470</c:v>
                </c:pt>
                <c:pt idx="61">
                  <c:v>560</c:v>
                </c:pt>
                <c:pt idx="62">
                  <c:v>677</c:v>
                </c:pt>
                <c:pt idx="63">
                  <c:v>659</c:v>
                </c:pt>
                <c:pt idx="69">
                  <c:v>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39-4FA2-B040-EF8513933778}"/>
            </c:ext>
          </c:extLst>
        </c:ser>
        <c:ser>
          <c:idx val="6"/>
          <c:order val="2"/>
          <c:tx>
            <c:v>Media</c:v>
          </c:tx>
          <c:spPr>
            <a:ln w="22225">
              <a:noFill/>
              <a:prstDash val="lgDash"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'1-Media'!$M$4:$M$66</c:f>
              <c:numCache>
                <c:formatCode>General</c:formatCode>
                <c:ptCount val="63"/>
                <c:pt idx="0">
                  <c:v>1631</c:v>
                </c:pt>
                <c:pt idx="6">
                  <c:v>989</c:v>
                </c:pt>
                <c:pt idx="7">
                  <c:v>1205</c:v>
                </c:pt>
                <c:pt idx="8">
                  <c:v>1001</c:v>
                </c:pt>
                <c:pt idx="14">
                  <c:v>180</c:v>
                </c:pt>
                <c:pt idx="15">
                  <c:v>194</c:v>
                </c:pt>
                <c:pt idx="28">
                  <c:v>517</c:v>
                </c:pt>
                <c:pt idx="29">
                  <c:v>1901</c:v>
                </c:pt>
                <c:pt idx="30">
                  <c:v>510</c:v>
                </c:pt>
                <c:pt idx="31">
                  <c:v>497</c:v>
                </c:pt>
                <c:pt idx="33">
                  <c:v>492</c:v>
                </c:pt>
                <c:pt idx="34">
                  <c:v>900</c:v>
                </c:pt>
                <c:pt idx="35">
                  <c:v>909</c:v>
                </c:pt>
                <c:pt idx="36">
                  <c:v>3231</c:v>
                </c:pt>
                <c:pt idx="37">
                  <c:v>3994</c:v>
                </c:pt>
                <c:pt idx="40">
                  <c:v>3151</c:v>
                </c:pt>
                <c:pt idx="41">
                  <c:v>2324</c:v>
                </c:pt>
                <c:pt idx="43">
                  <c:v>2702</c:v>
                </c:pt>
                <c:pt idx="44">
                  <c:v>1837</c:v>
                </c:pt>
                <c:pt idx="45">
                  <c:v>1221</c:v>
                </c:pt>
                <c:pt idx="47">
                  <c:v>1361</c:v>
                </c:pt>
                <c:pt idx="48">
                  <c:v>1427</c:v>
                </c:pt>
                <c:pt idx="51">
                  <c:v>556</c:v>
                </c:pt>
                <c:pt idx="52">
                  <c:v>686</c:v>
                </c:pt>
                <c:pt idx="53">
                  <c:v>732</c:v>
                </c:pt>
                <c:pt idx="54">
                  <c:v>943</c:v>
                </c:pt>
                <c:pt idx="55">
                  <c:v>1972</c:v>
                </c:pt>
                <c:pt idx="56">
                  <c:v>2752</c:v>
                </c:pt>
                <c:pt idx="57">
                  <c:v>3326</c:v>
                </c:pt>
                <c:pt idx="58">
                  <c:v>2446</c:v>
                </c:pt>
                <c:pt idx="59">
                  <c:v>2253</c:v>
                </c:pt>
                <c:pt idx="60">
                  <c:v>2149</c:v>
                </c:pt>
                <c:pt idx="61">
                  <c:v>2177</c:v>
                </c:pt>
                <c:pt idx="62">
                  <c:v>1892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D39-4FA2-B040-EF8513933778}"/>
            </c:ext>
          </c:extLst>
        </c:ser>
        <c:ser>
          <c:idx val="7"/>
          <c:order val="3"/>
          <c:tx>
            <c:v>G-SBR</c:v>
          </c:tx>
          <c:spPr>
            <a:ln w="22225">
              <a:noFill/>
              <a:prstDash val="lgDash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'G-SBR'!$N$4:$N$8987</c:f>
              <c:numCache>
                <c:formatCode>General</c:formatCode>
                <c:ptCount val="8984"/>
                <c:pt idx="0">
                  <c:v>630</c:v>
                </c:pt>
                <c:pt idx="14">
                  <c:v>322</c:v>
                </c:pt>
                <c:pt idx="15">
                  <c:v>544</c:v>
                </c:pt>
                <c:pt idx="27">
                  <c:v>772</c:v>
                </c:pt>
                <c:pt idx="28">
                  <c:v>566</c:v>
                </c:pt>
                <c:pt idx="29">
                  <c:v>440</c:v>
                </c:pt>
                <c:pt idx="30">
                  <c:v>616</c:v>
                </c:pt>
                <c:pt idx="31">
                  <c:v>724</c:v>
                </c:pt>
                <c:pt idx="32">
                  <c:v>612</c:v>
                </c:pt>
                <c:pt idx="33">
                  <c:v>618</c:v>
                </c:pt>
                <c:pt idx="34">
                  <c:v>653</c:v>
                </c:pt>
                <c:pt idx="35">
                  <c:v>640</c:v>
                </c:pt>
                <c:pt idx="36">
                  <c:v>662</c:v>
                </c:pt>
                <c:pt idx="37">
                  <c:v>787</c:v>
                </c:pt>
                <c:pt idx="38">
                  <c:v>840</c:v>
                </c:pt>
                <c:pt idx="39">
                  <c:v>746</c:v>
                </c:pt>
                <c:pt idx="40">
                  <c:v>889</c:v>
                </c:pt>
                <c:pt idx="56">
                  <c:v>4205</c:v>
                </c:pt>
                <c:pt idx="57">
                  <c:v>4112</c:v>
                </c:pt>
                <c:pt idx="72">
                  <c:v>253</c:v>
                </c:pt>
                <c:pt idx="73">
                  <c:v>272</c:v>
                </c:pt>
                <c:pt idx="77">
                  <c:v>365</c:v>
                </c:pt>
                <c:pt idx="78">
                  <c:v>379</c:v>
                </c:pt>
                <c:pt idx="79">
                  <c:v>377</c:v>
                </c:pt>
                <c:pt idx="80">
                  <c:v>373</c:v>
                </c:pt>
                <c:pt idx="85">
                  <c:v>401</c:v>
                </c:pt>
                <c:pt idx="86">
                  <c:v>472</c:v>
                </c:pt>
                <c:pt idx="87">
                  <c:v>299</c:v>
                </c:pt>
                <c:pt idx="88">
                  <c:v>274</c:v>
                </c:pt>
                <c:pt idx="89">
                  <c:v>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D39-4FA2-B040-EF851393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669440"/>
        <c:axId val="496671360"/>
      </c:scatterChart>
      <c:scatterChart>
        <c:scatterStyle val="lineMarker"/>
        <c:varyColors val="0"/>
        <c:ser>
          <c:idx val="1"/>
          <c:order val="4"/>
          <c:tx>
            <c:v>LTP</c:v>
          </c:tx>
          <c:spPr>
            <a:ln>
              <a:noFill/>
            </a:ln>
          </c:spPr>
          <c:marker>
            <c:symbol val="plus"/>
            <c:size val="5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'1-LTP'!$B$4:$B$50</c:f>
              <c:numCache>
                <c:formatCode>General</c:formatCode>
                <c:ptCount val="4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</c:numCache>
            </c:numRef>
          </c:xVal>
          <c:yVal>
            <c:numRef>
              <c:f>'1-LTP'!$O$4:$O$50</c:f>
              <c:numCache>
                <c:formatCode>General</c:formatCode>
                <c:ptCount val="47"/>
                <c:pt idx="0">
                  <c:v>1303</c:v>
                </c:pt>
                <c:pt idx="1">
                  <c:v>1271</c:v>
                </c:pt>
                <c:pt idx="12">
                  <c:v>1690</c:v>
                </c:pt>
                <c:pt idx="13">
                  <c:v>1489</c:v>
                </c:pt>
                <c:pt idx="14">
                  <c:v>1305</c:v>
                </c:pt>
                <c:pt idx="15">
                  <c:v>1251</c:v>
                </c:pt>
                <c:pt idx="27">
                  <c:v>1698</c:v>
                </c:pt>
                <c:pt idx="28">
                  <c:v>1407</c:v>
                </c:pt>
                <c:pt idx="29">
                  <c:v>1808</c:v>
                </c:pt>
                <c:pt idx="33">
                  <c:v>1294</c:v>
                </c:pt>
                <c:pt idx="34">
                  <c:v>1472</c:v>
                </c:pt>
                <c:pt idx="35">
                  <c:v>1756</c:v>
                </c:pt>
                <c:pt idx="36">
                  <c:v>2439</c:v>
                </c:pt>
                <c:pt idx="37">
                  <c:v>2425</c:v>
                </c:pt>
                <c:pt idx="38">
                  <c:v>2098</c:v>
                </c:pt>
                <c:pt idx="39">
                  <c:v>1203</c:v>
                </c:pt>
                <c:pt idx="40">
                  <c:v>1135</c:v>
                </c:pt>
                <c:pt idx="41">
                  <c:v>1344</c:v>
                </c:pt>
                <c:pt idx="42">
                  <c:v>1341</c:v>
                </c:pt>
                <c:pt idx="43">
                  <c:v>1568</c:v>
                </c:pt>
                <c:pt idx="44">
                  <c:v>1753</c:v>
                </c:pt>
                <c:pt idx="45">
                  <c:v>2075</c:v>
                </c:pt>
                <c:pt idx="46">
                  <c:v>1934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F6-4FF6-9BF1-5F9D5DEF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683264"/>
        <c:axId val="49668172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5"/>
                <c:spPr>
                  <a:ln w="19050">
                    <a:solidFill>
                      <a:schemeClr val="tx1">
                        <a:lumMod val="85000"/>
                        <a:lumOff val="15000"/>
                      </a:schemeClr>
                    </a:solidFill>
                    <a:prstDash val="lgDashDotDot"/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DataPlots!$R$286:$R$287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DataPlots!$T$286:$T$287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6333-4009-B52E-9AC2FC3CAA3A}"/>
                  </c:ext>
                </c:extLst>
              </c15:ser>
            </c15:filteredScatterSeries>
          </c:ext>
        </c:extLst>
      </c:scatterChart>
      <c:valAx>
        <c:axId val="49666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9838006965154097"/>
              <c:y val="0.9147647843385035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6671360"/>
        <c:crosses val="autoZero"/>
        <c:crossBetween val="midCat"/>
      </c:valAx>
      <c:valAx>
        <c:axId val="496671360"/>
        <c:scaling>
          <c:logBase val="10"/>
          <c:orientation val="minMax"/>
          <c:min val="10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aseline="0"/>
                  <a:t>Alaklinity as CaCO</a:t>
                </a:r>
                <a:r>
                  <a:rPr lang="en-GB" baseline="-25000"/>
                  <a:t>3</a:t>
                </a:r>
                <a:r>
                  <a:rPr lang="en-GB" baseline="0"/>
                  <a:t> </a:t>
                </a:r>
                <a:r>
                  <a:rPr lang="en-GB"/>
                  <a:t>(mg</a:t>
                </a:r>
                <a:r>
                  <a:rPr lang="en-GB" baseline="0"/>
                  <a:t> L</a:t>
                </a:r>
                <a:r>
                  <a:rPr lang="en-GB" baseline="30000"/>
                  <a:t>-1</a:t>
                </a:r>
                <a:r>
                  <a:rPr lang="en-GB"/>
                  <a:t>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6669440"/>
        <c:crosses val="autoZero"/>
        <c:crossBetween val="midCat"/>
      </c:valAx>
      <c:valAx>
        <c:axId val="496681728"/>
        <c:scaling>
          <c:orientation val="minMax"/>
          <c:max val="2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496683264"/>
        <c:crosses val="max"/>
        <c:crossBetween val="midCat"/>
      </c:valAx>
      <c:valAx>
        <c:axId val="49668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66817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5663516469148069"/>
          <c:w val="0.33663270202020201"/>
          <c:h val="4.3364814814814814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S-SBR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428343723268835E-2"/>
          <c:y val="8.3747531241076326E-2"/>
          <c:w val="0.87266336226537655"/>
          <c:h val="0.79494993183656548"/>
        </c:manualLayout>
      </c:layout>
      <c:areaChart>
        <c:grouping val="standard"/>
        <c:varyColors val="0"/>
        <c:ser>
          <c:idx val="0"/>
          <c:order val="0"/>
          <c:tx>
            <c:v>NLR</c:v>
          </c:tx>
          <c:spPr>
            <a:solidFill>
              <a:schemeClr val="accent2">
                <a:lumMod val="20000"/>
                <a:lumOff val="80000"/>
              </a:schemeClr>
            </a:solidFill>
            <a:ln w="15875">
              <a:solidFill>
                <a:srgbClr val="FF0000"/>
              </a:solidFill>
            </a:ln>
          </c:spPr>
          <c:cat>
            <c:numRef>
              <c:f>'S-SBR'!$B$4:$B$74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cat>
          <c:val>
            <c:numRef>
              <c:f>'S-SBR'!$AL$4:$AL$74</c:f>
              <c:numCache>
                <c:formatCode>0.000</c:formatCode>
                <c:ptCount val="71"/>
                <c:pt idx="0">
                  <c:v>0.53282175659999997</c:v>
                </c:pt>
                <c:pt idx="6">
                  <c:v>0.93127006000000001</c:v>
                </c:pt>
                <c:pt idx="7">
                  <c:v>0.94206520000000016</c:v>
                </c:pt>
                <c:pt idx="8">
                  <c:v>1.1074062</c:v>
                </c:pt>
                <c:pt idx="10">
                  <c:v>1.0751075999999999</c:v>
                </c:pt>
                <c:pt idx="11">
                  <c:v>2.0565350000000003E-2</c:v>
                </c:pt>
                <c:pt idx="14">
                  <c:v>0.78604995000000011</c:v>
                </c:pt>
                <c:pt idx="15">
                  <c:v>1.0216907999999998</c:v>
                </c:pt>
                <c:pt idx="27">
                  <c:v>0.89369899199999991</c:v>
                </c:pt>
                <c:pt idx="28">
                  <c:v>0.76767744000000016</c:v>
                </c:pt>
                <c:pt idx="29">
                  <c:v>0.90225980060000011</c:v>
                </c:pt>
                <c:pt idx="30">
                  <c:v>0.93707383999999994</c:v>
                </c:pt>
                <c:pt idx="31">
                  <c:v>0.97123835999999986</c:v>
                </c:pt>
                <c:pt idx="32">
                  <c:v>0.94787580000000016</c:v>
                </c:pt>
                <c:pt idx="33">
                  <c:v>0.99916464000000005</c:v>
                </c:pt>
                <c:pt idx="34">
                  <c:v>0.87439443419999974</c:v>
                </c:pt>
                <c:pt idx="35">
                  <c:v>0.83071866000000005</c:v>
                </c:pt>
                <c:pt idx="36">
                  <c:v>1.0634329079999998</c:v>
                </c:pt>
                <c:pt idx="37">
                  <c:v>0.90222698720000005</c:v>
                </c:pt>
                <c:pt idx="38">
                  <c:v>0.95590239199999993</c:v>
                </c:pt>
                <c:pt idx="39">
                  <c:v>0.94729899000000006</c:v>
                </c:pt>
                <c:pt idx="41">
                  <c:v>0.75150869999999981</c:v>
                </c:pt>
                <c:pt idx="42">
                  <c:v>0.87280887120000028</c:v>
                </c:pt>
                <c:pt idx="43">
                  <c:v>0.93699183999999969</c:v>
                </c:pt>
                <c:pt idx="44">
                  <c:v>0.39668750000000003</c:v>
                </c:pt>
                <c:pt idx="45">
                  <c:v>0.48498680999999993</c:v>
                </c:pt>
                <c:pt idx="46">
                  <c:v>0.50101974000000016</c:v>
                </c:pt>
                <c:pt idx="47">
                  <c:v>0.49291805369999997</c:v>
                </c:pt>
                <c:pt idx="48">
                  <c:v>0.46863995000000008</c:v>
                </c:pt>
                <c:pt idx="50">
                  <c:v>0.33614175000000002</c:v>
                </c:pt>
                <c:pt idx="51">
                  <c:v>0.36114867500000003</c:v>
                </c:pt>
                <c:pt idx="52">
                  <c:v>0.42978800499999997</c:v>
                </c:pt>
                <c:pt idx="53">
                  <c:v>0.47804199500000005</c:v>
                </c:pt>
                <c:pt idx="54">
                  <c:v>0.48642678624999997</c:v>
                </c:pt>
                <c:pt idx="55">
                  <c:v>0.48142938000000002</c:v>
                </c:pt>
                <c:pt idx="56">
                  <c:v>0.48351224999999998</c:v>
                </c:pt>
                <c:pt idx="57">
                  <c:v>0.48555144000000006</c:v>
                </c:pt>
                <c:pt idx="58">
                  <c:v>0.52403853690000002</c:v>
                </c:pt>
                <c:pt idx="59">
                  <c:v>0.49332211500000012</c:v>
                </c:pt>
                <c:pt idx="60">
                  <c:v>0.45881631509999998</c:v>
                </c:pt>
                <c:pt idx="61">
                  <c:v>0.47640547500000002</c:v>
                </c:pt>
                <c:pt idx="62">
                  <c:v>0.40822592000000002</c:v>
                </c:pt>
                <c:pt idx="63">
                  <c:v>0.41836154289999988</c:v>
                </c:pt>
                <c:pt idx="69">
                  <c:v>0.41996800000000006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AF8-47FC-9562-439C3C91F508}"/>
            </c:ext>
          </c:extLst>
        </c:ser>
        <c:ser>
          <c:idx val="1"/>
          <c:order val="1"/>
          <c:tx>
            <c:v>NRR</c:v>
          </c:tx>
          <c:spPr>
            <a:solidFill>
              <a:srgbClr val="FF0000"/>
            </a:solidFill>
            <a:ln w="15875">
              <a:solidFill>
                <a:srgbClr val="FF0000"/>
              </a:solidFill>
              <a:prstDash val="lgDash"/>
            </a:ln>
          </c:spPr>
          <c:cat>
            <c:numRef>
              <c:f>'S-SBR'!$B$4:$B$74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cat>
          <c:val>
            <c:numRef>
              <c:f>'S-SBR'!$AM$4:$AM$74</c:f>
              <c:numCache>
                <c:formatCode>0.000</c:formatCode>
                <c:ptCount val="71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  <c:pt idx="57">
                  <c:v>0.40233430800000008</c:v>
                </c:pt>
                <c:pt idx="58">
                  <c:v>0.45023746739999998</c:v>
                </c:pt>
                <c:pt idx="59">
                  <c:v>0.42267935550000019</c:v>
                </c:pt>
                <c:pt idx="60">
                  <c:v>0.38924275059999996</c:v>
                </c:pt>
                <c:pt idx="61">
                  <c:v>0.40514864699999997</c:v>
                </c:pt>
                <c:pt idx="62">
                  <c:v>0.33996319999999997</c:v>
                </c:pt>
                <c:pt idx="63">
                  <c:v>0.34637163289999989</c:v>
                </c:pt>
                <c:pt idx="69">
                  <c:v>0.36016540000000002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8AF8-47FC-9562-439C3C91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976640"/>
        <c:axId val="496978560"/>
        <c:extLst/>
      </c:areaChart>
      <c:dateAx>
        <c:axId val="49697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 d</a:t>
                </a:r>
              </a:p>
            </c:rich>
          </c:tx>
          <c:layout>
            <c:manualLayout>
              <c:xMode val="edge"/>
              <c:yMode val="edge"/>
              <c:x val="0.50054515771521046"/>
              <c:y val="0.92891332435073626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6978560"/>
        <c:crosses val="autoZero"/>
        <c:auto val="0"/>
        <c:lblOffset val="100"/>
        <c:baseTimeUnit val="days"/>
        <c:majorUnit val="10"/>
        <c:majorTimeUnit val="days"/>
        <c:minorUnit val="50"/>
      </c:dateAx>
      <c:valAx>
        <c:axId val="496978560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Nitrogen loading</a:t>
                </a:r>
                <a:r>
                  <a:rPr lang="en-GB" baseline="0"/>
                  <a:t> and removal rate,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6976640"/>
        <c:crosses val="autoZero"/>
        <c:crossBetween val="midCat"/>
        <c:majorUnit val="0.5"/>
      </c:valAx>
    </c:plotArea>
    <c:legend>
      <c:legendPos val="t"/>
      <c:layout>
        <c:manualLayout>
          <c:xMode val="edge"/>
          <c:yMode val="edge"/>
          <c:x val="9.7895905377535924E-2"/>
          <c:y val="8.6774561238961531E-2"/>
          <c:w val="0.11131408235570342"/>
          <c:h val="6.4863156485510692E-2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Media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97268475562459"/>
          <c:y val="8.2337869328238375E-2"/>
          <c:w val="0.8556884685265751"/>
          <c:h val="0.7898535661492978"/>
        </c:manualLayout>
      </c:layout>
      <c:areaChart>
        <c:grouping val="standard"/>
        <c:varyColors val="0"/>
        <c:ser>
          <c:idx val="2"/>
          <c:order val="0"/>
          <c:tx>
            <c:v>NLR</c:v>
          </c:tx>
          <c:spPr>
            <a:solidFill>
              <a:schemeClr val="accent6">
                <a:lumMod val="20000"/>
                <a:lumOff val="80000"/>
              </a:schemeClr>
            </a:solidFill>
            <a:ln w="15875">
              <a:solidFill>
                <a:schemeClr val="accent6"/>
              </a:solidFill>
            </a:ln>
          </c:spPr>
          <c:cat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cat>
          <c:val>
            <c:numRef>
              <c:f>'1-Media'!$AO$4:$AO$66</c:f>
              <c:numCache>
                <c:formatCode>0.00</c:formatCode>
                <c:ptCount val="63"/>
                <c:pt idx="0">
                  <c:v>7.1175776105265445E-2</c:v>
                </c:pt>
                <c:pt idx="6">
                  <c:v>0.14420759999999999</c:v>
                </c:pt>
                <c:pt idx="7">
                  <c:v>0.48891993508952852</c:v>
                </c:pt>
                <c:pt idx="8">
                  <c:v>7.0982502543284226E-2</c:v>
                </c:pt>
                <c:pt idx="14">
                  <c:v>9.0804119819262757E-2</c:v>
                </c:pt>
                <c:pt idx="15">
                  <c:v>9.0698168517875738E-2</c:v>
                </c:pt>
                <c:pt idx="28">
                  <c:v>9.1399141956799407E-2</c:v>
                </c:pt>
                <c:pt idx="29">
                  <c:v>0.25093612363081413</c:v>
                </c:pt>
                <c:pt idx="30">
                  <c:v>0.26991216336921486</c:v>
                </c:pt>
                <c:pt idx="31">
                  <c:v>0.43241431531028468</c:v>
                </c:pt>
                <c:pt idx="33">
                  <c:v>0.2300214311326215</c:v>
                </c:pt>
                <c:pt idx="34">
                  <c:v>0.59675247317164382</c:v>
                </c:pt>
                <c:pt idx="35">
                  <c:v>7.8302540312358213E-2</c:v>
                </c:pt>
                <c:pt idx="36">
                  <c:v>0.36137981375849354</c:v>
                </c:pt>
                <c:pt idx="40">
                  <c:v>0.21311989872705556</c:v>
                </c:pt>
                <c:pt idx="41">
                  <c:v>0.70498657809309639</c:v>
                </c:pt>
                <c:pt idx="43">
                  <c:v>0.16161083776879834</c:v>
                </c:pt>
                <c:pt idx="44">
                  <c:v>0.15881957545543424</c:v>
                </c:pt>
                <c:pt idx="45">
                  <c:v>0.71444856386667288</c:v>
                </c:pt>
                <c:pt idx="47">
                  <c:v>0.17877678769959887</c:v>
                </c:pt>
                <c:pt idx="48">
                  <c:v>8.92353497094555E-2</c:v>
                </c:pt>
                <c:pt idx="51">
                  <c:v>0.22498471361770248</c:v>
                </c:pt>
                <c:pt idx="52">
                  <c:v>0.30552967020023641</c:v>
                </c:pt>
                <c:pt idx="53">
                  <c:v>0.32433419931680252</c:v>
                </c:pt>
                <c:pt idx="54">
                  <c:v>0.48691721430348345</c:v>
                </c:pt>
                <c:pt idx="55">
                  <c:v>0.54548941693013486</c:v>
                </c:pt>
                <c:pt idx="56">
                  <c:v>0.89071879409720323</c:v>
                </c:pt>
                <c:pt idx="57">
                  <c:v>1.10530162245699</c:v>
                </c:pt>
                <c:pt idx="58">
                  <c:v>0.57998950278937289</c:v>
                </c:pt>
                <c:pt idx="59">
                  <c:v>0.37945682860522562</c:v>
                </c:pt>
                <c:pt idx="60">
                  <c:v>0.64078499714838266</c:v>
                </c:pt>
                <c:pt idx="61">
                  <c:v>0.49130764969852803</c:v>
                </c:pt>
                <c:pt idx="62">
                  <c:v>0.57158545082835432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C-4047-8A18-C7B05BE6276F}"/>
            </c:ext>
          </c:extLst>
        </c:ser>
        <c:ser>
          <c:idx val="3"/>
          <c:order val="1"/>
          <c:tx>
            <c:v>NRR</c:v>
          </c:tx>
          <c:spPr>
            <a:solidFill>
              <a:schemeClr val="accent6"/>
            </a:solidFill>
            <a:ln w="15875">
              <a:solidFill>
                <a:schemeClr val="accent6"/>
              </a:solidFill>
              <a:prstDash val="lgDash"/>
            </a:ln>
          </c:spPr>
          <c:cat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cat>
          <c:val>
            <c:numRef>
              <c:f>'1-Media'!$AP$4:$AP$66</c:f>
              <c:numCache>
                <c:formatCode>0.00</c:formatCode>
                <c:ptCount val="63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28">
                  <c:v>8.7728429474033712E-2</c:v>
                </c:pt>
                <c:pt idx="29">
                  <c:v>0.24318898785013118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36">
                  <c:v>0.15107948972187452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4">
                  <c:v>4.8370031847860824E-2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0">
                  <c:v>0.17960219000307931</c:v>
                </c:pt>
                <c:pt idx="61">
                  <c:v>0.12819424836279361</c:v>
                </c:pt>
                <c:pt idx="62">
                  <c:v>0.22189351829957502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6C-4047-8A18-C7B05BE62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13504"/>
        <c:axId val="497015424"/>
      </c:areaChart>
      <c:dateAx>
        <c:axId val="49701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</a:t>
                </a:r>
                <a:r>
                  <a:rPr lang="en-GB" baseline="0"/>
                  <a:t> d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1559389637614053"/>
              <c:y val="0.91887973653849608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7015424"/>
        <c:crosses val="autoZero"/>
        <c:auto val="0"/>
        <c:lblOffset val="100"/>
        <c:baseTimeUnit val="days"/>
        <c:majorUnit val="10"/>
        <c:majorTimeUnit val="days"/>
      </c:dateAx>
      <c:valAx>
        <c:axId val="497015424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Nitrogen loading and removal rate,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7013504"/>
        <c:crosses val="autoZero"/>
        <c:crossBetween val="midCat"/>
        <c:majorUnit val="0.5"/>
      </c:valAx>
    </c:plotArea>
    <c:legend>
      <c:legendPos val="t"/>
      <c:layout>
        <c:manualLayout>
          <c:xMode val="edge"/>
          <c:yMode val="edge"/>
          <c:x val="0.10279782090729599"/>
          <c:y val="8.822956695208696E-2"/>
          <c:w val="0.23024860463646449"/>
          <c:h val="4.7420230674262889E-2"/>
        </c:manualLayout>
      </c:layout>
      <c:overlay val="1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G-SBR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73743989529928"/>
          <c:y val="0.12869015201710673"/>
          <c:w val="0.85755801055218361"/>
          <c:h val="0.7380634165167872"/>
        </c:manualLayout>
      </c:layout>
      <c:areaChart>
        <c:grouping val="standard"/>
        <c:varyColors val="0"/>
        <c:ser>
          <c:idx val="4"/>
          <c:order val="0"/>
          <c:tx>
            <c:v>NLR</c:v>
          </c:tx>
          <c:spPr>
            <a:solidFill>
              <a:schemeClr val="accent4">
                <a:lumMod val="20000"/>
                <a:lumOff val="80000"/>
              </a:schemeClr>
            </a:solidFill>
            <a:ln w="15875">
              <a:solidFill>
                <a:schemeClr val="accent4"/>
              </a:solidFill>
              <a:prstDash val="solid"/>
            </a:ln>
          </c:spPr>
          <c:cat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cat>
          <c:val>
            <c:numRef>
              <c:f>'G-SBR'!$AN$4:$AN$8987</c:f>
              <c:numCache>
                <c:formatCode>0%</c:formatCode>
                <c:ptCount val="8984"/>
                <c:pt idx="0">
                  <c:v>0.91914429062529035</c:v>
                </c:pt>
                <c:pt idx="14">
                  <c:v>0.89086277997897634</c:v>
                </c:pt>
                <c:pt idx="15">
                  <c:v>0.84829034193161368</c:v>
                </c:pt>
                <c:pt idx="27">
                  <c:v>0.61965054226200722</c:v>
                </c:pt>
                <c:pt idx="28">
                  <c:v>0.5882113130626806</c:v>
                </c:pt>
                <c:pt idx="29">
                  <c:v>0.87966808067276914</c:v>
                </c:pt>
                <c:pt idx="30">
                  <c:v>0.18564763995609215</c:v>
                </c:pt>
                <c:pt idx="31">
                  <c:v>0.69041864191760693</c:v>
                </c:pt>
                <c:pt idx="32">
                  <c:v>0.64573648694703834</c:v>
                </c:pt>
                <c:pt idx="33">
                  <c:v>0.85089916078326888</c:v>
                </c:pt>
                <c:pt idx="34">
                  <c:v>0.86542364880811895</c:v>
                </c:pt>
                <c:pt idx="35">
                  <c:v>0.3773547094188377</c:v>
                </c:pt>
                <c:pt idx="36">
                  <c:v>0.89169406239516935</c:v>
                </c:pt>
                <c:pt idx="37">
                  <c:v>0.70167097966728276</c:v>
                </c:pt>
                <c:pt idx="38">
                  <c:v>0.61991644457249873</c:v>
                </c:pt>
                <c:pt idx="39">
                  <c:v>0.69482259998589269</c:v>
                </c:pt>
                <c:pt idx="40">
                  <c:v>0.84669206535277308</c:v>
                </c:pt>
                <c:pt idx="56">
                  <c:v>0.11921084704448508</c:v>
                </c:pt>
                <c:pt idx="57">
                  <c:v>0.10618401206636498</c:v>
                </c:pt>
                <c:pt idx="72">
                  <c:v>0.95973534971644625</c:v>
                </c:pt>
                <c:pt idx="73">
                  <c:v>0.94474341886037994</c:v>
                </c:pt>
                <c:pt idx="77">
                  <c:v>0.79240673233537584</c:v>
                </c:pt>
                <c:pt idx="78">
                  <c:v>0.80510652760371304</c:v>
                </c:pt>
                <c:pt idx="79">
                  <c:v>0.81323213419283291</c:v>
                </c:pt>
                <c:pt idx="80">
                  <c:v>0.81208869305664122</c:v>
                </c:pt>
                <c:pt idx="85">
                  <c:v>0.90687597301504919</c:v>
                </c:pt>
                <c:pt idx="86">
                  <c:v>0.89862716202590553</c:v>
                </c:pt>
                <c:pt idx="87">
                  <c:v>0.9108374384236454</c:v>
                </c:pt>
                <c:pt idx="88">
                  <c:v>0.90461464508892808</c:v>
                </c:pt>
                <c:pt idx="89">
                  <c:v>0.89379363187468075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0-43AE-B8FC-AF484DB262D4}"/>
            </c:ext>
          </c:extLst>
        </c:ser>
        <c:ser>
          <c:idx val="5"/>
          <c:order val="1"/>
          <c:tx>
            <c:v>NRR</c:v>
          </c:tx>
          <c:spPr>
            <a:solidFill>
              <a:schemeClr val="accent4"/>
            </a:solidFill>
            <a:ln w="15875">
              <a:solidFill>
                <a:schemeClr val="accent4"/>
              </a:solidFill>
              <a:prstDash val="lgDash"/>
            </a:ln>
          </c:spPr>
          <c:cat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cat>
          <c:val>
            <c:numRef>
              <c:f>'G-SBR'!$AO$4:$AO$8987</c:f>
              <c:numCache>
                <c:formatCode>0%</c:formatCode>
                <c:ptCount val="8984"/>
                <c:pt idx="0">
                  <c:v>0.89580641685080931</c:v>
                </c:pt>
                <c:pt idx="14">
                  <c:v>0.74980192416525182</c:v>
                </c:pt>
                <c:pt idx="15">
                  <c:v>0.73141400509821564</c:v>
                </c:pt>
                <c:pt idx="27">
                  <c:v>0.158659038747131</c:v>
                </c:pt>
                <c:pt idx="28">
                  <c:v>0.2452955163043479</c:v>
                </c:pt>
                <c:pt idx="29">
                  <c:v>0.75039293909555127</c:v>
                </c:pt>
                <c:pt idx="30">
                  <c:v>0.15214707092879678</c:v>
                </c:pt>
                <c:pt idx="31">
                  <c:v>0.66475732692436074</c:v>
                </c:pt>
                <c:pt idx="32">
                  <c:v>0.61436652354665022</c:v>
                </c:pt>
                <c:pt idx="33">
                  <c:v>0.78212573255194451</c:v>
                </c:pt>
                <c:pt idx="34">
                  <c:v>0.54776748051720381</c:v>
                </c:pt>
                <c:pt idx="35">
                  <c:v>3.153802997515439E-2</c:v>
                </c:pt>
                <c:pt idx="36">
                  <c:v>0.60877363031537857</c:v>
                </c:pt>
                <c:pt idx="37">
                  <c:v>0.36245955157569243</c:v>
                </c:pt>
                <c:pt idx="38">
                  <c:v>0.22093305944986072</c:v>
                </c:pt>
                <c:pt idx="39">
                  <c:v>0.2693067212074195</c:v>
                </c:pt>
                <c:pt idx="40">
                  <c:v>0.42100729815537286</c:v>
                </c:pt>
                <c:pt idx="56">
                  <c:v>0.11751713632901749</c:v>
                </c:pt>
                <c:pt idx="57">
                  <c:v>0.11090310019469832</c:v>
                </c:pt>
                <c:pt idx="72">
                  <c:v>0.93824800913667883</c:v>
                </c:pt>
                <c:pt idx="73">
                  <c:v>0.92168082625353998</c:v>
                </c:pt>
                <c:pt idx="77">
                  <c:v>0.59197363319115937</c:v>
                </c:pt>
                <c:pt idx="78">
                  <c:v>0.62297612052304052</c:v>
                </c:pt>
                <c:pt idx="79">
                  <c:v>0.64207498787164741</c:v>
                </c:pt>
                <c:pt idx="80">
                  <c:v>0.64520002842322177</c:v>
                </c:pt>
                <c:pt idx="85">
                  <c:v>0.8802607719540626</c:v>
                </c:pt>
                <c:pt idx="86">
                  <c:v>0.87732230161714941</c:v>
                </c:pt>
                <c:pt idx="87">
                  <c:v>0.88147200248177449</c:v>
                </c:pt>
                <c:pt idx="88">
                  <c:v>0.83505057633498003</c:v>
                </c:pt>
                <c:pt idx="89">
                  <c:v>0.81106775157754896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0-43AE-B8FC-AF484DB2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58560"/>
        <c:axId val="497060480"/>
      </c:areaChart>
      <c:dateAx>
        <c:axId val="49705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 d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7060480"/>
        <c:crosses val="autoZero"/>
        <c:auto val="0"/>
        <c:lblOffset val="100"/>
        <c:baseTimeUnit val="days"/>
        <c:majorUnit val="50"/>
        <c:majorTimeUnit val="days"/>
      </c:dateAx>
      <c:valAx>
        <c:axId val="497060480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Nitrogen loading</a:t>
                </a:r>
                <a:r>
                  <a:rPr lang="en-GB" baseline="0"/>
                  <a:t> and removal rate,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7058560"/>
        <c:crosses val="autoZero"/>
        <c:crossBetween val="midCat"/>
        <c:majorUnit val="0.5"/>
      </c:valAx>
    </c:plotArea>
    <c:legend>
      <c:legendPos val="t"/>
      <c:layout>
        <c:manualLayout>
          <c:xMode val="edge"/>
          <c:yMode val="edge"/>
          <c:x val="0.15363670019753728"/>
          <c:y val="0.13342234298073555"/>
          <c:w val="0.11953480209357757"/>
          <c:h val="4.7420230674262889E-2"/>
        </c:manualLayout>
      </c:layout>
      <c:overlay val="1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TSS effluent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7886332792802682E-2"/>
          <c:y val="0.11308523772613546"/>
          <c:w val="0.87901461674061143"/>
          <c:h val="0.66147519639445684"/>
        </c:manualLayout>
      </c:layout>
      <c:scatterChart>
        <c:scatterStyle val="lineMarker"/>
        <c:varyColors val="0"/>
        <c:ser>
          <c:idx val="0"/>
          <c:order val="0"/>
          <c:tx>
            <c:v>Influent</c:v>
          </c:tx>
          <c:spPr>
            <a:ln w="22225">
              <a:noFill/>
            </a:ln>
          </c:spPr>
          <c:marker>
            <c:symbol val="plus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'1-Influent'!$B$4:$B$2658</c:f>
              <c:numCache>
                <c:formatCode>General</c:formatCode>
                <c:ptCount val="26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'1-Influent'!$I$4:$I$2658</c:f>
              <c:numCache>
                <c:formatCode>General</c:formatCode>
                <c:ptCount val="2655"/>
                <c:pt idx="6">
                  <c:v>1100</c:v>
                </c:pt>
                <c:pt idx="7">
                  <c:v>806</c:v>
                </c:pt>
                <c:pt idx="8">
                  <c:v>786.7</c:v>
                </c:pt>
                <c:pt idx="9">
                  <c:v>1270</c:v>
                </c:pt>
                <c:pt idx="10">
                  <c:v>790</c:v>
                </c:pt>
                <c:pt idx="11">
                  <c:v>308</c:v>
                </c:pt>
                <c:pt idx="12">
                  <c:v>386.7</c:v>
                </c:pt>
                <c:pt idx="13">
                  <c:v>920</c:v>
                </c:pt>
                <c:pt idx="15">
                  <c:v>680</c:v>
                </c:pt>
                <c:pt idx="27">
                  <c:v>324</c:v>
                </c:pt>
                <c:pt idx="28">
                  <c:v>532</c:v>
                </c:pt>
                <c:pt idx="29">
                  <c:v>246</c:v>
                </c:pt>
                <c:pt idx="30">
                  <c:v>140</c:v>
                </c:pt>
                <c:pt idx="31">
                  <c:v>140</c:v>
                </c:pt>
                <c:pt idx="32">
                  <c:v>128</c:v>
                </c:pt>
                <c:pt idx="33">
                  <c:v>244</c:v>
                </c:pt>
                <c:pt idx="34">
                  <c:v>350</c:v>
                </c:pt>
                <c:pt idx="35">
                  <c:v>810</c:v>
                </c:pt>
                <c:pt idx="36">
                  <c:v>300</c:v>
                </c:pt>
                <c:pt idx="37">
                  <c:v>244</c:v>
                </c:pt>
                <c:pt idx="38">
                  <c:v>206</c:v>
                </c:pt>
                <c:pt idx="39">
                  <c:v>206</c:v>
                </c:pt>
                <c:pt idx="40">
                  <c:v>214</c:v>
                </c:pt>
                <c:pt idx="41">
                  <c:v>600</c:v>
                </c:pt>
                <c:pt idx="42">
                  <c:v>780</c:v>
                </c:pt>
                <c:pt idx="43">
                  <c:v>740</c:v>
                </c:pt>
                <c:pt idx="44">
                  <c:v>182</c:v>
                </c:pt>
                <c:pt idx="45">
                  <c:v>154</c:v>
                </c:pt>
                <c:pt idx="46">
                  <c:v>182</c:v>
                </c:pt>
                <c:pt idx="47">
                  <c:v>162</c:v>
                </c:pt>
                <c:pt idx="48">
                  <c:v>150</c:v>
                </c:pt>
                <c:pt idx="49">
                  <c:v>184</c:v>
                </c:pt>
                <c:pt idx="50">
                  <c:v>234</c:v>
                </c:pt>
                <c:pt idx="51">
                  <c:v>340</c:v>
                </c:pt>
                <c:pt idx="52">
                  <c:v>320</c:v>
                </c:pt>
                <c:pt idx="53">
                  <c:v>400</c:v>
                </c:pt>
                <c:pt idx="54">
                  <c:v>280</c:v>
                </c:pt>
                <c:pt idx="55">
                  <c:v>224</c:v>
                </c:pt>
                <c:pt idx="56">
                  <c:v>250</c:v>
                </c:pt>
                <c:pt idx="57">
                  <c:v>164</c:v>
                </c:pt>
                <c:pt idx="58">
                  <c:v>200</c:v>
                </c:pt>
                <c:pt idx="59">
                  <c:v>216</c:v>
                </c:pt>
                <c:pt idx="60">
                  <c:v>220</c:v>
                </c:pt>
                <c:pt idx="61">
                  <c:v>168</c:v>
                </c:pt>
                <c:pt idx="62">
                  <c:v>288</c:v>
                </c:pt>
                <c:pt idx="63">
                  <c:v>204</c:v>
                </c:pt>
                <c:pt idx="64">
                  <c:v>166</c:v>
                </c:pt>
                <c:pt idx="65">
                  <c:v>193.3</c:v>
                </c:pt>
                <c:pt idx="66">
                  <c:v>203.3</c:v>
                </c:pt>
                <c:pt idx="67">
                  <c:v>173.3</c:v>
                </c:pt>
                <c:pt idx="68">
                  <c:v>163.30000000000001</c:v>
                </c:pt>
                <c:pt idx="69">
                  <c:v>193.3</c:v>
                </c:pt>
                <c:pt idx="70">
                  <c:v>148</c:v>
                </c:pt>
                <c:pt idx="71">
                  <c:v>400</c:v>
                </c:pt>
                <c:pt idx="72">
                  <c:v>228</c:v>
                </c:pt>
                <c:pt idx="73">
                  <c:v>246</c:v>
                </c:pt>
                <c:pt idx="74">
                  <c:v>242</c:v>
                </c:pt>
                <c:pt idx="75">
                  <c:v>216</c:v>
                </c:pt>
                <c:pt idx="76">
                  <c:v>416</c:v>
                </c:pt>
                <c:pt idx="77">
                  <c:v>554</c:v>
                </c:pt>
                <c:pt idx="78">
                  <c:v>88</c:v>
                </c:pt>
                <c:pt idx="79">
                  <c:v>92</c:v>
                </c:pt>
                <c:pt idx="80">
                  <c:v>96</c:v>
                </c:pt>
                <c:pt idx="81">
                  <c:v>133.30000000000001</c:v>
                </c:pt>
                <c:pt idx="82">
                  <c:v>214</c:v>
                </c:pt>
                <c:pt idx="83">
                  <c:v>126</c:v>
                </c:pt>
                <c:pt idx="84">
                  <c:v>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39-4FA2-B040-EF8513933778}"/>
            </c:ext>
          </c:extLst>
        </c:ser>
        <c:ser>
          <c:idx val="1"/>
          <c:order val="1"/>
          <c:tx>
            <c:v>S-SBR</c:v>
          </c:tx>
          <c:spPr>
            <a:ln w="22225">
              <a:noFill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'S-SBR'!$B$4:$B$3114</c:f>
              <c:numCache>
                <c:formatCode>General</c:formatCode>
                <c:ptCount val="31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'S-SBR'!$Q$4:$Q$3114</c:f>
              <c:numCache>
                <c:formatCode>General</c:formatCode>
                <c:ptCount val="3111"/>
                <c:pt idx="0">
                  <c:v>286</c:v>
                </c:pt>
                <c:pt idx="6">
                  <c:v>418</c:v>
                </c:pt>
                <c:pt idx="7">
                  <c:v>240</c:v>
                </c:pt>
                <c:pt idx="8">
                  <c:v>316</c:v>
                </c:pt>
                <c:pt idx="10">
                  <c:v>160</c:v>
                </c:pt>
                <c:pt idx="11">
                  <c:v>113.3</c:v>
                </c:pt>
                <c:pt idx="14">
                  <c:v>6164</c:v>
                </c:pt>
                <c:pt idx="15">
                  <c:v>4300</c:v>
                </c:pt>
                <c:pt idx="27">
                  <c:v>312</c:v>
                </c:pt>
                <c:pt idx="28">
                  <c:v>280</c:v>
                </c:pt>
                <c:pt idx="29">
                  <c:v>204</c:v>
                </c:pt>
                <c:pt idx="30">
                  <c:v>124</c:v>
                </c:pt>
                <c:pt idx="31">
                  <c:v>215</c:v>
                </c:pt>
                <c:pt idx="32">
                  <c:v>124</c:v>
                </c:pt>
                <c:pt idx="33">
                  <c:v>110</c:v>
                </c:pt>
                <c:pt idx="34">
                  <c:v>118</c:v>
                </c:pt>
                <c:pt idx="35">
                  <c:v>80</c:v>
                </c:pt>
                <c:pt idx="36">
                  <c:v>74</c:v>
                </c:pt>
                <c:pt idx="37">
                  <c:v>82</c:v>
                </c:pt>
                <c:pt idx="38">
                  <c:v>64</c:v>
                </c:pt>
                <c:pt idx="39">
                  <c:v>192</c:v>
                </c:pt>
                <c:pt idx="41">
                  <c:v>210</c:v>
                </c:pt>
                <c:pt idx="42">
                  <c:v>300</c:v>
                </c:pt>
                <c:pt idx="43">
                  <c:v>520</c:v>
                </c:pt>
                <c:pt idx="44">
                  <c:v>138</c:v>
                </c:pt>
                <c:pt idx="45">
                  <c:v>122</c:v>
                </c:pt>
                <c:pt idx="46">
                  <c:v>110</c:v>
                </c:pt>
                <c:pt idx="47">
                  <c:v>102</c:v>
                </c:pt>
                <c:pt idx="48">
                  <c:v>292</c:v>
                </c:pt>
                <c:pt idx="50">
                  <c:v>232</c:v>
                </c:pt>
                <c:pt idx="51">
                  <c:v>320</c:v>
                </c:pt>
                <c:pt idx="52">
                  <c:v>300</c:v>
                </c:pt>
                <c:pt idx="53">
                  <c:v>280</c:v>
                </c:pt>
                <c:pt idx="54">
                  <c:v>220</c:v>
                </c:pt>
                <c:pt idx="55">
                  <c:v>52</c:v>
                </c:pt>
                <c:pt idx="56">
                  <c:v>62</c:v>
                </c:pt>
                <c:pt idx="57">
                  <c:v>60</c:v>
                </c:pt>
                <c:pt idx="58">
                  <c:v>58</c:v>
                </c:pt>
                <c:pt idx="59">
                  <c:v>66</c:v>
                </c:pt>
                <c:pt idx="60">
                  <c:v>54</c:v>
                </c:pt>
                <c:pt idx="61">
                  <c:v>72</c:v>
                </c:pt>
                <c:pt idx="62">
                  <c:v>73</c:v>
                </c:pt>
                <c:pt idx="63">
                  <c:v>61</c:v>
                </c:pt>
                <c:pt idx="69">
                  <c:v>146.69999999999999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39-4FA2-B040-EF8513933778}"/>
            </c:ext>
          </c:extLst>
        </c:ser>
        <c:ser>
          <c:idx val="2"/>
          <c:order val="2"/>
          <c:tx>
            <c:v>Media</c:v>
          </c:tx>
          <c:spPr>
            <a:ln w="2222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'1-Media'!$O$4:$O$66</c:f>
              <c:numCache>
                <c:formatCode>General</c:formatCode>
                <c:ptCount val="63"/>
                <c:pt idx="0">
                  <c:v>208</c:v>
                </c:pt>
                <c:pt idx="6">
                  <c:v>23460</c:v>
                </c:pt>
                <c:pt idx="7">
                  <c:v>12480</c:v>
                </c:pt>
                <c:pt idx="8">
                  <c:v>2506.6999999999998</c:v>
                </c:pt>
                <c:pt idx="14">
                  <c:v>262</c:v>
                </c:pt>
                <c:pt idx="15">
                  <c:v>74</c:v>
                </c:pt>
                <c:pt idx="28">
                  <c:v>1460</c:v>
                </c:pt>
                <c:pt idx="29">
                  <c:v>18140</c:v>
                </c:pt>
                <c:pt idx="30">
                  <c:v>18640</c:v>
                </c:pt>
                <c:pt idx="31">
                  <c:v>12840</c:v>
                </c:pt>
                <c:pt idx="33">
                  <c:v>13900</c:v>
                </c:pt>
                <c:pt idx="34">
                  <c:v>1320</c:v>
                </c:pt>
                <c:pt idx="35">
                  <c:v>532</c:v>
                </c:pt>
                <c:pt idx="36">
                  <c:v>296</c:v>
                </c:pt>
                <c:pt idx="37">
                  <c:v>210</c:v>
                </c:pt>
                <c:pt idx="40">
                  <c:v>310</c:v>
                </c:pt>
                <c:pt idx="41">
                  <c:v>580</c:v>
                </c:pt>
                <c:pt idx="43">
                  <c:v>420</c:v>
                </c:pt>
                <c:pt idx="44">
                  <c:v>456</c:v>
                </c:pt>
                <c:pt idx="45">
                  <c:v>166</c:v>
                </c:pt>
                <c:pt idx="47">
                  <c:v>190</c:v>
                </c:pt>
                <c:pt idx="48">
                  <c:v>138</c:v>
                </c:pt>
                <c:pt idx="51">
                  <c:v>160</c:v>
                </c:pt>
                <c:pt idx="52">
                  <c:v>120</c:v>
                </c:pt>
                <c:pt idx="53">
                  <c:v>120</c:v>
                </c:pt>
                <c:pt idx="54">
                  <c:v>140</c:v>
                </c:pt>
                <c:pt idx="55">
                  <c:v>72</c:v>
                </c:pt>
                <c:pt idx="56">
                  <c:v>100</c:v>
                </c:pt>
                <c:pt idx="57">
                  <c:v>108</c:v>
                </c:pt>
                <c:pt idx="58">
                  <c:v>54</c:v>
                </c:pt>
                <c:pt idx="59">
                  <c:v>76</c:v>
                </c:pt>
                <c:pt idx="60">
                  <c:v>64</c:v>
                </c:pt>
                <c:pt idx="61">
                  <c:v>72</c:v>
                </c:pt>
                <c:pt idx="62">
                  <c:v>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39-4FA2-B040-EF8513933778}"/>
            </c:ext>
          </c:extLst>
        </c:ser>
        <c:ser>
          <c:idx val="3"/>
          <c:order val="3"/>
          <c:tx>
            <c:v>G-SBR</c:v>
          </c:tx>
          <c:spPr>
            <a:ln w="2222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'G-SBR'!$P$4:$P$8987</c:f>
              <c:numCache>
                <c:formatCode>General</c:formatCode>
                <c:ptCount val="8984"/>
                <c:pt idx="0">
                  <c:v>68</c:v>
                </c:pt>
                <c:pt idx="14">
                  <c:v>190</c:v>
                </c:pt>
                <c:pt idx="15">
                  <c:v>128</c:v>
                </c:pt>
                <c:pt idx="27">
                  <c:v>104</c:v>
                </c:pt>
                <c:pt idx="28">
                  <c:v>54</c:v>
                </c:pt>
                <c:pt idx="29">
                  <c:v>44</c:v>
                </c:pt>
                <c:pt idx="30">
                  <c:v>456.7</c:v>
                </c:pt>
                <c:pt idx="31">
                  <c:v>1360</c:v>
                </c:pt>
                <c:pt idx="32">
                  <c:v>526.70000000000005</c:v>
                </c:pt>
                <c:pt idx="33">
                  <c:v>265</c:v>
                </c:pt>
                <c:pt idx="34">
                  <c:v>70</c:v>
                </c:pt>
                <c:pt idx="35">
                  <c:v>108</c:v>
                </c:pt>
                <c:pt idx="36">
                  <c:v>172</c:v>
                </c:pt>
                <c:pt idx="37">
                  <c:v>94</c:v>
                </c:pt>
                <c:pt idx="38">
                  <c:v>126</c:v>
                </c:pt>
                <c:pt idx="39">
                  <c:v>102</c:v>
                </c:pt>
                <c:pt idx="40">
                  <c:v>82</c:v>
                </c:pt>
                <c:pt idx="56">
                  <c:v>156</c:v>
                </c:pt>
                <c:pt idx="57">
                  <c:v>134</c:v>
                </c:pt>
                <c:pt idx="72">
                  <c:v>46</c:v>
                </c:pt>
                <c:pt idx="73">
                  <c:v>46</c:v>
                </c:pt>
                <c:pt idx="77">
                  <c:v>60</c:v>
                </c:pt>
                <c:pt idx="78">
                  <c:v>30</c:v>
                </c:pt>
                <c:pt idx="79">
                  <c:v>30</c:v>
                </c:pt>
                <c:pt idx="80">
                  <c:v>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39-4FA2-B040-EF851393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034176"/>
        <c:axId val="498036096"/>
      </c:scatterChart>
      <c:scatterChart>
        <c:scatterStyle val="lineMarker"/>
        <c:varyColors val="0"/>
        <c:ser>
          <c:idx val="4"/>
          <c:order val="4"/>
          <c:spPr>
            <a:ln w="19050">
              <a:solidFill>
                <a:schemeClr val="tx1"/>
              </a:solidFill>
              <a:prstDash val="lgDashDotDot"/>
            </a:ln>
          </c:spPr>
          <c:marker>
            <c:symbol val="none"/>
          </c:marker>
          <c:xVal>
            <c:numRef>
              <c:f>DataPlots!$R$286:$R$287</c:f>
              <c:numCache>
                <c:formatCode>General</c:formatCode>
                <c:ptCount val="2"/>
              </c:numCache>
            </c:numRef>
          </c:xVal>
          <c:yVal>
            <c:numRef>
              <c:f>DataPlots!$T$286:$T$287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DC-4CC4-90A4-0188E79B6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043904"/>
        <c:axId val="498042368"/>
      </c:scatterChart>
      <c:valAx>
        <c:axId val="49803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 d</a:t>
                </a:r>
              </a:p>
            </c:rich>
          </c:tx>
          <c:layout>
            <c:manualLayout>
              <c:xMode val="edge"/>
              <c:yMode val="edge"/>
              <c:x val="0.507441588510119"/>
              <c:y val="0.86466018590809723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8036096"/>
        <c:crosses val="autoZero"/>
        <c:crossBetween val="midCat"/>
      </c:valAx>
      <c:valAx>
        <c:axId val="498036096"/>
        <c:scaling>
          <c:logBase val="10"/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Total supended</a:t>
                </a:r>
                <a:r>
                  <a:rPr lang="en-GB" baseline="0"/>
                  <a:t> solids, mg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8034176"/>
        <c:crosses val="autoZero"/>
        <c:crossBetween val="midCat"/>
      </c:valAx>
      <c:valAx>
        <c:axId val="498042368"/>
        <c:scaling>
          <c:orientation val="minMax"/>
          <c:max val="2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498043904"/>
        <c:crosses val="max"/>
        <c:crossBetween val="midCat"/>
      </c:valAx>
      <c:valAx>
        <c:axId val="49804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8042368"/>
        <c:crosses val="autoZero"/>
        <c:crossBetween val="midCat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94620036862134171"/>
          <c:w val="0.99753016859326471"/>
          <c:h val="4.9910817974975097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VSS effluent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252905806769413"/>
          <c:y val="0.1224231744330613"/>
          <c:w val="0.8603091086699306"/>
          <c:h val="0.67431374667030974"/>
        </c:manualLayout>
      </c:layout>
      <c:scatterChart>
        <c:scatterStyle val="lineMarker"/>
        <c:varyColors val="0"/>
        <c:ser>
          <c:idx val="0"/>
          <c:order val="0"/>
          <c:tx>
            <c:v>Influent</c:v>
          </c:tx>
          <c:spPr>
            <a:ln w="22225">
              <a:noFill/>
            </a:ln>
          </c:spPr>
          <c:marker>
            <c:symbol val="plus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'1-Influent'!$B$4:$B$2658</c:f>
              <c:numCache>
                <c:formatCode>General</c:formatCode>
                <c:ptCount val="26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'1-Influent'!$J$4:$J$2658</c:f>
              <c:numCache>
                <c:formatCode>General</c:formatCode>
                <c:ptCount val="2655"/>
                <c:pt idx="6">
                  <c:v>434</c:v>
                </c:pt>
                <c:pt idx="7">
                  <c:v>277</c:v>
                </c:pt>
                <c:pt idx="8">
                  <c:v>295</c:v>
                </c:pt>
                <c:pt idx="9">
                  <c:v>385</c:v>
                </c:pt>
                <c:pt idx="10">
                  <c:v>215</c:v>
                </c:pt>
                <c:pt idx="11">
                  <c:v>78</c:v>
                </c:pt>
                <c:pt idx="12">
                  <c:v>110</c:v>
                </c:pt>
                <c:pt idx="13">
                  <c:v>225</c:v>
                </c:pt>
                <c:pt idx="34">
                  <c:v>90</c:v>
                </c:pt>
                <c:pt idx="35">
                  <c:v>320</c:v>
                </c:pt>
                <c:pt idx="36">
                  <c:v>96</c:v>
                </c:pt>
                <c:pt idx="37">
                  <c:v>26</c:v>
                </c:pt>
                <c:pt idx="38">
                  <c:v>33</c:v>
                </c:pt>
                <c:pt idx="39">
                  <c:v>29</c:v>
                </c:pt>
                <c:pt idx="40">
                  <c:v>39</c:v>
                </c:pt>
                <c:pt idx="41">
                  <c:v>13</c:v>
                </c:pt>
                <c:pt idx="42">
                  <c:v>150</c:v>
                </c:pt>
                <c:pt idx="43">
                  <c:v>50</c:v>
                </c:pt>
                <c:pt idx="44">
                  <c:v>37</c:v>
                </c:pt>
                <c:pt idx="45">
                  <c:v>29</c:v>
                </c:pt>
                <c:pt idx="46">
                  <c:v>27</c:v>
                </c:pt>
                <c:pt idx="47">
                  <c:v>33</c:v>
                </c:pt>
                <c:pt idx="48">
                  <c:v>27</c:v>
                </c:pt>
                <c:pt idx="51">
                  <c:v>300</c:v>
                </c:pt>
                <c:pt idx="52">
                  <c:v>360</c:v>
                </c:pt>
                <c:pt idx="53">
                  <c:v>280</c:v>
                </c:pt>
                <c:pt idx="55">
                  <c:v>74</c:v>
                </c:pt>
                <c:pt idx="56">
                  <c:v>86</c:v>
                </c:pt>
                <c:pt idx="57">
                  <c:v>54</c:v>
                </c:pt>
                <c:pt idx="58">
                  <c:v>122</c:v>
                </c:pt>
                <c:pt idx="59">
                  <c:v>86</c:v>
                </c:pt>
                <c:pt idx="60">
                  <c:v>78</c:v>
                </c:pt>
                <c:pt idx="61">
                  <c:v>62</c:v>
                </c:pt>
                <c:pt idx="62">
                  <c:v>107</c:v>
                </c:pt>
                <c:pt idx="63">
                  <c:v>65</c:v>
                </c:pt>
                <c:pt idx="64">
                  <c:v>41</c:v>
                </c:pt>
                <c:pt idx="65">
                  <c:v>13</c:v>
                </c:pt>
                <c:pt idx="66">
                  <c:v>60</c:v>
                </c:pt>
                <c:pt idx="67">
                  <c:v>13</c:v>
                </c:pt>
                <c:pt idx="68">
                  <c:v>27</c:v>
                </c:pt>
                <c:pt idx="69">
                  <c:v>45</c:v>
                </c:pt>
                <c:pt idx="70">
                  <c:v>25</c:v>
                </c:pt>
                <c:pt idx="71">
                  <c:v>148</c:v>
                </c:pt>
                <c:pt idx="72">
                  <c:v>80</c:v>
                </c:pt>
                <c:pt idx="73">
                  <c:v>79</c:v>
                </c:pt>
                <c:pt idx="74">
                  <c:v>77</c:v>
                </c:pt>
                <c:pt idx="75">
                  <c:v>57</c:v>
                </c:pt>
                <c:pt idx="76">
                  <c:v>140</c:v>
                </c:pt>
                <c:pt idx="77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39-4FA2-B040-EF8513933778}"/>
            </c:ext>
          </c:extLst>
        </c:ser>
        <c:ser>
          <c:idx val="1"/>
          <c:order val="1"/>
          <c:tx>
            <c:v>S-SBR</c:v>
          </c:tx>
          <c:spPr>
            <a:ln w="22225">
              <a:noFill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'S-SBR'!$B$4:$B$1434</c:f>
              <c:numCache>
                <c:formatCode>General</c:formatCode>
                <c:ptCount val="14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'S-SBR'!$R$4:$R$1434</c:f>
              <c:numCache>
                <c:formatCode>General</c:formatCode>
                <c:ptCount val="1431"/>
                <c:pt idx="0">
                  <c:v>130</c:v>
                </c:pt>
                <c:pt idx="6">
                  <c:v>155</c:v>
                </c:pt>
                <c:pt idx="7">
                  <c:v>91</c:v>
                </c:pt>
                <c:pt idx="8">
                  <c:v>127</c:v>
                </c:pt>
                <c:pt idx="10">
                  <c:v>48</c:v>
                </c:pt>
                <c:pt idx="11">
                  <c:v>32</c:v>
                </c:pt>
                <c:pt idx="34">
                  <c:v>32</c:v>
                </c:pt>
                <c:pt idx="35">
                  <c:v>46</c:v>
                </c:pt>
                <c:pt idx="36">
                  <c:v>32</c:v>
                </c:pt>
                <c:pt idx="44">
                  <c:v>29</c:v>
                </c:pt>
                <c:pt idx="45">
                  <c:v>45</c:v>
                </c:pt>
                <c:pt idx="46">
                  <c:v>23</c:v>
                </c:pt>
                <c:pt idx="47">
                  <c:v>35</c:v>
                </c:pt>
                <c:pt idx="48">
                  <c:v>93</c:v>
                </c:pt>
                <c:pt idx="62">
                  <c:v>18</c:v>
                </c:pt>
                <c:pt idx="63">
                  <c:v>14</c:v>
                </c:pt>
                <c:pt idx="69">
                  <c:v>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39-4FA2-B040-EF8513933778}"/>
            </c:ext>
          </c:extLst>
        </c:ser>
        <c:ser>
          <c:idx val="2"/>
          <c:order val="2"/>
          <c:tx>
            <c:v>Media</c:v>
          </c:tx>
          <c:spPr>
            <a:ln w="2222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'1-Media'!$P$4:$P$66</c:f>
              <c:numCache>
                <c:formatCode>General</c:formatCode>
                <c:ptCount val="63"/>
                <c:pt idx="0">
                  <c:v>104</c:v>
                </c:pt>
                <c:pt idx="33">
                  <c:v>610</c:v>
                </c:pt>
                <c:pt idx="34">
                  <c:v>200</c:v>
                </c:pt>
                <c:pt idx="35">
                  <c:v>124</c:v>
                </c:pt>
                <c:pt idx="44">
                  <c:v>165</c:v>
                </c:pt>
                <c:pt idx="45">
                  <c:v>63</c:v>
                </c:pt>
                <c:pt idx="47">
                  <c:v>63</c:v>
                </c:pt>
                <c:pt idx="48">
                  <c:v>49</c:v>
                </c:pt>
                <c:pt idx="62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39-4FA2-B040-EF8513933778}"/>
            </c:ext>
          </c:extLst>
        </c:ser>
        <c:ser>
          <c:idx val="3"/>
          <c:order val="3"/>
          <c:tx>
            <c:v>G-SBR</c:v>
          </c:tx>
          <c:spPr>
            <a:ln w="2222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'G-SBR'!$Q$4:$Q$8987</c:f>
              <c:numCache>
                <c:formatCode>General</c:formatCode>
                <c:ptCount val="8984"/>
                <c:pt idx="0">
                  <c:v>32</c:v>
                </c:pt>
                <c:pt idx="33">
                  <c:v>40</c:v>
                </c:pt>
                <c:pt idx="34">
                  <c:v>20</c:v>
                </c:pt>
                <c:pt idx="35">
                  <c:v>42</c:v>
                </c:pt>
                <c:pt idx="73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39-4FA2-B040-EF851393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091904"/>
        <c:axId val="498106368"/>
      </c:scatterChart>
      <c:scatterChart>
        <c:scatterStyle val="lineMarker"/>
        <c:varyColors val="0"/>
        <c:ser>
          <c:idx val="4"/>
          <c:order val="4"/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DataPlots!$R$286:$R$287</c:f>
              <c:numCache>
                <c:formatCode>General</c:formatCode>
                <c:ptCount val="2"/>
              </c:numCache>
            </c:numRef>
          </c:xVal>
          <c:yVal>
            <c:numRef>
              <c:f>DataPlots!$T$286:$T$287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20-4C97-BBB5-EF3FA242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109824"/>
        <c:axId val="498108288"/>
      </c:scatterChart>
      <c:valAx>
        <c:axId val="4980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 d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8106368"/>
        <c:crosses val="autoZero"/>
        <c:crossBetween val="midCat"/>
      </c:valAx>
      <c:valAx>
        <c:axId val="498106368"/>
        <c:scaling>
          <c:logBase val="10"/>
          <c:orientation val="minMax"/>
          <c:min val="1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Volatile suspended solids,</a:t>
                </a:r>
                <a:r>
                  <a:rPr lang="en-GB" baseline="0"/>
                  <a:t> mg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3.9947601046218754E-3"/>
              <c:y val="0.18474366180485211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8091904"/>
        <c:crosses val="autoZero"/>
        <c:crossBetween val="midCat"/>
      </c:valAx>
      <c:valAx>
        <c:axId val="498108288"/>
        <c:scaling>
          <c:orientation val="minMax"/>
          <c:max val="2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498109824"/>
        <c:crosses val="max"/>
        <c:crossBetween val="midCat"/>
      </c:valAx>
      <c:valAx>
        <c:axId val="49810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8108288"/>
        <c:crosses val="autoZero"/>
        <c:crossBetween val="midCat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1.1050267708698838E-3"/>
          <c:y val="0.94833570197603401"/>
          <c:w val="0.99651097155067214"/>
          <c:h val="4.9172104660825194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Total nitrogen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025980724977527E-2"/>
          <c:y val="7.8485908506136973E-2"/>
          <c:w val="0.87739818742829279"/>
          <c:h val="0.76638726851851857"/>
        </c:manualLayout>
      </c:layout>
      <c:scatterChart>
        <c:scatterStyle val="lineMarker"/>
        <c:varyColors val="0"/>
        <c:ser>
          <c:idx val="0"/>
          <c:order val="0"/>
          <c:tx>
            <c:v>Influent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'1-Influent'!$B$4:$B$2657</c:f>
              <c:numCache>
                <c:formatCode>General</c:formatCode>
                <c:ptCount val="26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'1-Influent'!$S$4:$S$2657</c:f>
              <c:numCache>
                <c:formatCode>0.00</c:formatCode>
                <c:ptCount val="2654"/>
                <c:pt idx="0">
                  <c:v>863.00900000000001</c:v>
                </c:pt>
                <c:pt idx="1">
                  <c:v>1011.2</c:v>
                </c:pt>
                <c:pt idx="6">
                  <c:v>1413.8</c:v>
                </c:pt>
                <c:pt idx="7">
                  <c:v>1482.4</c:v>
                </c:pt>
                <c:pt idx="8">
                  <c:v>1445.7</c:v>
                </c:pt>
                <c:pt idx="9">
                  <c:v>1383.6000000000001</c:v>
                </c:pt>
                <c:pt idx="10">
                  <c:v>1422.1000000000001</c:v>
                </c:pt>
                <c:pt idx="11">
                  <c:v>1418.3</c:v>
                </c:pt>
                <c:pt idx="12">
                  <c:v>1390.5</c:v>
                </c:pt>
                <c:pt idx="13">
                  <c:v>1412.8</c:v>
                </c:pt>
                <c:pt idx="14">
                  <c:v>1236.9000000000001</c:v>
                </c:pt>
                <c:pt idx="15">
                  <c:v>1333.8</c:v>
                </c:pt>
                <c:pt idx="27">
                  <c:v>1185.1199999999999</c:v>
                </c:pt>
                <c:pt idx="28">
                  <c:v>1177.6000000000001</c:v>
                </c:pt>
                <c:pt idx="29">
                  <c:v>1350.0820000000001</c:v>
                </c:pt>
                <c:pt idx="30">
                  <c:v>1457.8</c:v>
                </c:pt>
                <c:pt idx="31">
                  <c:v>1497.9</c:v>
                </c:pt>
                <c:pt idx="32">
                  <c:v>1467.3</c:v>
                </c:pt>
                <c:pt idx="33">
                  <c:v>1501.6000000000001</c:v>
                </c:pt>
                <c:pt idx="34">
                  <c:v>1277.7939999999999</c:v>
                </c:pt>
                <c:pt idx="35">
                  <c:v>1247.7</c:v>
                </c:pt>
                <c:pt idx="36">
                  <c:v>1516.59</c:v>
                </c:pt>
                <c:pt idx="37">
                  <c:v>1391.896</c:v>
                </c:pt>
                <c:pt idx="38">
                  <c:v>1419.095</c:v>
                </c:pt>
                <c:pt idx="39">
                  <c:v>1417.9</c:v>
                </c:pt>
                <c:pt idx="40">
                  <c:v>1401.3130000000001</c:v>
                </c:pt>
                <c:pt idx="41">
                  <c:v>1205.5</c:v>
                </c:pt>
                <c:pt idx="42">
                  <c:v>1376.2359999999999</c:v>
                </c:pt>
                <c:pt idx="43">
                  <c:v>1466.8</c:v>
                </c:pt>
                <c:pt idx="44">
                  <c:v>1269.4000000000001</c:v>
                </c:pt>
                <c:pt idx="45">
                  <c:v>1308.3</c:v>
                </c:pt>
                <c:pt idx="46">
                  <c:v>1380.6000000000001</c:v>
                </c:pt>
                <c:pt idx="47">
                  <c:v>1357.527</c:v>
                </c:pt>
                <c:pt idx="48">
                  <c:v>1357</c:v>
                </c:pt>
                <c:pt idx="49">
                  <c:v>1252.4000000000001</c:v>
                </c:pt>
                <c:pt idx="50">
                  <c:v>1042.3</c:v>
                </c:pt>
                <c:pt idx="51">
                  <c:v>1027.45</c:v>
                </c:pt>
                <c:pt idx="52">
                  <c:v>1201.7</c:v>
                </c:pt>
                <c:pt idx="53">
                  <c:v>1278.7</c:v>
                </c:pt>
                <c:pt idx="54">
                  <c:v>1287.6949999999999</c:v>
                </c:pt>
                <c:pt idx="55">
                  <c:v>1316.1000000000001</c:v>
                </c:pt>
                <c:pt idx="56">
                  <c:v>1313</c:v>
                </c:pt>
                <c:pt idx="57">
                  <c:v>1335.4</c:v>
                </c:pt>
                <c:pt idx="58">
                  <c:v>1409.2740000000001</c:v>
                </c:pt>
                <c:pt idx="59">
                  <c:v>1387.1000000000001</c:v>
                </c:pt>
                <c:pt idx="60">
                  <c:v>1297.374</c:v>
                </c:pt>
                <c:pt idx="61">
                  <c:v>1319.5</c:v>
                </c:pt>
                <c:pt idx="62">
                  <c:v>1209.2</c:v>
                </c:pt>
                <c:pt idx="63">
                  <c:v>1227.9469999999999</c:v>
                </c:pt>
                <c:pt idx="64">
                  <c:v>1226.3</c:v>
                </c:pt>
                <c:pt idx="65">
                  <c:v>1221</c:v>
                </c:pt>
                <c:pt idx="66">
                  <c:v>1239.665</c:v>
                </c:pt>
                <c:pt idx="67">
                  <c:v>1221.7</c:v>
                </c:pt>
                <c:pt idx="68">
                  <c:v>1251.2</c:v>
                </c:pt>
                <c:pt idx="69">
                  <c:v>1235.2</c:v>
                </c:pt>
                <c:pt idx="70">
                  <c:v>1266.8</c:v>
                </c:pt>
                <c:pt idx="71">
                  <c:v>1157.52</c:v>
                </c:pt>
                <c:pt idx="72">
                  <c:v>1284.4929999999999</c:v>
                </c:pt>
                <c:pt idx="73">
                  <c:v>1200.6000000000001</c:v>
                </c:pt>
                <c:pt idx="74">
                  <c:v>1236.2339999999999</c:v>
                </c:pt>
                <c:pt idx="75">
                  <c:v>1262</c:v>
                </c:pt>
                <c:pt idx="76">
                  <c:v>1305.5</c:v>
                </c:pt>
                <c:pt idx="77">
                  <c:v>1289.5</c:v>
                </c:pt>
                <c:pt idx="78">
                  <c:v>1412.51</c:v>
                </c:pt>
                <c:pt idx="79">
                  <c:v>1442.9</c:v>
                </c:pt>
                <c:pt idx="80">
                  <c:v>1407.3</c:v>
                </c:pt>
                <c:pt idx="81">
                  <c:v>1410.55</c:v>
                </c:pt>
                <c:pt idx="82">
                  <c:v>1279.1000000000001</c:v>
                </c:pt>
                <c:pt idx="83">
                  <c:v>1229.5</c:v>
                </c:pt>
                <c:pt idx="84">
                  <c:v>1248.4000000000001</c:v>
                </c:pt>
                <c:pt idx="85">
                  <c:v>1158.1000000000001</c:v>
                </c:pt>
                <c:pt idx="86">
                  <c:v>1329.5</c:v>
                </c:pt>
                <c:pt idx="87">
                  <c:v>1289.4000000000001</c:v>
                </c:pt>
                <c:pt idx="88">
                  <c:v>1275.3</c:v>
                </c:pt>
                <c:pt idx="89">
                  <c:v>1204.3999999999999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42-4158-B2C3-9E40E306218C}"/>
            </c:ext>
          </c:extLst>
        </c:ser>
        <c:ser>
          <c:idx val="1"/>
          <c:order val="1"/>
          <c:tx>
            <c:v>S-SBR</c:v>
          </c:tx>
          <c:spPr>
            <a:ln w="2222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'S-SBR'!$B$4:$B$60</c:f>
              <c:numCache>
                <c:formatCode>General</c:formatCode>
                <c:ptCount val="5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</c:numCache>
            </c:numRef>
          </c:xVal>
          <c:yVal>
            <c:numRef>
              <c:f>'S-SBR'!$AA$4:$AA$60</c:f>
              <c:numCache>
                <c:formatCode>General</c:formatCode>
                <c:ptCount val="57"/>
                <c:pt idx="0">
                  <c:v>448.13</c:v>
                </c:pt>
                <c:pt idx="6">
                  <c:v>217.14</c:v>
                </c:pt>
                <c:pt idx="7">
                  <c:v>239.02</c:v>
                </c:pt>
                <c:pt idx="8">
                  <c:v>231.61</c:v>
                </c:pt>
                <c:pt idx="10">
                  <c:v>147.84</c:v>
                </c:pt>
                <c:pt idx="11">
                  <c:v>148.24</c:v>
                </c:pt>
                <c:pt idx="14">
                  <c:v>116.16999999999999</c:v>
                </c:pt>
                <c:pt idx="15">
                  <c:v>123.072</c:v>
                </c:pt>
                <c:pt idx="27">
                  <c:v>152.09</c:v>
                </c:pt>
                <c:pt idx="28">
                  <c:v>149.22999999999999</c:v>
                </c:pt>
                <c:pt idx="29">
                  <c:v>158.934</c:v>
                </c:pt>
                <c:pt idx="30">
                  <c:v>183.89999999999998</c:v>
                </c:pt>
                <c:pt idx="31">
                  <c:v>192.45999999999998</c:v>
                </c:pt>
                <c:pt idx="32">
                  <c:v>208.46</c:v>
                </c:pt>
                <c:pt idx="33">
                  <c:v>209.73000000000002</c:v>
                </c:pt>
                <c:pt idx="34">
                  <c:v>218.45</c:v>
                </c:pt>
                <c:pt idx="35">
                  <c:v>208.76</c:v>
                </c:pt>
                <c:pt idx="36">
                  <c:v>220.76999999999998</c:v>
                </c:pt>
                <c:pt idx="37">
                  <c:v>245.71</c:v>
                </c:pt>
                <c:pt idx="38">
                  <c:v>198.48000000000002</c:v>
                </c:pt>
                <c:pt idx="39">
                  <c:v>216.67</c:v>
                </c:pt>
                <c:pt idx="41">
                  <c:v>195.57999999999998</c:v>
                </c:pt>
                <c:pt idx="42">
                  <c:v>194.01000000000002</c:v>
                </c:pt>
                <c:pt idx="43">
                  <c:v>166.03</c:v>
                </c:pt>
                <c:pt idx="44">
                  <c:v>184.15</c:v>
                </c:pt>
                <c:pt idx="45">
                  <c:v>201.65300000000002</c:v>
                </c:pt>
                <c:pt idx="46">
                  <c:v>201.64</c:v>
                </c:pt>
                <c:pt idx="47">
                  <c:v>206.71</c:v>
                </c:pt>
                <c:pt idx="48">
                  <c:v>199.54</c:v>
                </c:pt>
                <c:pt idx="50">
                  <c:v>102.32</c:v>
                </c:pt>
                <c:pt idx="51">
                  <c:v>196.75</c:v>
                </c:pt>
                <c:pt idx="52">
                  <c:v>198.94</c:v>
                </c:pt>
                <c:pt idx="53">
                  <c:v>206.10999999999999</c:v>
                </c:pt>
                <c:pt idx="54">
                  <c:v>224.86</c:v>
                </c:pt>
                <c:pt idx="55">
                  <c:v>246.5</c:v>
                </c:pt>
                <c:pt idx="56">
                  <c:v>231.93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1E-4CE4-8611-C303E533B8B8}"/>
            </c:ext>
          </c:extLst>
        </c:ser>
        <c:ser>
          <c:idx val="2"/>
          <c:order val="2"/>
          <c:tx>
            <c:v>Media</c:v>
          </c:tx>
          <c:spPr>
            <a:ln w="2222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'1-Media'!$Y$4:$Y$87</c:f>
              <c:numCache>
                <c:formatCode>General</c:formatCode>
                <c:ptCount val="84"/>
                <c:pt idx="0">
                  <c:v>344.02</c:v>
                </c:pt>
                <c:pt idx="6">
                  <c:v>137.74799999999999</c:v>
                </c:pt>
                <c:pt idx="7">
                  <c:v>179.05</c:v>
                </c:pt>
                <c:pt idx="8">
                  <c:v>183.3</c:v>
                </c:pt>
                <c:pt idx="14">
                  <c:v>44.820000000000007</c:v>
                </c:pt>
                <c:pt idx="15">
                  <c:v>50.93</c:v>
                </c:pt>
                <c:pt idx="28">
                  <c:v>47.293999999999997</c:v>
                </c:pt>
                <c:pt idx="29">
                  <c:v>41.680999999999997</c:v>
                </c:pt>
                <c:pt idx="30">
                  <c:v>67.61</c:v>
                </c:pt>
                <c:pt idx="31">
                  <c:v>101.07</c:v>
                </c:pt>
                <c:pt idx="33">
                  <c:v>87.19</c:v>
                </c:pt>
                <c:pt idx="34">
                  <c:v>261</c:v>
                </c:pt>
                <c:pt idx="35">
                  <c:v>255.58700000000002</c:v>
                </c:pt>
                <c:pt idx="36">
                  <c:v>882.56</c:v>
                </c:pt>
                <c:pt idx="37">
                  <c:v>1103.0999999999999</c:v>
                </c:pt>
                <c:pt idx="40">
                  <c:v>808.45</c:v>
                </c:pt>
                <c:pt idx="41">
                  <c:v>740.31100000000004</c:v>
                </c:pt>
                <c:pt idx="43">
                  <c:v>809.66200000000003</c:v>
                </c:pt>
                <c:pt idx="44">
                  <c:v>882.79200000000003</c:v>
                </c:pt>
                <c:pt idx="45">
                  <c:v>656.42</c:v>
                </c:pt>
                <c:pt idx="47">
                  <c:v>622.77</c:v>
                </c:pt>
                <c:pt idx="48">
                  <c:v>603.93000000000006</c:v>
                </c:pt>
                <c:pt idx="51">
                  <c:v>210.97999999999996</c:v>
                </c:pt>
                <c:pt idx="52">
                  <c:v>247.12</c:v>
                </c:pt>
                <c:pt idx="53">
                  <c:v>299.95</c:v>
                </c:pt>
                <c:pt idx="54">
                  <c:v>396.33000000000004</c:v>
                </c:pt>
                <c:pt idx="55">
                  <c:v>623.62</c:v>
                </c:pt>
                <c:pt idx="56">
                  <c:v>818.9</c:v>
                </c:pt>
                <c:pt idx="57">
                  <c:v>992.55000000000007</c:v>
                </c:pt>
                <c:pt idx="60">
                  <c:v>933.74</c:v>
                </c:pt>
                <c:pt idx="61">
                  <c:v>975.21</c:v>
                </c:pt>
                <c:pt idx="62">
                  <c:v>739.78</c:v>
                </c:pt>
                <c:pt idx="63">
                  <c:v>501.96</c:v>
                </c:pt>
                <c:pt idx="64">
                  <c:v>521.31000000000006</c:v>
                </c:pt>
                <c:pt idx="65">
                  <c:v>545.51800000000003</c:v>
                </c:pt>
                <c:pt idx="66">
                  <c:v>586.34999999999991</c:v>
                </c:pt>
                <c:pt idx="67">
                  <c:v>617.33000000000004</c:v>
                </c:pt>
                <c:pt idx="68">
                  <c:v>621.31999999999994</c:v>
                </c:pt>
                <c:pt idx="69">
                  <c:v>778.16800000000001</c:v>
                </c:pt>
                <c:pt idx="70">
                  <c:v>790.22</c:v>
                </c:pt>
                <c:pt idx="73">
                  <c:v>704.38</c:v>
                </c:pt>
                <c:pt idx="74">
                  <c:v>695.35</c:v>
                </c:pt>
                <c:pt idx="77">
                  <c:v>636.60300000000007</c:v>
                </c:pt>
                <c:pt idx="78">
                  <c:v>902.37</c:v>
                </c:pt>
                <c:pt idx="79">
                  <c:v>976.99800000000005</c:v>
                </c:pt>
                <c:pt idx="80">
                  <c:v>825.64</c:v>
                </c:pt>
                <c:pt idx="81">
                  <c:v>826.04000000000008</c:v>
                </c:pt>
                <c:pt idx="82">
                  <c:v>816.52999999999986</c:v>
                </c:pt>
                <c:pt idx="83">
                  <c:v>785.7600000000001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1E-4CE4-8611-C303E533B8B8}"/>
            </c:ext>
          </c:extLst>
        </c:ser>
        <c:ser>
          <c:idx val="3"/>
          <c:order val="3"/>
          <c:tx>
            <c:v>G-SBR</c:v>
          </c:tx>
          <c:spPr>
            <a:ln w="2222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'G-SBR'!$Z$4:$Z$8987</c:f>
              <c:numCache>
                <c:formatCode>General</c:formatCode>
                <c:ptCount val="8984"/>
                <c:pt idx="0">
                  <c:v>89.92</c:v>
                </c:pt>
                <c:pt idx="14">
                  <c:v>309.47000000000003</c:v>
                </c:pt>
                <c:pt idx="15">
                  <c:v>358.24</c:v>
                </c:pt>
                <c:pt idx="27">
                  <c:v>997.09</c:v>
                </c:pt>
                <c:pt idx="28">
                  <c:v>888.74</c:v>
                </c:pt>
                <c:pt idx="29">
                  <c:v>336.99</c:v>
                </c:pt>
                <c:pt idx="30">
                  <c:v>1236</c:v>
                </c:pt>
                <c:pt idx="31">
                  <c:v>502.16</c:v>
                </c:pt>
                <c:pt idx="32">
                  <c:v>565.84</c:v>
                </c:pt>
                <c:pt idx="33">
                  <c:v>327.16000000000003</c:v>
                </c:pt>
                <c:pt idx="34">
                  <c:v>577.86</c:v>
                </c:pt>
                <c:pt idx="35">
                  <c:v>1208.3499999999999</c:v>
                </c:pt>
                <c:pt idx="36">
                  <c:v>593.32999999999993</c:v>
                </c:pt>
                <c:pt idx="37">
                  <c:v>887.39</c:v>
                </c:pt>
                <c:pt idx="38">
                  <c:v>1105.57</c:v>
                </c:pt>
                <c:pt idx="39">
                  <c:v>1036.05</c:v>
                </c:pt>
                <c:pt idx="40">
                  <c:v>811.35</c:v>
                </c:pt>
                <c:pt idx="56">
                  <c:v>1158.7</c:v>
                </c:pt>
                <c:pt idx="57">
                  <c:v>1187.3</c:v>
                </c:pt>
                <c:pt idx="72">
                  <c:v>79.319999999999993</c:v>
                </c:pt>
                <c:pt idx="73">
                  <c:v>94.03</c:v>
                </c:pt>
                <c:pt idx="77">
                  <c:v>526.15</c:v>
                </c:pt>
                <c:pt idx="78">
                  <c:v>532.54999999999995</c:v>
                </c:pt>
                <c:pt idx="79">
                  <c:v>516.45000000000005</c:v>
                </c:pt>
                <c:pt idx="80">
                  <c:v>499.31000000000006</c:v>
                </c:pt>
                <c:pt idx="85">
                  <c:v>138.67000000000002</c:v>
                </c:pt>
                <c:pt idx="86">
                  <c:v>163.1</c:v>
                </c:pt>
                <c:pt idx="87">
                  <c:v>152.82999999999998</c:v>
                </c:pt>
                <c:pt idx="88">
                  <c:v>210.36</c:v>
                </c:pt>
                <c:pt idx="89">
                  <c:v>227.55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1E-4CE4-8611-C303E533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545088"/>
        <c:axId val="463547392"/>
      </c:scatterChart>
      <c:valAx>
        <c:axId val="46354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9210252525252529"/>
              <c:y val="0.90954907407407415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 w="lg" len="med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63547392"/>
        <c:crossesAt val="0.1"/>
        <c:crossBetween val="midCat"/>
      </c:valAx>
      <c:valAx>
        <c:axId val="463547392"/>
        <c:scaling>
          <c:logBase val="10"/>
          <c:orientation val="minMax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TN (mg L</a:t>
                </a:r>
                <a:r>
                  <a:rPr lang="en-GB" baseline="30000"/>
                  <a:t>-1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5.4140128293631044E-3"/>
              <c:y val="0.40648107712476295"/>
            </c:manualLayout>
          </c:layout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6354508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4652543085897245"/>
          <c:w val="0.99744845106656055"/>
          <c:h val="5.1102374977720189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NO</a:t>
            </a:r>
            <a:r>
              <a:rPr lang="en-GB" sz="1000" baseline="-25000"/>
              <a:t>2</a:t>
            </a:r>
            <a:r>
              <a:rPr lang="en-GB" sz="1000"/>
              <a:t>-N/</a:t>
            </a:r>
            <a:r>
              <a:rPr lang="en-GB" sz="1000" baseline="0"/>
              <a:t>NH</a:t>
            </a:r>
            <a:r>
              <a:rPr lang="en-GB" sz="1000" baseline="-25000"/>
              <a:t>4</a:t>
            </a:r>
            <a:r>
              <a:rPr lang="en-GB" sz="1000" baseline="0"/>
              <a:t>-N ratio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656074867112459E-2"/>
          <c:y val="8.0438011080917526E-2"/>
          <c:w val="0.89517418090849932"/>
          <c:h val="0.71824221950707978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'S-SBR'!$B$4:$B$474</c:f>
              <c:numCache>
                <c:formatCode>General</c:formatCode>
                <c:ptCount val="4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'S-SBR'!$AC$5:$AC$474</c:f>
              <c:numCache>
                <c:formatCode>0.00</c:formatCode>
                <c:ptCount val="470"/>
                <c:pt idx="5">
                  <c:v>3.3654746302190603E-3</c:v>
                </c:pt>
                <c:pt idx="6">
                  <c:v>4.2021095610751957E-3</c:v>
                </c:pt>
                <c:pt idx="7">
                  <c:v>2.9048889692913027E-2</c:v>
                </c:pt>
                <c:pt idx="9">
                  <c:v>9.0665921430852767E-2</c:v>
                </c:pt>
                <c:pt idx="10">
                  <c:v>8.5458418810162542E-2</c:v>
                </c:pt>
                <c:pt idx="13">
                  <c:v>7.6372523348171425E-3</c:v>
                </c:pt>
                <c:pt idx="14">
                  <c:v>4.1840320339952605E-3</c:v>
                </c:pt>
                <c:pt idx="26">
                  <c:v>1.5547607800796275E-2</c:v>
                </c:pt>
                <c:pt idx="27">
                  <c:v>1.5892033326447702E-2</c:v>
                </c:pt>
                <c:pt idx="28">
                  <c:v>7.6425034911768441E-3</c:v>
                </c:pt>
                <c:pt idx="29">
                  <c:v>0.13462151394422311</c:v>
                </c:pt>
                <c:pt idx="30">
                  <c:v>0.2083180987202925</c:v>
                </c:pt>
                <c:pt idx="31">
                  <c:v>0.21932783454388771</c:v>
                </c:pt>
                <c:pt idx="32">
                  <c:v>0.23544787814204224</c:v>
                </c:pt>
                <c:pt idx="33">
                  <c:v>0.35557024793388431</c:v>
                </c:pt>
                <c:pt idx="34">
                  <c:v>0.27808121432278154</c:v>
                </c:pt>
                <c:pt idx="35">
                  <c:v>0.35374984656928932</c:v>
                </c:pt>
                <c:pt idx="36">
                  <c:v>0.11050854094268513</c:v>
                </c:pt>
                <c:pt idx="37">
                  <c:v>0.34376029654036244</c:v>
                </c:pt>
                <c:pt idx="38">
                  <c:v>0.11502230756198115</c:v>
                </c:pt>
                <c:pt idx="40">
                  <c:v>0.20376123744050767</c:v>
                </c:pt>
                <c:pt idx="41">
                  <c:v>0.1566134143975163</c:v>
                </c:pt>
                <c:pt idx="42">
                  <c:v>0.12566860679289765</c:v>
                </c:pt>
                <c:pt idx="43">
                  <c:v>0.16516547253497096</c:v>
                </c:pt>
                <c:pt idx="44">
                  <c:v>0.34992629321897611</c:v>
                </c:pt>
                <c:pt idx="45">
                  <c:v>0.20638939910784571</c:v>
                </c:pt>
                <c:pt idx="46">
                  <c:v>0.20526638464839678</c:v>
                </c:pt>
                <c:pt idx="47">
                  <c:v>0.24692137464202032</c:v>
                </c:pt>
                <c:pt idx="49">
                  <c:v>6.7736104835065536E-2</c:v>
                </c:pt>
                <c:pt idx="50">
                  <c:v>0.25341739411574526</c:v>
                </c:pt>
                <c:pt idx="51">
                  <c:v>0.21303226659613858</c:v>
                </c:pt>
                <c:pt idx="52">
                  <c:v>0.23533320304866132</c:v>
                </c:pt>
                <c:pt idx="53">
                  <c:v>0.34265350877192985</c:v>
                </c:pt>
                <c:pt idx="54">
                  <c:v>0.3273008323424495</c:v>
                </c:pt>
                <c:pt idx="55">
                  <c:v>0.3125646427887378</c:v>
                </c:pt>
                <c:pt idx="56">
                  <c:v>5.0229170590820614E-5</c:v>
                </c:pt>
                <c:pt idx="57">
                  <c:v>5.2538254416497009E-5</c:v>
                </c:pt>
                <c:pt idx="58">
                  <c:v>5.2934559650631907E-5</c:v>
                </c:pt>
                <c:pt idx="59">
                  <c:v>0.17353039523841371</c:v>
                </c:pt>
                <c:pt idx="60">
                  <c:v>0.17097798189923005</c:v>
                </c:pt>
                <c:pt idx="61">
                  <c:v>7.2981045376220563E-2</c:v>
                </c:pt>
                <c:pt idx="62">
                  <c:v>0.17180820335066435</c:v>
                </c:pt>
                <c:pt idx="68">
                  <c:v>0.11116260326415474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36-4D85-B74D-4F602227C569}"/>
            </c:ext>
          </c:extLst>
        </c:ser>
        <c:ser>
          <c:idx val="1"/>
          <c:order val="1"/>
          <c:tx>
            <c:v>Media</c:v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'1-Media'!$AA$4:$AA$87</c:f>
              <c:numCache>
                <c:formatCode>0.00</c:formatCode>
                <c:ptCount val="84"/>
                <c:pt idx="0">
                  <c:v>2.3267989064045142E-5</c:v>
                </c:pt>
                <c:pt idx="6">
                  <c:v>3.3012916791829376E-2</c:v>
                </c:pt>
                <c:pt idx="7">
                  <c:v>4.6229413464316672E-5</c:v>
                </c:pt>
                <c:pt idx="8">
                  <c:v>4.3691971600218465E-5</c:v>
                </c:pt>
                <c:pt idx="14">
                  <c:v>2.1919096895578551E-2</c:v>
                </c:pt>
                <c:pt idx="15">
                  <c:v>2.3000207770621232E-2</c:v>
                </c:pt>
                <c:pt idx="28">
                  <c:v>1.2634310427679003</c:v>
                </c:pt>
                <c:pt idx="29">
                  <c:v>1.1463528194516297</c:v>
                </c:pt>
                <c:pt idx="30">
                  <c:v>1.7653167185877467E-3</c:v>
                </c:pt>
                <c:pt idx="31">
                  <c:v>7.9310002974125108E-5</c:v>
                </c:pt>
                <c:pt idx="33">
                  <c:v>1.1380618461892173E-3</c:v>
                </c:pt>
                <c:pt idx="34">
                  <c:v>3.7879633320047824E-2</c:v>
                </c:pt>
                <c:pt idx="35">
                  <c:v>9.367505995203837E-2</c:v>
                </c:pt>
                <c:pt idx="36">
                  <c:v>1.751493208495722E-3</c:v>
                </c:pt>
                <c:pt idx="37">
                  <c:v>9.680391050949427E-3</c:v>
                </c:pt>
                <c:pt idx="40">
                  <c:v>2.9792827189084305E-4</c:v>
                </c:pt>
                <c:pt idx="41">
                  <c:v>1.8260080945355116E-3</c:v>
                </c:pt>
                <c:pt idx="43">
                  <c:v>1.9557117924469919E-3</c:v>
                </c:pt>
                <c:pt idx="44">
                  <c:v>0.64556726018458088</c:v>
                </c:pt>
                <c:pt idx="45">
                  <c:v>0.40586346078729224</c:v>
                </c:pt>
                <c:pt idx="47">
                  <c:v>0.3179438972803213</c:v>
                </c:pt>
                <c:pt idx="48">
                  <c:v>0.27984161113831346</c:v>
                </c:pt>
                <c:pt idx="51">
                  <c:v>0.33128997142468364</c:v>
                </c:pt>
                <c:pt idx="52">
                  <c:v>0.248481384715872</c:v>
                </c:pt>
                <c:pt idx="53">
                  <c:v>0.32659464325905918</c:v>
                </c:pt>
                <c:pt idx="54">
                  <c:v>0.24060635662701044</c:v>
                </c:pt>
                <c:pt idx="55">
                  <c:v>6.4159072373320095E-2</c:v>
                </c:pt>
                <c:pt idx="56">
                  <c:v>4.1307274139269996E-2</c:v>
                </c:pt>
                <c:pt idx="57">
                  <c:v>3.8213402116123597E-2</c:v>
                </c:pt>
                <c:pt idx="60">
                  <c:v>0.1417584557187361</c:v>
                </c:pt>
                <c:pt idx="61">
                  <c:v>1.8929672329273096E-3</c:v>
                </c:pt>
                <c:pt idx="62">
                  <c:v>0.24614001153754791</c:v>
                </c:pt>
                <c:pt idx="63">
                  <c:v>0.12878137980856061</c:v>
                </c:pt>
                <c:pt idx="64">
                  <c:v>3.4179526800585981E-2</c:v>
                </c:pt>
                <c:pt idx="65">
                  <c:v>2.9014057929993391E-2</c:v>
                </c:pt>
                <c:pt idx="66">
                  <c:v>7.7240189736955582E-3</c:v>
                </c:pt>
                <c:pt idx="67">
                  <c:v>7.1768301652419784E-3</c:v>
                </c:pt>
                <c:pt idx="68">
                  <c:v>1.4200814289466773E-2</c:v>
                </c:pt>
                <c:pt idx="69">
                  <c:v>3.1634222670132078E-2</c:v>
                </c:pt>
                <c:pt idx="70">
                  <c:v>9.7745130659568479E-3</c:v>
                </c:pt>
                <c:pt idx="73">
                  <c:v>8.7043925726153951E-2</c:v>
                </c:pt>
                <c:pt idx="74">
                  <c:v>8.4514057482966545E-2</c:v>
                </c:pt>
                <c:pt idx="77">
                  <c:v>0.1395616595340842</c:v>
                </c:pt>
                <c:pt idx="78">
                  <c:v>5.3597938993259375E-2</c:v>
                </c:pt>
                <c:pt idx="79">
                  <c:v>6.5277277932275474E-2</c:v>
                </c:pt>
                <c:pt idx="80">
                  <c:v>5.1442849443927288E-4</c:v>
                </c:pt>
                <c:pt idx="81">
                  <c:v>8.0385576404879717E-3</c:v>
                </c:pt>
                <c:pt idx="82">
                  <c:v>7.3038505811147004E-3</c:v>
                </c:pt>
                <c:pt idx="83">
                  <c:v>1.7707082833133252E-2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36-4D85-B74D-4F602227C569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'G-SBR'!$AB$4:$AB$8987</c:f>
              <c:numCache>
                <c:formatCode>0.00</c:formatCode>
                <c:ptCount val="8984"/>
                <c:pt idx="0">
                  <c:v>1.1490950876185004E-4</c:v>
                </c:pt>
                <c:pt idx="14">
                  <c:v>1.2321997480921687</c:v>
                </c:pt>
                <c:pt idx="15">
                  <c:v>0.76967180703835514</c:v>
                </c:pt>
                <c:pt idx="27">
                  <c:v>1.0140306411097784</c:v>
                </c:pt>
                <c:pt idx="28">
                  <c:v>0.60619998349971138</c:v>
                </c:pt>
                <c:pt idx="29">
                  <c:v>0.93240150906054797</c:v>
                </c:pt>
                <c:pt idx="30">
                  <c:v>2.3002527379949452E-2</c:v>
                </c:pt>
                <c:pt idx="31">
                  <c:v>6.7100892895656294E-2</c:v>
                </c:pt>
                <c:pt idx="32">
                  <c:v>6.9838765536614458E-2</c:v>
                </c:pt>
                <c:pt idx="33">
                  <c:v>0.36695255963548645</c:v>
                </c:pt>
                <c:pt idx="34">
                  <c:v>1.9476791768969952</c:v>
                </c:pt>
                <c:pt idx="35">
                  <c:v>0.44776311554554232</c:v>
                </c:pt>
                <c:pt idx="36">
                  <c:v>2.2029982035557207</c:v>
                </c:pt>
                <c:pt idx="37">
                  <c:v>0.80497657934521305</c:v>
                </c:pt>
                <c:pt idx="38">
                  <c:v>0.76111963916841974</c:v>
                </c:pt>
                <c:pt idx="39">
                  <c:v>0.89763087946376985</c:v>
                </c:pt>
                <c:pt idx="40">
                  <c:v>2.1257825567502988</c:v>
                </c:pt>
                <c:pt idx="56">
                  <c:v>1.4650177289630719E-3</c:v>
                </c:pt>
                <c:pt idx="57">
                  <c:v>1.2706716166047923E-3</c:v>
                </c:pt>
                <c:pt idx="72">
                  <c:v>9.3153364632237862E-2</c:v>
                </c:pt>
                <c:pt idx="73">
                  <c:v>2.0277400874415801E-2</c:v>
                </c:pt>
                <c:pt idx="77">
                  <c:v>2.9217261348776389E-3</c:v>
                </c:pt>
                <c:pt idx="78">
                  <c:v>2.8810172570390554E-3</c:v>
                </c:pt>
                <c:pt idx="79">
                  <c:v>3.1063277045834106E-3</c:v>
                </c:pt>
                <c:pt idx="80">
                  <c:v>3.3924586815929805E-3</c:v>
                </c:pt>
                <c:pt idx="85">
                  <c:v>4.0094733909166902E-2</c:v>
                </c:pt>
                <c:pt idx="86">
                  <c:v>3.9479724560061213E-2</c:v>
                </c:pt>
                <c:pt idx="87">
                  <c:v>6.1352275716916607E-2</c:v>
                </c:pt>
                <c:pt idx="88">
                  <c:v>0.12048546951117084</c:v>
                </c:pt>
                <c:pt idx="89">
                  <c:v>0.14444889779559117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36-4D85-B74D-4F602227C569}"/>
            </c:ext>
          </c:extLst>
        </c:ser>
        <c:ser>
          <c:idx val="3"/>
          <c:order val="3"/>
          <c:tx>
            <c:v>Stiochm.</c:v>
          </c:tx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DataPlots!$W$131:$W$132</c:f>
              <c:numCache>
                <c:formatCode>General</c:formatCode>
                <c:ptCount val="2"/>
                <c:pt idx="0">
                  <c:v>0</c:v>
                </c:pt>
                <c:pt idx="1">
                  <c:v>550</c:v>
                </c:pt>
              </c:numCache>
            </c:numRef>
          </c:xVal>
          <c:yVal>
            <c:numRef>
              <c:f>DataPlots!$X$131:$X$132</c:f>
              <c:numCache>
                <c:formatCode>General</c:formatCode>
                <c:ptCount val="2"/>
                <c:pt idx="0">
                  <c:v>0.53401677539608572</c:v>
                </c:pt>
                <c:pt idx="1">
                  <c:v>0.53401677539608572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6B-422E-B77F-CD79ADD9C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130368"/>
        <c:axId val="499132288"/>
      </c:scatterChart>
      <c:valAx>
        <c:axId val="499130368"/>
        <c:scaling>
          <c:orientation val="minMax"/>
          <c:max val="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9132288"/>
        <c:crosses val="autoZero"/>
        <c:crossBetween val="midCat"/>
      </c:valAx>
      <c:valAx>
        <c:axId val="49913228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NO</a:t>
                </a:r>
                <a:r>
                  <a:rPr lang="en-GB" baseline="-25000"/>
                  <a:t>2</a:t>
                </a:r>
                <a:r>
                  <a:rPr lang="en-GB"/>
                  <a:t>-N/NH</a:t>
                </a:r>
                <a:r>
                  <a:rPr lang="en-GB" baseline="-25000"/>
                  <a:t>4</a:t>
                </a:r>
                <a:r>
                  <a:rPr lang="en-GB"/>
                  <a:t>-N</a:t>
                </a:r>
                <a:r>
                  <a:rPr lang="en-GB" baseline="0"/>
                  <a:t> ratio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9130368"/>
        <c:crosses val="autoZero"/>
        <c:crossBetween val="midCat"/>
        <c:majorUnit val="1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Organic removal rates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117234246618315E-2"/>
          <c:y val="9.0944186643319644E-2"/>
          <c:w val="0.91735364145184195"/>
          <c:h val="0.73363009259259249"/>
        </c:manualLayout>
      </c:layout>
      <c:scatterChart>
        <c:scatterStyle val="lineMarker"/>
        <c:varyColors val="0"/>
        <c:ser>
          <c:idx val="1"/>
          <c:order val="0"/>
          <c:tx>
            <c:v>S-SBR</c:v>
          </c:tx>
          <c:spPr>
            <a:ln w="15875">
              <a:noFill/>
              <a:prstDash val="lgDash"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'S-SBR'!$AJ$4:$AJ$66</c:f>
              <c:numCache>
                <c:formatCode>0.000</c:formatCode>
                <c:ptCount val="63"/>
                <c:pt idx="0">
                  <c:v>0</c:v>
                </c:pt>
                <c:pt idx="6">
                  <c:v>1.7290875000000001</c:v>
                </c:pt>
                <c:pt idx="7">
                  <c:v>1.7044109999999999</c:v>
                </c:pt>
                <c:pt idx="8">
                  <c:v>1.9571299999999996</c:v>
                </c:pt>
                <c:pt idx="10">
                  <c:v>2.0502720000000001</c:v>
                </c:pt>
                <c:pt idx="11">
                  <c:v>3.1972500000000001E-2</c:v>
                </c:pt>
                <c:pt idx="14">
                  <c:v>0</c:v>
                </c:pt>
                <c:pt idx="15">
                  <c:v>0</c:v>
                </c:pt>
                <c:pt idx="27">
                  <c:v>1.0655432999999999</c:v>
                </c:pt>
                <c:pt idx="28">
                  <c:v>0.80509649999999999</c:v>
                </c:pt>
                <c:pt idx="29">
                  <c:v>0.98908399999999996</c:v>
                </c:pt>
                <c:pt idx="30">
                  <c:v>0.9609859999999999</c:v>
                </c:pt>
                <c:pt idx="31">
                  <c:v>0.97584199999999988</c:v>
                </c:pt>
                <c:pt idx="32">
                  <c:v>0.96254000000000006</c:v>
                </c:pt>
                <c:pt idx="33">
                  <c:v>1.0346970000000002</c:v>
                </c:pt>
                <c:pt idx="34">
                  <c:v>0.91490909999999981</c:v>
                </c:pt>
                <c:pt idx="35">
                  <c:v>0.96807319999999997</c:v>
                </c:pt>
                <c:pt idx="36">
                  <c:v>1.1170116000000001</c:v>
                </c:pt>
                <c:pt idx="37">
                  <c:v>0.9755410000000001</c:v>
                </c:pt>
                <c:pt idx="38">
                  <c:v>0.97335199999999988</c:v>
                </c:pt>
                <c:pt idx="39">
                  <c:v>0.89525399999999999</c:v>
                </c:pt>
                <c:pt idx="41">
                  <c:v>0.4956029999999999</c:v>
                </c:pt>
                <c:pt idx="42">
                  <c:v>0.72298800000000019</c:v>
                </c:pt>
                <c:pt idx="43">
                  <c:v>0.84640999999999988</c:v>
                </c:pt>
                <c:pt idx="44">
                  <c:v>0.30624999999999997</c:v>
                </c:pt>
                <c:pt idx="45">
                  <c:v>0.29655999999999993</c:v>
                </c:pt>
                <c:pt idx="46">
                  <c:v>0.52257600000000004</c:v>
                </c:pt>
                <c:pt idx="47">
                  <c:v>0.50834000000000001</c:v>
                </c:pt>
                <c:pt idx="48">
                  <c:v>0.41096650000000012</c:v>
                </c:pt>
                <c:pt idx="50">
                  <c:v>0.19027500000000003</c:v>
                </c:pt>
                <c:pt idx="51">
                  <c:v>6.2918499999999988E-2</c:v>
                </c:pt>
                <c:pt idx="52">
                  <c:v>0.23247249999999997</c:v>
                </c:pt>
                <c:pt idx="53">
                  <c:v>0.25608725000000004</c:v>
                </c:pt>
                <c:pt idx="54">
                  <c:v>0.30031125000000003</c:v>
                </c:pt>
                <c:pt idx="55">
                  <c:v>0.33104899999999998</c:v>
                </c:pt>
                <c:pt idx="56">
                  <c:v>0.26698125000000006</c:v>
                </c:pt>
                <c:pt idx="57">
                  <c:v>0.31996800000000003</c:v>
                </c:pt>
                <c:pt idx="58">
                  <c:v>0.34396125</c:v>
                </c:pt>
                <c:pt idx="59">
                  <c:v>0.29163299999999998</c:v>
                </c:pt>
                <c:pt idx="60">
                  <c:v>0.33419924999999995</c:v>
                </c:pt>
                <c:pt idx="61">
                  <c:v>0.41881799999999997</c:v>
                </c:pt>
                <c:pt idx="62">
                  <c:v>0.41018400000000005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D8-4E58-B1FF-199DD43533D4}"/>
            </c:ext>
          </c:extLst>
        </c:ser>
        <c:ser>
          <c:idx val="3"/>
          <c:order val="1"/>
          <c:tx>
            <c:v>Media</c:v>
          </c:tx>
          <c:spPr>
            <a:ln w="15875">
              <a:noFill/>
              <a:prstDash val="lgDash"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'1-Media'!$AM$4:$AM$66</c:f>
              <c:numCache>
                <c:formatCode>0.00</c:formatCode>
                <c:ptCount val="63"/>
                <c:pt idx="0">
                  <c:v>0</c:v>
                </c:pt>
                <c:pt idx="8">
                  <c:v>3.2650870990720074E-2</c:v>
                </c:pt>
                <c:pt idx="14">
                  <c:v>0</c:v>
                </c:pt>
                <c:pt idx="15">
                  <c:v>0.16918356820548422</c:v>
                </c:pt>
                <c:pt idx="28">
                  <c:v>6.9077136838953349E-2</c:v>
                </c:pt>
                <c:pt idx="34">
                  <c:v>0.38528964008800026</c:v>
                </c:pt>
                <c:pt idx="35">
                  <c:v>7.8070337539932366E-2</c:v>
                </c:pt>
                <c:pt idx="36">
                  <c:v>0.2120731603433092</c:v>
                </c:pt>
                <c:pt idx="37">
                  <c:v>1.046327558859286</c:v>
                </c:pt>
                <c:pt idx="40">
                  <c:v>0.10646010499363016</c:v>
                </c:pt>
                <c:pt idx="41">
                  <c:v>0.19591082842072774</c:v>
                </c:pt>
                <c:pt idx="43">
                  <c:v>9.805948023877184E-2</c:v>
                </c:pt>
                <c:pt idx="44">
                  <c:v>8.2575169214263888E-2</c:v>
                </c:pt>
                <c:pt idx="45">
                  <c:v>0.77544673292874378</c:v>
                </c:pt>
                <c:pt idx="47">
                  <c:v>0.19095483343198211</c:v>
                </c:pt>
                <c:pt idx="48">
                  <c:v>9.732374176123372E-2</c:v>
                </c:pt>
                <c:pt idx="51">
                  <c:v>0.21787901119238301</c:v>
                </c:pt>
                <c:pt idx="52">
                  <c:v>0.33687843306591764</c:v>
                </c:pt>
                <c:pt idx="53">
                  <c:v>0.34571636323516219</c:v>
                </c:pt>
                <c:pt idx="54">
                  <c:v>0.46888226306409481</c:v>
                </c:pt>
                <c:pt idx="55">
                  <c:v>0.40411228744539274</c:v>
                </c:pt>
                <c:pt idx="56">
                  <c:v>0.55288333373131815</c:v>
                </c:pt>
                <c:pt idx="57">
                  <c:v>0.57524683810664079</c:v>
                </c:pt>
                <c:pt idx="58">
                  <c:v>0.37657006022411266</c:v>
                </c:pt>
                <c:pt idx="59">
                  <c:v>0.21200997921494472</c:v>
                </c:pt>
                <c:pt idx="60">
                  <c:v>0.23213733947168655</c:v>
                </c:pt>
                <c:pt idx="61">
                  <c:v>0.38909927543384759</c:v>
                </c:pt>
                <c:pt idx="62">
                  <c:v>0.6665030480218157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D8-4E58-B1FF-199DD43533D4}"/>
            </c:ext>
          </c:extLst>
        </c:ser>
        <c:ser>
          <c:idx val="5"/>
          <c:order val="2"/>
          <c:tx>
            <c:v>G-SBR</c:v>
          </c:tx>
          <c:spPr>
            <a:ln w="22225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'G-SBR'!$B$4:$B$80</c:f>
              <c:numCache>
                <c:formatCode>General</c:formatCode>
                <c:ptCount val="7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</c:numCache>
            </c:numRef>
          </c:xVal>
          <c:yVal>
            <c:numRef>
              <c:f>'G-SBR'!$AJ$4:$AJ$80</c:f>
              <c:numCache>
                <c:formatCode>0.00</c:formatCode>
                <c:ptCount val="77"/>
                <c:pt idx="0">
                  <c:v>0</c:v>
                </c:pt>
                <c:pt idx="14">
                  <c:v>0</c:v>
                </c:pt>
                <c:pt idx="15">
                  <c:v>0.501781512605042</c:v>
                </c:pt>
                <c:pt idx="27">
                  <c:v>1.0109902694423269</c:v>
                </c:pt>
                <c:pt idx="28">
                  <c:v>1.2045108253718704</c:v>
                </c:pt>
                <c:pt idx="32">
                  <c:v>0.7688786305630857</c:v>
                </c:pt>
                <c:pt idx="34">
                  <c:v>0.19745147978914573</c:v>
                </c:pt>
                <c:pt idx="35">
                  <c:v>0.28647505001511248</c:v>
                </c:pt>
                <c:pt idx="36">
                  <c:v>0.20495401488219464</c:v>
                </c:pt>
                <c:pt idx="37">
                  <c:v>0.12510874736180871</c:v>
                </c:pt>
                <c:pt idx="38">
                  <c:v>0.62744926569852921</c:v>
                </c:pt>
                <c:pt idx="39">
                  <c:v>0.56442522697719477</c:v>
                </c:pt>
                <c:pt idx="40">
                  <c:v>0.14269988176295509</c:v>
                </c:pt>
                <c:pt idx="56">
                  <c:v>0.48899999999999999</c:v>
                </c:pt>
                <c:pt idx="57">
                  <c:v>0.41699999999999998</c:v>
                </c:pt>
                <c:pt idx="72">
                  <c:v>1.3907692307692308</c:v>
                </c:pt>
                <c:pt idx="73">
                  <c:v>1.1246376811594203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D8-4E58-B1FF-199DD4353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998784"/>
        <c:axId val="555001344"/>
      </c:scatterChart>
      <c:valAx>
        <c:axId val="55499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7736241728675477"/>
              <c:y val="0.88313095572285016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5001344"/>
        <c:crosses val="autoZero"/>
        <c:crossBetween val="midCat"/>
      </c:valAx>
      <c:valAx>
        <c:axId val="555001344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aseline="0"/>
                  <a:t>ORR (lg COD m</a:t>
                </a:r>
                <a:r>
                  <a:rPr lang="en-GB" baseline="30000"/>
                  <a:t>-3</a:t>
                </a:r>
                <a:r>
                  <a:rPr lang="en-GB" baseline="0"/>
                  <a:t> d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499878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5045839036993063"/>
          <c:w val="0.99474374781354991"/>
          <c:h val="4.8575096244695991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C/N and Alk/N ratios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117234246618315E-2"/>
          <c:y val="9.0944186643319644E-2"/>
          <c:w val="0.91735364145184195"/>
          <c:h val="0.76302834621400017"/>
        </c:manualLayout>
      </c:layout>
      <c:scatterChart>
        <c:scatterStyle val="lineMarker"/>
        <c:varyColors val="0"/>
        <c:ser>
          <c:idx val="1"/>
          <c:order val="0"/>
          <c:tx>
            <c:v>C/N</c:v>
          </c:tx>
          <c:spPr>
            <a:ln w="15875">
              <a:noFill/>
              <a:prstDash val="lgDash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'1-Influent'!$B$4:$B$536</c:f>
              <c:numCache>
                <c:formatCode>General</c:formatCode>
                <c:ptCount val="5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'1-Influent'!$T$4:$T$536</c:f>
              <c:numCache>
                <c:formatCode>0.0</c:formatCode>
                <c:ptCount val="533"/>
                <c:pt idx="6">
                  <c:v>2.5272315744801244</c:v>
                </c:pt>
                <c:pt idx="7">
                  <c:v>2.3920669185105234</c:v>
                </c:pt>
                <c:pt idx="8">
                  <c:v>2.3936501348827557</c:v>
                </c:pt>
                <c:pt idx="9">
                  <c:v>3.1483087597571551</c:v>
                </c:pt>
                <c:pt idx="10">
                  <c:v>2.4365375149426902</c:v>
                </c:pt>
                <c:pt idx="11">
                  <c:v>2.113093139674258</c:v>
                </c:pt>
                <c:pt idx="12">
                  <c:v>2.1359223300970873</c:v>
                </c:pt>
                <c:pt idx="13">
                  <c:v>2.4430209513023784</c:v>
                </c:pt>
                <c:pt idx="15">
                  <c:v>2.260458839406208</c:v>
                </c:pt>
                <c:pt idx="27">
                  <c:v>2.145352369380316</c:v>
                </c:pt>
                <c:pt idx="28">
                  <c:v>2.0100203804347823</c:v>
                </c:pt>
                <c:pt idx="29">
                  <c:v>1.8732195525901387</c:v>
                </c:pt>
                <c:pt idx="30">
                  <c:v>1.7008505967896832</c:v>
                </c:pt>
                <c:pt idx="31">
                  <c:v>1.694372120969357</c:v>
                </c:pt>
                <c:pt idx="32">
                  <c:v>1.7174401962788797</c:v>
                </c:pt>
                <c:pt idx="33">
                  <c:v>1.7111747469366008</c:v>
                </c:pt>
                <c:pt idx="34">
                  <c:v>1.9686271809070948</c:v>
                </c:pt>
                <c:pt idx="35">
                  <c:v>2.0197162779514306</c:v>
                </c:pt>
                <c:pt idx="36">
                  <c:v>1.7358020295531424</c:v>
                </c:pt>
                <c:pt idx="37">
                  <c:v>1.862208096007173</c:v>
                </c:pt>
                <c:pt idx="38">
                  <c:v>1.8201741250585761</c:v>
                </c:pt>
                <c:pt idx="39">
                  <c:v>1.7931447915932011</c:v>
                </c:pt>
                <c:pt idx="40">
                  <c:v>1.798313438896235</c:v>
                </c:pt>
                <c:pt idx="41">
                  <c:v>1.7133969307341352</c:v>
                </c:pt>
                <c:pt idx="42">
                  <c:v>1.71990850406471</c:v>
                </c:pt>
                <c:pt idx="43">
                  <c:v>1.7241614398691028</c:v>
                </c:pt>
                <c:pt idx="44">
                  <c:v>1.8504805419883408</c:v>
                </c:pt>
                <c:pt idx="45">
                  <c:v>2.0018344416418254</c:v>
                </c:pt>
                <c:pt idx="46">
                  <c:v>1.936114732724902</c:v>
                </c:pt>
                <c:pt idx="47">
                  <c:v>1.9623919082272396</c:v>
                </c:pt>
                <c:pt idx="48">
                  <c:v>1.9432571849668385</c:v>
                </c:pt>
                <c:pt idx="49">
                  <c:v>1.9187160651549025</c:v>
                </c:pt>
                <c:pt idx="50">
                  <c:v>1.9428187661901564</c:v>
                </c:pt>
                <c:pt idx="51">
                  <c:v>1.5898583872694534</c:v>
                </c:pt>
                <c:pt idx="52">
                  <c:v>1.6663892818507113</c:v>
                </c:pt>
                <c:pt idx="53">
                  <c:v>1.5730820364432627</c:v>
                </c:pt>
                <c:pt idx="54">
                  <c:v>1.6878996967449591</c:v>
                </c:pt>
                <c:pt idx="55">
                  <c:v>1.6583086391611579</c:v>
                </c:pt>
                <c:pt idx="56">
                  <c:v>1.675932977913176</c:v>
                </c:pt>
                <c:pt idx="57">
                  <c:v>1.6444511007937694</c:v>
                </c:pt>
                <c:pt idx="58">
                  <c:v>1.5933736093903668</c:v>
                </c:pt>
                <c:pt idx="59">
                  <c:v>1.5864032874342151</c:v>
                </c:pt>
                <c:pt idx="60">
                  <c:v>1.7689579103635498</c:v>
                </c:pt>
                <c:pt idx="61">
                  <c:v>1.9234558544903373</c:v>
                </c:pt>
                <c:pt idx="62">
                  <c:v>2.0282004631161099</c:v>
                </c:pt>
                <c:pt idx="63">
                  <c:v>2.0668644493614141</c:v>
                </c:pt>
                <c:pt idx="64">
                  <c:v>2.1246840088069803</c:v>
                </c:pt>
                <c:pt idx="65">
                  <c:v>2.0343980343980346</c:v>
                </c:pt>
                <c:pt idx="66">
                  <c:v>2.0763674057104136</c:v>
                </c:pt>
                <c:pt idx="67">
                  <c:v>1.9927150691659163</c:v>
                </c:pt>
                <c:pt idx="68">
                  <c:v>1.6328324808184143</c:v>
                </c:pt>
                <c:pt idx="69">
                  <c:v>1.599336139896373</c:v>
                </c:pt>
                <c:pt idx="70">
                  <c:v>1.4493211240922008</c:v>
                </c:pt>
                <c:pt idx="71">
                  <c:v>0.82417582417582413</c:v>
                </c:pt>
                <c:pt idx="72">
                  <c:v>0.79175207650022228</c:v>
                </c:pt>
                <c:pt idx="73">
                  <c:v>1.6716641679160418</c:v>
                </c:pt>
                <c:pt idx="74">
                  <c:v>1.6890006260950599</c:v>
                </c:pt>
                <c:pt idx="75">
                  <c:v>1.5974643423137875</c:v>
                </c:pt>
                <c:pt idx="76">
                  <c:v>1.7751819226350058</c:v>
                </c:pt>
                <c:pt idx="77">
                  <c:v>1.7029856533540131</c:v>
                </c:pt>
                <c:pt idx="78">
                  <c:v>1.8796327105648809</c:v>
                </c:pt>
                <c:pt idx="79">
                  <c:v>1.8431630743641276</c:v>
                </c:pt>
                <c:pt idx="80">
                  <c:v>1.9217650820720529</c:v>
                </c:pt>
                <c:pt idx="81">
                  <c:v>1.9109567190103152</c:v>
                </c:pt>
                <c:pt idx="82">
                  <c:v>1.801266515518724</c:v>
                </c:pt>
                <c:pt idx="83">
                  <c:v>1.8153721024806833</c:v>
                </c:pt>
                <c:pt idx="84">
                  <c:v>1.6869593079141301</c:v>
                </c:pt>
                <c:pt idx="85">
                  <c:v>1.6436404455573783</c:v>
                </c:pt>
                <c:pt idx="86">
                  <c:v>1.4588191049266641</c:v>
                </c:pt>
                <c:pt idx="87">
                  <c:v>1.406468124709167</c:v>
                </c:pt>
                <c:pt idx="88">
                  <c:v>1.4431898376852506</c:v>
                </c:pt>
                <c:pt idx="89">
                  <c:v>1.5094652939222852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38-4D06-A717-E372AB0AF357}"/>
            </c:ext>
          </c:extLst>
        </c:ser>
        <c:ser>
          <c:idx val="5"/>
          <c:order val="1"/>
          <c:tx>
            <c:v>Alk/N</c:v>
          </c:tx>
          <c:spPr>
            <a:ln w="22225">
              <a:noFill/>
              <a:prstDash val="solid"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'1-Influent'!$B$4:$B$536</c:f>
              <c:numCache>
                <c:formatCode>General</c:formatCode>
                <c:ptCount val="5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'1-Influent'!$U$4:$U$536</c:f>
              <c:numCache>
                <c:formatCode>0.0</c:formatCode>
                <c:ptCount val="533"/>
                <c:pt idx="0">
                  <c:v>3.4866380304261022</c:v>
                </c:pt>
                <c:pt idx="1">
                  <c:v>3.880537974683544</c:v>
                </c:pt>
                <c:pt idx="6">
                  <c:v>3.8145423680860095</c:v>
                </c:pt>
                <c:pt idx="7">
                  <c:v>3.7499999999999996</c:v>
                </c:pt>
                <c:pt idx="8">
                  <c:v>3.8030020059486751</c:v>
                </c:pt>
                <c:pt idx="9">
                  <c:v>3.6556808326105807</c:v>
                </c:pt>
                <c:pt idx="10">
                  <c:v>3.7507910836087475</c:v>
                </c:pt>
                <c:pt idx="11">
                  <c:v>3.7996192624973562</c:v>
                </c:pt>
                <c:pt idx="12">
                  <c:v>3.7468536497662712</c:v>
                </c:pt>
                <c:pt idx="13">
                  <c:v>3.7287655719139301</c:v>
                </c:pt>
                <c:pt idx="14">
                  <c:v>3.7545476594712586</c:v>
                </c:pt>
                <c:pt idx="15">
                  <c:v>3.7576848103163893</c:v>
                </c:pt>
                <c:pt idx="27">
                  <c:v>3.7287363304981778</c:v>
                </c:pt>
                <c:pt idx="28">
                  <c:v>3.648947010869565</c:v>
                </c:pt>
                <c:pt idx="29">
                  <c:v>3.5731162996025425</c:v>
                </c:pt>
                <c:pt idx="30">
                  <c:v>3.4641240224996572</c:v>
                </c:pt>
                <c:pt idx="31">
                  <c:v>3.1617597970492022</c:v>
                </c:pt>
                <c:pt idx="32">
                  <c:v>3.2938049478634226</c:v>
                </c:pt>
                <c:pt idx="33">
                  <c:v>3.4136920618007456</c:v>
                </c:pt>
                <c:pt idx="34">
                  <c:v>3.6398668329949904</c:v>
                </c:pt>
                <c:pt idx="35">
                  <c:v>3.6226657048970106</c:v>
                </c:pt>
                <c:pt idx="36">
                  <c:v>3.6430412965930148</c:v>
                </c:pt>
                <c:pt idx="37">
                  <c:v>3.7258530809773145</c:v>
                </c:pt>
                <c:pt idx="38">
                  <c:v>3.9511096861027628</c:v>
                </c:pt>
                <c:pt idx="39">
                  <c:v>3.8098596515974328</c:v>
                </c:pt>
                <c:pt idx="40">
                  <c:v>4.0519141690685805</c:v>
                </c:pt>
                <c:pt idx="41">
                  <c:v>3.6690170053919537</c:v>
                </c:pt>
                <c:pt idx="42">
                  <c:v>3.6112992248422513</c:v>
                </c:pt>
                <c:pt idx="43">
                  <c:v>3.5771748022907008</c:v>
                </c:pt>
                <c:pt idx="44">
                  <c:v>3.644241373877422</c:v>
                </c:pt>
                <c:pt idx="45">
                  <c:v>3.797294198578308</c:v>
                </c:pt>
                <c:pt idx="46">
                  <c:v>3.7860350572214974</c:v>
                </c:pt>
                <c:pt idx="47">
                  <c:v>3.6654887895415706</c:v>
                </c:pt>
                <c:pt idx="48">
                  <c:v>3.7383935151068535</c:v>
                </c:pt>
                <c:pt idx="49">
                  <c:v>3.7480038326413285</c:v>
                </c:pt>
                <c:pt idx="50">
                  <c:v>3.6668905305574211</c:v>
                </c:pt>
                <c:pt idx="51">
                  <c:v>3.8026181322692101</c:v>
                </c:pt>
                <c:pt idx="52">
                  <c:v>3.7912956644753266</c:v>
                </c:pt>
                <c:pt idx="53">
                  <c:v>3.6208649409556579</c:v>
                </c:pt>
                <c:pt idx="54">
                  <c:v>3.5707213276435805</c:v>
                </c:pt>
                <c:pt idx="55">
                  <c:v>3.6190259098852668</c:v>
                </c:pt>
                <c:pt idx="56">
                  <c:v>3.6694592536176693</c:v>
                </c:pt>
                <c:pt idx="57">
                  <c:v>3.5779541710348957</c:v>
                </c:pt>
                <c:pt idx="58">
                  <c:v>3.3357601147825049</c:v>
                </c:pt>
                <c:pt idx="59">
                  <c:v>3.4409919976930281</c:v>
                </c:pt>
                <c:pt idx="60">
                  <c:v>3.4816483142100889</c:v>
                </c:pt>
                <c:pt idx="61">
                  <c:v>3.4262978400909434</c:v>
                </c:pt>
                <c:pt idx="62">
                  <c:v>3.8165729407872973</c:v>
                </c:pt>
                <c:pt idx="63">
                  <c:v>3.6923417704510051</c:v>
                </c:pt>
                <c:pt idx="64">
                  <c:v>3.7747696322270246</c:v>
                </c:pt>
                <c:pt idx="65">
                  <c:v>3.6953316953316953</c:v>
                </c:pt>
                <c:pt idx="66">
                  <c:v>3.6227529211520855</c:v>
                </c:pt>
                <c:pt idx="67">
                  <c:v>3.6555619219120894</c:v>
                </c:pt>
                <c:pt idx="68">
                  <c:v>3.6157289002557542</c:v>
                </c:pt>
                <c:pt idx="69">
                  <c:v>3.6625647668393779</c:v>
                </c:pt>
                <c:pt idx="70">
                  <c:v>3.4598989580044206</c:v>
                </c:pt>
                <c:pt idx="71">
                  <c:v>3.7709931577856106</c:v>
                </c:pt>
                <c:pt idx="72">
                  <c:v>3.5819580176770134</c:v>
                </c:pt>
                <c:pt idx="73">
                  <c:v>3.6231884057971011</c:v>
                </c:pt>
                <c:pt idx="74">
                  <c:v>3.5794194303020306</c:v>
                </c:pt>
                <c:pt idx="75">
                  <c:v>3.7250396196513469</c:v>
                </c:pt>
                <c:pt idx="76">
                  <c:v>3.639218690157028</c:v>
                </c:pt>
                <c:pt idx="77">
                  <c:v>3.6595579682047306</c:v>
                </c:pt>
                <c:pt idx="78">
                  <c:v>3.4640462722387806</c:v>
                </c:pt>
                <c:pt idx="79">
                  <c:v>3.3633654445907544</c:v>
                </c:pt>
                <c:pt idx="80">
                  <c:v>3.4640801534853978</c:v>
                </c:pt>
                <c:pt idx="81">
                  <c:v>3.4440466484704548</c:v>
                </c:pt>
                <c:pt idx="82">
                  <c:v>3.5352982565866622</c:v>
                </c:pt>
                <c:pt idx="83">
                  <c:v>3.5998373322488817</c:v>
                </c:pt>
                <c:pt idx="84">
                  <c:v>3.5549503364306307</c:v>
                </c:pt>
                <c:pt idx="85">
                  <c:v>3.8070978326569378</c:v>
                </c:pt>
                <c:pt idx="86">
                  <c:v>3.2335464460323431</c:v>
                </c:pt>
                <c:pt idx="87">
                  <c:v>3.2689623080502557</c:v>
                </c:pt>
                <c:pt idx="88">
                  <c:v>3.252568023210225</c:v>
                </c:pt>
                <c:pt idx="89">
                  <c:v>3.4656260378611763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38-4D06-A717-E372AB0AF357}"/>
            </c:ext>
          </c:extLst>
        </c:ser>
        <c:ser>
          <c:idx val="0"/>
          <c:order val="2"/>
          <c:tx>
            <c:v>Alk/N stioch.</c:v>
          </c:tx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DataPlots!$C$104:$C$105</c:f>
              <c:numCache>
                <c:formatCode>General</c:formatCode>
                <c:ptCount val="2"/>
                <c:pt idx="0">
                  <c:v>1</c:v>
                </c:pt>
                <c:pt idx="1">
                  <c:v>800</c:v>
                </c:pt>
              </c:numCache>
            </c:numRef>
          </c:xVal>
          <c:yVal>
            <c:numRef>
              <c:f>DataPlots!$D$104:$D$105</c:f>
              <c:numCache>
                <c:formatCode>General</c:formatCode>
                <c:ptCount val="2"/>
                <c:pt idx="0">
                  <c:v>1.1011183597390495</c:v>
                </c:pt>
                <c:pt idx="1">
                  <c:v>1.1011183597390495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138-4D06-A717-E372AB0AF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824640"/>
        <c:axId val="555826560"/>
      </c:scatterChart>
      <c:valAx>
        <c:axId val="555824640"/>
        <c:scaling>
          <c:orientation val="minMax"/>
          <c:max val="8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7736246216068379"/>
              <c:y val="0.90124708911498408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5826560"/>
        <c:crosses val="autoZero"/>
        <c:crossBetween val="midCat"/>
      </c:valAx>
      <c:valAx>
        <c:axId val="555826560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aseline="0"/>
                  <a:t>C/N &amp; Alk/N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582464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5045839036993063"/>
          <c:w val="0.99736693651744279"/>
          <c:h val="4.9541550852596886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Nitrogen loading rates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418099360539713E-2"/>
          <c:y val="7.3794595431856444E-2"/>
          <c:w val="0.88428674242424243"/>
          <c:h val="0.70756550925925921"/>
        </c:manualLayout>
      </c:layout>
      <c:scatterChart>
        <c:scatterStyle val="lineMarker"/>
        <c:varyColors val="0"/>
        <c:ser>
          <c:idx val="4"/>
          <c:order val="4"/>
          <c:tx>
            <c:v>LTP</c:v>
          </c:tx>
          <c:spPr>
            <a:ln>
              <a:noFill/>
              <a:prstDash val="sysDot"/>
            </a:ln>
          </c:spPr>
          <c:marker>
            <c:symbol val="star"/>
            <c:size val="5"/>
            <c:spPr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'1-LTP'!$B$4:$B$94</c:f>
              <c:numCache>
                <c:formatCode>General</c:formatCode>
                <c:ptCount val="9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'1-LTP'!$AI$4:$AI$94</c:f>
              <c:numCache>
                <c:formatCode>0.00</c:formatCode>
                <c:ptCount val="91"/>
                <c:pt idx="0">
                  <c:v>0.26239165683701721</c:v>
                </c:pt>
                <c:pt idx="1">
                  <c:v>0.28132204276348421</c:v>
                </c:pt>
                <c:pt idx="12">
                  <c:v>0.46333698563428294</c:v>
                </c:pt>
                <c:pt idx="13">
                  <c:v>0.16817682547412277</c:v>
                </c:pt>
                <c:pt idx="14">
                  <c:v>0.2478507155804453</c:v>
                </c:pt>
                <c:pt idx="15">
                  <c:v>0.24766155344533725</c:v>
                </c:pt>
                <c:pt idx="27">
                  <c:v>7.6254914373833291E-2</c:v>
                </c:pt>
                <c:pt idx="28">
                  <c:v>0.1663564826087349</c:v>
                </c:pt>
                <c:pt idx="29">
                  <c:v>0.27059106358610863</c:v>
                </c:pt>
                <c:pt idx="33">
                  <c:v>0.21300731361992625</c:v>
                </c:pt>
                <c:pt idx="34">
                  <c:v>6.2052328815301781E-2</c:v>
                </c:pt>
                <c:pt idx="35">
                  <c:v>0.26171668966263567</c:v>
                </c:pt>
                <c:pt idx="36">
                  <c:v>0.51109639639639637</c:v>
                </c:pt>
                <c:pt idx="37">
                  <c:v>0.45150104266428587</c:v>
                </c:pt>
                <c:pt idx="38">
                  <c:v>0.38481893289686081</c:v>
                </c:pt>
                <c:pt idx="39">
                  <c:v>0.50232395909422956</c:v>
                </c:pt>
                <c:pt idx="40">
                  <c:v>0.13155198739279819</c:v>
                </c:pt>
                <c:pt idx="41">
                  <c:v>0.19454068933798663</c:v>
                </c:pt>
                <c:pt idx="42">
                  <c:v>0.43351390561732911</c:v>
                </c:pt>
                <c:pt idx="43">
                  <c:v>0.38155133511890266</c:v>
                </c:pt>
                <c:pt idx="44">
                  <c:v>0.28527128930732532</c:v>
                </c:pt>
                <c:pt idx="45">
                  <c:v>0.40161361361361347</c:v>
                </c:pt>
                <c:pt idx="46">
                  <c:v>0.20860457755052356</c:v>
                </c:pt>
                <c:pt idx="47">
                  <c:v>0.36947005437870306</c:v>
                </c:pt>
                <c:pt idx="48">
                  <c:v>0.34179233287341398</c:v>
                </c:pt>
                <c:pt idx="49">
                  <c:v>1.8522450378306233E-2</c:v>
                </c:pt>
                <c:pt idx="50">
                  <c:v>4.9112333053774507E-2</c:v>
                </c:pt>
                <c:pt idx="51">
                  <c:v>0.20740982649315984</c:v>
                </c:pt>
                <c:pt idx="52">
                  <c:v>0.3709492465438412</c:v>
                </c:pt>
                <c:pt idx="54">
                  <c:v>0.2571581110389668</c:v>
                </c:pt>
                <c:pt idx="55">
                  <c:v>0.23873739956172391</c:v>
                </c:pt>
                <c:pt idx="56">
                  <c:v>0.33047308569831096</c:v>
                </c:pt>
                <c:pt idx="57">
                  <c:v>0.32057596335073812</c:v>
                </c:pt>
                <c:pt idx="58">
                  <c:v>0.39111550604658712</c:v>
                </c:pt>
                <c:pt idx="59">
                  <c:v>0.41054227200173155</c:v>
                </c:pt>
                <c:pt idx="60">
                  <c:v>0.44219219516814118</c:v>
                </c:pt>
                <c:pt idx="61">
                  <c:v>0.30991692142593047</c:v>
                </c:pt>
                <c:pt idx="62">
                  <c:v>0.27528658388117849</c:v>
                </c:pt>
                <c:pt idx="65">
                  <c:v>0.35416916916916913</c:v>
                </c:pt>
                <c:pt idx="66">
                  <c:v>0.33314410807203598</c:v>
                </c:pt>
                <c:pt idx="67">
                  <c:v>0.26391998755512269</c:v>
                </c:pt>
                <c:pt idx="68">
                  <c:v>0.27514462209957702</c:v>
                </c:pt>
                <c:pt idx="69">
                  <c:v>0.36569556944331727</c:v>
                </c:pt>
                <c:pt idx="70">
                  <c:v>0.82664329194058928</c:v>
                </c:pt>
                <c:pt idx="71">
                  <c:v>0.25798868057246443</c:v>
                </c:pt>
                <c:pt idx="72">
                  <c:v>0.39575344123402673</c:v>
                </c:pt>
                <c:pt idx="73">
                  <c:v>0.27619787354922493</c:v>
                </c:pt>
                <c:pt idx="74">
                  <c:v>0.32525432594756915</c:v>
                </c:pt>
                <c:pt idx="75">
                  <c:v>0.3003948994039084</c:v>
                </c:pt>
                <c:pt idx="76">
                  <c:v>0.22515928090252413</c:v>
                </c:pt>
                <c:pt idx="77">
                  <c:v>0.2380404278152026</c:v>
                </c:pt>
                <c:pt idx="81">
                  <c:v>0.25631561741922104</c:v>
                </c:pt>
                <c:pt idx="82">
                  <c:v>0.23242941139337536</c:v>
                </c:pt>
                <c:pt idx="83">
                  <c:v>0.17978647566485406</c:v>
                </c:pt>
                <c:pt idx="84">
                  <c:v>0.16611333856378907</c:v>
                </c:pt>
                <c:pt idx="85">
                  <c:v>0.14741391391391395</c:v>
                </c:pt>
                <c:pt idx="86">
                  <c:v>0.26868395422449476</c:v>
                </c:pt>
                <c:pt idx="87">
                  <c:v>0.27337061385710032</c:v>
                </c:pt>
                <c:pt idx="88">
                  <c:v>0.31051862673484287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C33A-4DED-94F3-5BD6130DF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369024"/>
        <c:axId val="55637094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v>S-SBR</c:v>
                </c:tx>
                <c:spPr>
                  <a:ln w="15875">
                    <a:noFill/>
                    <a:prstDash val="lgDash"/>
                  </a:ln>
                </c:spPr>
                <c:marker>
                  <c:symbol val="square"/>
                  <c:size val="5"/>
                  <c:spPr>
                    <a:solidFill>
                      <a:schemeClr val="bg1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'S-SBR'!$B$4:$B$74</c15:sqref>
                        </c15:formulaRef>
                      </c:ext>
                    </c:extLst>
                    <c:numCache>
                      <c:formatCode>General</c:formatCode>
                      <c:ptCount val="7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'S-SBR'!$AL$4:$AL$74</c15:sqref>
                        </c15:formulaRef>
                      </c:ext>
                    </c:extLst>
                    <c:numCache>
                      <c:formatCode>0.000</c:formatCode>
                      <c:ptCount val="71"/>
                      <c:pt idx="0">
                        <c:v>0.53282175659999997</c:v>
                      </c:pt>
                      <c:pt idx="6">
                        <c:v>0.93127006000000001</c:v>
                      </c:pt>
                      <c:pt idx="7">
                        <c:v>0.94206520000000016</c:v>
                      </c:pt>
                      <c:pt idx="8">
                        <c:v>1.1074062</c:v>
                      </c:pt>
                      <c:pt idx="10">
                        <c:v>1.0751075999999999</c:v>
                      </c:pt>
                      <c:pt idx="11">
                        <c:v>2.0565350000000003E-2</c:v>
                      </c:pt>
                      <c:pt idx="14">
                        <c:v>0.78604995000000011</c:v>
                      </c:pt>
                      <c:pt idx="15">
                        <c:v>1.0216907999999998</c:v>
                      </c:pt>
                      <c:pt idx="27">
                        <c:v>0.89369899199999991</c:v>
                      </c:pt>
                      <c:pt idx="28">
                        <c:v>0.76767744000000016</c:v>
                      </c:pt>
                      <c:pt idx="29">
                        <c:v>0.90225980060000011</c:v>
                      </c:pt>
                      <c:pt idx="30">
                        <c:v>0.93707383999999994</c:v>
                      </c:pt>
                      <c:pt idx="31">
                        <c:v>0.97123835999999986</c:v>
                      </c:pt>
                      <c:pt idx="32">
                        <c:v>0.94787580000000016</c:v>
                      </c:pt>
                      <c:pt idx="33">
                        <c:v>0.99916464000000005</c:v>
                      </c:pt>
                      <c:pt idx="34">
                        <c:v>0.87439443419999974</c:v>
                      </c:pt>
                      <c:pt idx="35">
                        <c:v>0.83071866000000005</c:v>
                      </c:pt>
                      <c:pt idx="36">
                        <c:v>1.0634329079999998</c:v>
                      </c:pt>
                      <c:pt idx="37">
                        <c:v>0.90222698720000005</c:v>
                      </c:pt>
                      <c:pt idx="38">
                        <c:v>0.95590239199999993</c:v>
                      </c:pt>
                      <c:pt idx="39">
                        <c:v>0.94729899000000006</c:v>
                      </c:pt>
                      <c:pt idx="41">
                        <c:v>0.75150869999999981</c:v>
                      </c:pt>
                      <c:pt idx="42">
                        <c:v>0.87280887120000028</c:v>
                      </c:pt>
                      <c:pt idx="43">
                        <c:v>0.93699183999999969</c:v>
                      </c:pt>
                      <c:pt idx="44">
                        <c:v>0.39668750000000003</c:v>
                      </c:pt>
                      <c:pt idx="45">
                        <c:v>0.48498680999999993</c:v>
                      </c:pt>
                      <c:pt idx="46">
                        <c:v>0.50101974000000016</c:v>
                      </c:pt>
                      <c:pt idx="47">
                        <c:v>0.49291805369999997</c:v>
                      </c:pt>
                      <c:pt idx="48">
                        <c:v>0.46863995000000008</c:v>
                      </c:pt>
                      <c:pt idx="50">
                        <c:v>0.33614175000000002</c:v>
                      </c:pt>
                      <c:pt idx="51">
                        <c:v>0.36114867500000003</c:v>
                      </c:pt>
                      <c:pt idx="52">
                        <c:v>0.42978800499999997</c:v>
                      </c:pt>
                      <c:pt idx="53">
                        <c:v>0.47804199500000005</c:v>
                      </c:pt>
                      <c:pt idx="54">
                        <c:v>0.48642678624999997</c:v>
                      </c:pt>
                      <c:pt idx="55">
                        <c:v>0.48142938000000002</c:v>
                      </c:pt>
                      <c:pt idx="56">
                        <c:v>0.48351224999999998</c:v>
                      </c:pt>
                      <c:pt idx="57">
                        <c:v>0.48555144000000006</c:v>
                      </c:pt>
                      <c:pt idx="58">
                        <c:v>0.52403853690000002</c:v>
                      </c:pt>
                      <c:pt idx="59">
                        <c:v>0.49332211500000012</c:v>
                      </c:pt>
                      <c:pt idx="60">
                        <c:v>0.45881631509999998</c:v>
                      </c:pt>
                      <c:pt idx="61">
                        <c:v>0.47640547500000002</c:v>
                      </c:pt>
                      <c:pt idx="62">
                        <c:v>0.40822592000000002</c:v>
                      </c:pt>
                      <c:pt idx="63">
                        <c:v>0.41836154289999988</c:v>
                      </c:pt>
                      <c:pt idx="69">
                        <c:v>0.41996800000000006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C33A-4DED-94F3-5BD6130DFBA3}"/>
                  </c:ext>
                </c:extLst>
              </c15:ser>
            </c15:filteredScatterSeries>
            <c15:filteredScatterSeries>
              <c15:ser>
                <c:idx val="3"/>
                <c:order val="1"/>
                <c:tx>
                  <c:v>Media</c:v>
                </c:tx>
                <c:spPr>
                  <a:ln w="15875">
                    <a:noFill/>
                    <a:prstDash val="lgDash"/>
                  </a:ln>
                </c:spPr>
                <c:marker>
                  <c:symbol val="triangle"/>
                  <c:size val="5"/>
                  <c:spPr>
                    <a:solidFill>
                      <a:schemeClr val="tx1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'1-Media'!$B$4:$B$91</c15:sqref>
                        </c15:formulaRef>
                      </c:ext>
                    </c:extLst>
                    <c:numCache>
                      <c:formatCode>General</c:formatCode>
                      <c:ptCount val="8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'1-Media'!$AP$4:$AP$91</c15:sqref>
                        </c15:formulaRef>
                      </c:ext>
                    </c:extLst>
                    <c:numCache>
                      <c:formatCode>0.00</c:formatCode>
                      <c:ptCount val="88"/>
                      <c:pt idx="0">
                        <c:v>4.2803081850937369E-2</c:v>
                      </c:pt>
                      <c:pt idx="6">
                        <c:v>0.130157304</c:v>
                      </c:pt>
                      <c:pt idx="7">
                        <c:v>0.42986629614067529</c:v>
                      </c:pt>
                      <c:pt idx="8">
                        <c:v>6.1982645922834624E-2</c:v>
                      </c:pt>
                      <c:pt idx="14">
                        <c:v>8.7513764373956471E-2</c:v>
                      </c:pt>
                      <c:pt idx="15">
                        <c:v>8.7234937356820544E-2</c:v>
                      </c:pt>
                      <c:pt idx="28">
                        <c:v>8.7728429474033712E-2</c:v>
                      </c:pt>
                      <c:pt idx="29">
                        <c:v>0.24318898785013118</c:v>
                      </c:pt>
                      <c:pt idx="30">
                        <c:v>0.25739414898768614</c:v>
                      </c:pt>
                      <c:pt idx="31">
                        <c:v>0.40323739105071432</c:v>
                      </c:pt>
                      <c:pt idx="33">
                        <c:v>0.2166652986203324</c:v>
                      </c:pt>
                      <c:pt idx="34">
                        <c:v>0.47486084158016739</c:v>
                      </c:pt>
                      <c:pt idx="35">
                        <c:v>6.2262537610735469E-2</c:v>
                      </c:pt>
                      <c:pt idx="36">
                        <c:v>0.15107948972187452</c:v>
                      </c:pt>
                      <c:pt idx="40">
                        <c:v>9.0166081752626526E-2</c:v>
                      </c:pt>
                      <c:pt idx="41">
                        <c:v>0.2720464548125669</c:v>
                      </c:pt>
                      <c:pt idx="43">
                        <c:v>7.2402933399040484E-2</c:v>
                      </c:pt>
                      <c:pt idx="44">
                        <c:v>4.8370031847860824E-2</c:v>
                      </c:pt>
                      <c:pt idx="45">
                        <c:v>0.35598465933914752</c:v>
                      </c:pt>
                      <c:pt idx="47">
                        <c:v>9.6762345205505432E-2</c:v>
                      </c:pt>
                      <c:pt idx="48">
                        <c:v>4.9521344735224501E-2</c:v>
                      </c:pt>
                      <c:pt idx="51">
                        <c:v>0.17878560428969345</c:v>
                      </c:pt>
                      <c:pt idx="52">
                        <c:v>0.24269993557438768</c:v>
                      </c:pt>
                      <c:pt idx="53">
                        <c:v>0.24825377147205793</c:v>
                      </c:pt>
                      <c:pt idx="54">
                        <c:v>0.33705261162590872</c:v>
                      </c:pt>
                      <c:pt idx="55">
                        <c:v>0.28701505313865194</c:v>
                      </c:pt>
                      <c:pt idx="56">
                        <c:v>0.33518976097747766</c:v>
                      </c:pt>
                      <c:pt idx="57">
                        <c:v>0.28377464524440549</c:v>
                      </c:pt>
                      <c:pt idx="60">
                        <c:v>0.17960219000307931</c:v>
                      </c:pt>
                      <c:pt idx="61">
                        <c:v>0.12819424836279361</c:v>
                      </c:pt>
                      <c:pt idx="62">
                        <c:v>0.22189351829957502</c:v>
                      </c:pt>
                      <c:pt idx="63">
                        <c:v>0.11493135222832548</c:v>
                      </c:pt>
                      <c:pt idx="64">
                        <c:v>0.12458911918068834</c:v>
                      </c:pt>
                      <c:pt idx="65">
                        <c:v>0.12494057735673778</c:v>
                      </c:pt>
                      <c:pt idx="66">
                        <c:v>0.12347562790813928</c:v>
                      </c:pt>
                      <c:pt idx="67">
                        <c:v>0.13945651572353823</c:v>
                      </c:pt>
                      <c:pt idx="68">
                        <c:v>0.19188711544185566</c:v>
                      </c:pt>
                      <c:pt idx="69">
                        <c:v>2.0486229376952454E-2</c:v>
                      </c:pt>
                      <c:pt idx="70">
                        <c:v>0.1938241224089656</c:v>
                      </c:pt>
                      <c:pt idx="73">
                        <c:v>2.3902009691636958E-2</c:v>
                      </c:pt>
                      <c:pt idx="74">
                        <c:v>3.0065434220976427E-2</c:v>
                      </c:pt>
                      <c:pt idx="77">
                        <c:v>3.3493406464159124E-2</c:v>
                      </c:pt>
                      <c:pt idx="78">
                        <c:v>2.8841015468212626E-2</c:v>
                      </c:pt>
                      <c:pt idx="79">
                        <c:v>0.20429917922128718</c:v>
                      </c:pt>
                      <c:pt idx="80">
                        <c:v>0.41329835149059879</c:v>
                      </c:pt>
                      <c:pt idx="81">
                        <c:v>7.9849980101984533E-2</c:v>
                      </c:pt>
                      <c:pt idx="82">
                        <c:v>9.7368897742817484E-3</c:v>
                      </c:pt>
                      <c:pt idx="83">
                        <c:v>1.9682106159247009E-2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33A-4DED-94F3-5BD6130DFBA3}"/>
                  </c:ext>
                </c:extLst>
              </c15:ser>
            </c15:filteredScatterSeries>
            <c15:filteredScatterSeries>
              <c15:ser>
                <c:idx val="5"/>
                <c:order val="2"/>
                <c:tx>
                  <c:v>G-SBR</c:v>
                </c:tx>
                <c:spPr>
                  <a:ln w="22225">
                    <a:noFill/>
                    <a:prstDash val="solid"/>
                  </a:ln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'G-SBR'!$B$4:$B$93</c15:sqref>
                        </c15:formulaRef>
                      </c:ext>
                    </c:extLst>
                    <c:numCache>
                      <c:formatCode>General</c:formatCode>
                      <c:ptCount val="9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'G-SBR'!$AL$4:$AL$93</c15:sqref>
                        </c15:formulaRef>
                      </c:ext>
                    </c:extLst>
                    <c:numCache>
                      <c:formatCode>0.00</c:formatCode>
                      <c:ptCount val="90"/>
                      <c:pt idx="0">
                        <c:v>0.42843015660125555</c:v>
                      </c:pt>
                      <c:pt idx="14">
                        <c:v>0.61404372457308443</c:v>
                      </c:pt>
                      <c:pt idx="15">
                        <c:v>0.26900168067226887</c:v>
                      </c:pt>
                      <c:pt idx="27">
                        <c:v>0.424122048892563</c:v>
                      </c:pt>
                      <c:pt idx="28">
                        <c:v>1.5937437617504659</c:v>
                      </c:pt>
                      <c:pt idx="29">
                        <c:v>1.7507564807825624</c:v>
                      </c:pt>
                      <c:pt idx="30">
                        <c:v>1.8691221314505631</c:v>
                      </c:pt>
                      <c:pt idx="31">
                        <c:v>0.52288920225419389</c:v>
                      </c:pt>
                      <c:pt idx="32">
                        <c:v>0.40291986236614857</c:v>
                      </c:pt>
                      <c:pt idx="33">
                        <c:v>0.34767441411751993</c:v>
                      </c:pt>
                      <c:pt idx="34">
                        <c:v>0.3058209892917475</c:v>
                      </c:pt>
                      <c:pt idx="35">
                        <c:v>0.28732710603203843</c:v>
                      </c:pt>
                      <c:pt idx="36">
                        <c:v>0.34924854992155902</c:v>
                      </c:pt>
                      <c:pt idx="37">
                        <c:v>0.29266952103850769</c:v>
                      </c:pt>
                      <c:pt idx="38">
                        <c:v>0.31024742707541964</c:v>
                      </c:pt>
                      <c:pt idx="39">
                        <c:v>0.2832915148074211</c:v>
                      </c:pt>
                      <c:pt idx="40">
                        <c:v>0.28566742773270271</c:v>
                      </c:pt>
                      <c:pt idx="56">
                        <c:v>0.78780000000000006</c:v>
                      </c:pt>
                      <c:pt idx="57">
                        <c:v>0.80124000000000017</c:v>
                      </c:pt>
                      <c:pt idx="72">
                        <c:v>1.5809144615384612</c:v>
                      </c:pt>
                      <c:pt idx="73">
                        <c:v>1.3920000000000001</c:v>
                      </c:pt>
                      <c:pt idx="77">
                        <c:v>0.67868421052631589</c:v>
                      </c:pt>
                      <c:pt idx="78">
                        <c:v>0.77046000000000003</c:v>
                      </c:pt>
                      <c:pt idx="79">
                        <c:v>0.7154876033057852</c:v>
                      </c:pt>
                      <c:pt idx="80">
                        <c:v>0.69927950310559006</c:v>
                      </c:pt>
                      <c:pt idx="85">
                        <c:v>0.87129780564263326</c:v>
                      </c:pt>
                      <c:pt idx="86">
                        <c:v>1.0853061224489795</c:v>
                      </c:pt>
                      <c:pt idx="87">
                        <c:v>0.71966511627906982</c:v>
                      </c:pt>
                      <c:pt idx="88">
                        <c:v>0.72874285714285714</c:v>
                      </c:pt>
                      <c:pt idx="89">
                        <c:v>0.67222325581395337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33A-4DED-94F3-5BD6130DFBA3}"/>
                  </c:ext>
                </c:extLst>
              </c15:ser>
            </c15:filteredScatterSeries>
            <c15:filteredScatterSeries>
              <c15:ser>
                <c:idx val="2"/>
                <c:order val="3"/>
                <c:spPr>
                  <a:ln w="19050">
                    <a:solidFill>
                      <a:schemeClr val="tx1"/>
                    </a:solidFill>
                    <a:prstDash val="lgDashDotDot"/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DataPlots!$R$286:$R$287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DataPlots!$T$286:$T$287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33A-4DED-94F3-5BD6130DFBA3}"/>
                  </c:ext>
                </c:extLst>
              </c15:ser>
            </c15:filteredScatterSeries>
          </c:ext>
        </c:extLst>
      </c:scatterChart>
      <c:valAx>
        <c:axId val="55636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763801767676768"/>
              <c:y val="0.86045231481481488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370944"/>
        <c:crosses val="autoZero"/>
        <c:crossBetween val="midCat"/>
      </c:valAx>
      <c:valAx>
        <c:axId val="556370944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aseline="0"/>
                  <a:t>NLR (kg N m</a:t>
                </a:r>
                <a:r>
                  <a:rPr lang="en-GB" baseline="30000"/>
                  <a:t>-3</a:t>
                </a:r>
                <a:r>
                  <a:rPr lang="en-GB" baseline="0"/>
                  <a:t> d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3690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176712962962964"/>
          <c:w val="0.99826321703313003"/>
          <c:h val="8.087407407407407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Nitrogen removal efficiency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84827717327428"/>
          <c:y val="0.11530787785608809"/>
          <c:w val="0.82100227937055514"/>
          <c:h val="0.72469814814814826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6350">
                <a:solidFill>
                  <a:schemeClr val="tx1"/>
                </a:solidFill>
              </a:ln>
            </c:spPr>
          </c:marker>
          <c:xVal>
            <c:numRef>
              <c:f>'S-SBR'!$B$4:$B$74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'S-SBR'!$AO$4:$AO$74</c:f>
              <c:numCache>
                <c:formatCode>0%</c:formatCode>
                <c:ptCount val="71"/>
                <c:pt idx="0">
                  <c:v>0.48073542686113357</c:v>
                </c:pt>
                <c:pt idx="6">
                  <c:v>0.8464139199320978</c:v>
                </c:pt>
                <c:pt idx="7">
                  <c:v>0.83876146788990824</c:v>
                </c:pt>
                <c:pt idx="8">
                  <c:v>0.83979387148094353</c:v>
                </c:pt>
                <c:pt idx="10">
                  <c:v>0.89604106602911193</c:v>
                </c:pt>
                <c:pt idx="11">
                  <c:v>0.89548050482972574</c:v>
                </c:pt>
                <c:pt idx="14">
                  <c:v>0.90607971541757615</c:v>
                </c:pt>
                <c:pt idx="15">
                  <c:v>0.90772829509671626</c:v>
                </c:pt>
                <c:pt idx="27">
                  <c:v>0.87166700418523024</c:v>
                </c:pt>
                <c:pt idx="28">
                  <c:v>0.87327615489130439</c:v>
                </c:pt>
                <c:pt idx="29">
                  <c:v>0.88227826161670186</c:v>
                </c:pt>
                <c:pt idx="30">
                  <c:v>0.87385100836877494</c:v>
                </c:pt>
                <c:pt idx="31">
                  <c:v>0.87151345216636622</c:v>
                </c:pt>
                <c:pt idx="32">
                  <c:v>0.8579295304300415</c:v>
                </c:pt>
                <c:pt idx="33">
                  <c:v>0.86032898241875333</c:v>
                </c:pt>
                <c:pt idx="34">
                  <c:v>0.82904130086696282</c:v>
                </c:pt>
                <c:pt idx="35">
                  <c:v>0.83268413881542036</c:v>
                </c:pt>
                <c:pt idx="36">
                  <c:v>0.85443000415405612</c:v>
                </c:pt>
                <c:pt idx="37">
                  <c:v>0.82347100645450522</c:v>
                </c:pt>
                <c:pt idx="38">
                  <c:v>0.86013621357273473</c:v>
                </c:pt>
                <c:pt idx="39">
                  <c:v>0.84718950560688333</c:v>
                </c:pt>
                <c:pt idx="41">
                  <c:v>0.8377602654500208</c:v>
                </c:pt>
                <c:pt idx="42">
                  <c:v>0.85902853870993057</c:v>
                </c:pt>
                <c:pt idx="43">
                  <c:v>0.88680801745295879</c:v>
                </c:pt>
                <c:pt idx="44">
                  <c:v>0.85493146368363004</c:v>
                </c:pt>
                <c:pt idx="45">
                  <c:v>0.84586639150042042</c:v>
                </c:pt>
                <c:pt idx="46">
                  <c:v>0.85394755903230468</c:v>
                </c:pt>
                <c:pt idx="47">
                  <c:v>0.84773046871259283</c:v>
                </c:pt>
                <c:pt idx="48">
                  <c:v>0.85295504789977894</c:v>
                </c:pt>
                <c:pt idx="50">
                  <c:v>0.90183248584860409</c:v>
                </c:pt>
                <c:pt idx="51">
                  <c:v>0.80850649666650443</c:v>
                </c:pt>
                <c:pt idx="52">
                  <c:v>0.8344511941416326</c:v>
                </c:pt>
                <c:pt idx="53">
                  <c:v>0.83881285680769535</c:v>
                </c:pt>
                <c:pt idx="54">
                  <c:v>0.8253779039291137</c:v>
                </c:pt>
                <c:pt idx="55">
                  <c:v>0.81270420180837322</c:v>
                </c:pt>
                <c:pt idx="56">
                  <c:v>0.8233587204874333</c:v>
                </c:pt>
                <c:pt idx="57">
                  <c:v>0.82861314961809207</c:v>
                </c:pt>
                <c:pt idx="58">
                  <c:v>0.85916862157394513</c:v>
                </c:pt>
                <c:pt idx="59">
                  <c:v>0.8568019609256724</c:v>
                </c:pt>
                <c:pt idx="60">
                  <c:v>0.8483629238754592</c:v>
                </c:pt>
                <c:pt idx="61">
                  <c:v>0.85042819249715795</c:v>
                </c:pt>
                <c:pt idx="62">
                  <c:v>0.83278200463116103</c:v>
                </c:pt>
                <c:pt idx="63">
                  <c:v>0.82792416936561597</c:v>
                </c:pt>
                <c:pt idx="69">
                  <c:v>0.85760200777202067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D1-4FC9-B727-0C701CB06C65}"/>
            </c:ext>
          </c:extLst>
        </c:ser>
        <c:ser>
          <c:idx val="2"/>
          <c:order val="1"/>
          <c:tx>
            <c:v>Media</c:v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'1-Media'!$AR$4:$AR$87</c:f>
              <c:numCache>
                <c:formatCode>0%</c:formatCode>
                <c:ptCount val="84"/>
                <c:pt idx="0">
                  <c:v>0.6013714804828223</c:v>
                </c:pt>
                <c:pt idx="6">
                  <c:v>0.90256896307822887</c:v>
                </c:pt>
                <c:pt idx="7">
                  <c:v>0.87921613599568271</c:v>
                </c:pt>
                <c:pt idx="8">
                  <c:v>0.87321020958705131</c:v>
                </c:pt>
                <c:pt idx="14">
                  <c:v>0.96376424933300997</c:v>
                </c:pt>
                <c:pt idx="15">
                  <c:v>0.96181586444744338</c:v>
                </c:pt>
                <c:pt idx="28">
                  <c:v>0.95983865489130427</c:v>
                </c:pt>
                <c:pt idx="29">
                  <c:v>0.96912706043040342</c:v>
                </c:pt>
                <c:pt idx="30">
                  <c:v>0.95362189600768288</c:v>
                </c:pt>
                <c:pt idx="31">
                  <c:v>0.93252553575005015</c:v>
                </c:pt>
                <c:pt idx="33">
                  <c:v>0.9419352690463505</c:v>
                </c:pt>
                <c:pt idx="34">
                  <c:v>0.79574172362681306</c:v>
                </c:pt>
                <c:pt idx="35">
                  <c:v>0.79515348240763006</c:v>
                </c:pt>
                <c:pt idx="36">
                  <c:v>0.41806289109119804</c:v>
                </c:pt>
                <c:pt idx="37">
                  <c:v>0.20748389247472515</c:v>
                </c:pt>
                <c:pt idx="40">
                  <c:v>0.42307678584299152</c:v>
                </c:pt>
                <c:pt idx="41">
                  <c:v>0.3858888428038158</c:v>
                </c:pt>
                <c:pt idx="43">
                  <c:v>0.44800790837196613</c:v>
                </c:pt>
                <c:pt idx="44">
                  <c:v>0.3045596344729794</c:v>
                </c:pt>
                <c:pt idx="45">
                  <c:v>0.49826492394710692</c:v>
                </c:pt>
                <c:pt idx="47">
                  <c:v>0.54124669343593168</c:v>
                </c:pt>
                <c:pt idx="48">
                  <c:v>0.55495210022107588</c:v>
                </c:pt>
                <c:pt idx="51">
                  <c:v>0.79465667429071973</c:v>
                </c:pt>
                <c:pt idx="52">
                  <c:v>0.79435799284347175</c:v>
                </c:pt>
                <c:pt idx="53">
                  <c:v>0.76542582310158758</c:v>
                </c:pt>
                <c:pt idx="54">
                  <c:v>0.69221748938995642</c:v>
                </c:pt>
                <c:pt idx="55">
                  <c:v>0.52616062609224223</c:v>
                </c:pt>
                <c:pt idx="56">
                  <c:v>0.37631378522467634</c:v>
                </c:pt>
                <c:pt idx="57">
                  <c:v>0.25673955369177776</c:v>
                </c:pt>
                <c:pt idx="60">
                  <c:v>0.28028463650420005</c:v>
                </c:pt>
                <c:pt idx="61">
                  <c:v>0.26092459264873052</c:v>
                </c:pt>
                <c:pt idx="62">
                  <c:v>0.38820707906053592</c:v>
                </c:pt>
                <c:pt idx="63">
                  <c:v>0.59122014223740915</c:v>
                </c:pt>
                <c:pt idx="64">
                  <c:v>0.57489195139851579</c:v>
                </c:pt>
                <c:pt idx="65">
                  <c:v>0.55322031122031123</c:v>
                </c:pt>
                <c:pt idx="66">
                  <c:v>0.52700931299988307</c:v>
                </c:pt>
                <c:pt idx="67">
                  <c:v>0.49469591552754355</c:v>
                </c:pt>
                <c:pt idx="68">
                  <c:v>0.50342071611253203</c:v>
                </c:pt>
                <c:pt idx="69">
                  <c:v>0.37000647668393782</c:v>
                </c:pt>
                <c:pt idx="70">
                  <c:v>0.37620776760341013</c:v>
                </c:pt>
                <c:pt idx="73">
                  <c:v>0.41331001166083631</c:v>
                </c:pt>
                <c:pt idx="74">
                  <c:v>0.43752558172643685</c:v>
                </c:pt>
                <c:pt idx="77">
                  <c:v>0.50631795269484292</c:v>
                </c:pt>
                <c:pt idx="78">
                  <c:v>0.36115850507253044</c:v>
                </c:pt>
                <c:pt idx="79">
                  <c:v>0.32289278536281102</c:v>
                </c:pt>
                <c:pt idx="80">
                  <c:v>0.41331627940026999</c:v>
                </c:pt>
                <c:pt idx="81">
                  <c:v>0.41438445996242596</c:v>
                </c:pt>
                <c:pt idx="82">
                  <c:v>0.3616370885779065</c:v>
                </c:pt>
                <c:pt idx="83">
                  <c:v>0.36091093940626262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D1-4FC9-B727-0C701CB06C65}"/>
            </c:ext>
          </c:extLst>
        </c:ser>
        <c:ser>
          <c:idx val="4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'G-SBR'!$B$4:$B$80</c:f>
              <c:numCache>
                <c:formatCode>General</c:formatCode>
                <c:ptCount val="7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</c:numCache>
            </c:numRef>
          </c:xVal>
          <c:yVal>
            <c:numRef>
              <c:f>'G-SBR'!$AO$4:$AO$80</c:f>
              <c:numCache>
                <c:formatCode>0%</c:formatCode>
                <c:ptCount val="77"/>
                <c:pt idx="0">
                  <c:v>0.89580641685080931</c:v>
                </c:pt>
                <c:pt idx="14">
                  <c:v>0.74980192416525182</c:v>
                </c:pt>
                <c:pt idx="15">
                  <c:v>0.73141400509821564</c:v>
                </c:pt>
                <c:pt idx="27">
                  <c:v>0.158659038747131</c:v>
                </c:pt>
                <c:pt idx="28">
                  <c:v>0.2452955163043479</c:v>
                </c:pt>
                <c:pt idx="29">
                  <c:v>0.75039293909555127</c:v>
                </c:pt>
                <c:pt idx="30">
                  <c:v>0.15214707092879678</c:v>
                </c:pt>
                <c:pt idx="31">
                  <c:v>0.66475732692436074</c:v>
                </c:pt>
                <c:pt idx="32">
                  <c:v>0.61436652354665022</c:v>
                </c:pt>
                <c:pt idx="33">
                  <c:v>0.78212573255194451</c:v>
                </c:pt>
                <c:pt idx="34">
                  <c:v>0.54776748051720381</c:v>
                </c:pt>
                <c:pt idx="35">
                  <c:v>3.153802997515439E-2</c:v>
                </c:pt>
                <c:pt idx="36">
                  <c:v>0.60877363031537857</c:v>
                </c:pt>
                <c:pt idx="37">
                  <c:v>0.36245955157569243</c:v>
                </c:pt>
                <c:pt idx="38">
                  <c:v>0.22093305944986072</c:v>
                </c:pt>
                <c:pt idx="39">
                  <c:v>0.2693067212074195</c:v>
                </c:pt>
                <c:pt idx="40">
                  <c:v>0.42100729815537286</c:v>
                </c:pt>
                <c:pt idx="56">
                  <c:v>0.11751713632901749</c:v>
                </c:pt>
                <c:pt idx="57">
                  <c:v>0.11090310019469832</c:v>
                </c:pt>
                <c:pt idx="72">
                  <c:v>0.93824800913667883</c:v>
                </c:pt>
                <c:pt idx="73">
                  <c:v>0.92168082625353998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D1-4FC9-B727-0C701CB06C65}"/>
            </c:ext>
          </c:extLst>
        </c:ser>
        <c:ser>
          <c:idx val="1"/>
          <c:order val="3"/>
          <c:tx>
            <c:v>LTP</c:v>
          </c:tx>
          <c:spPr>
            <a:ln w="19050">
              <a:noFill/>
            </a:ln>
          </c:spPr>
          <c:marker>
            <c:symbol val="x"/>
            <c:size val="5"/>
          </c:marker>
          <c:xVal>
            <c:numRef>
              <c:f>'1-LTP'!$B$4:$B$93</c:f>
              <c:numCache>
                <c:formatCode>General</c:formatCod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'1-LTP'!$AL$4:$AL$93</c:f>
              <c:numCache>
                <c:formatCode>0%</c:formatCode>
                <c:ptCount val="90"/>
                <c:pt idx="0">
                  <c:v>0.86217409088433605</c:v>
                </c:pt>
                <c:pt idx="1">
                  <c:v>0.80810917721518982</c:v>
                </c:pt>
                <c:pt idx="12">
                  <c:v>0.29576411362819133</c:v>
                </c:pt>
                <c:pt idx="13">
                  <c:v>0.27167327293318233</c:v>
                </c:pt>
                <c:pt idx="27">
                  <c:v>4.7379168354259371E-2</c:v>
                </c:pt>
                <c:pt idx="29">
                  <c:v>6.8308443487136494E-2</c:v>
                </c:pt>
                <c:pt idx="33">
                  <c:v>0.14381326584976029</c:v>
                </c:pt>
                <c:pt idx="34">
                  <c:v>5.1169437327143519E-2</c:v>
                </c:pt>
                <c:pt idx="36">
                  <c:v>0.10789336603828314</c:v>
                </c:pt>
                <c:pt idx="37">
                  <c:v>0.16411139912752093</c:v>
                </c:pt>
                <c:pt idx="38">
                  <c:v>0.13065016788868955</c:v>
                </c:pt>
                <c:pt idx="39">
                  <c:v>0.10238380703857808</c:v>
                </c:pt>
                <c:pt idx="40">
                  <c:v>7.0114956472964951E-2</c:v>
                </c:pt>
                <c:pt idx="41">
                  <c:v>0.92567399419328078</c:v>
                </c:pt>
                <c:pt idx="42">
                  <c:v>0.18463112431298101</c:v>
                </c:pt>
                <c:pt idx="43">
                  <c:v>0.86576902099809105</c:v>
                </c:pt>
                <c:pt idx="44">
                  <c:v>0.13737198676540108</c:v>
                </c:pt>
                <c:pt idx="45">
                  <c:v>0.14279599480241534</c:v>
                </c:pt>
                <c:pt idx="46">
                  <c:v>0.15152832101984648</c:v>
                </c:pt>
                <c:pt idx="47">
                  <c:v>0.12461409607322715</c:v>
                </c:pt>
                <c:pt idx="48">
                  <c:v>0.17187177597641856</c:v>
                </c:pt>
                <c:pt idx="49">
                  <c:v>0.21600926221654426</c:v>
                </c:pt>
                <c:pt idx="52">
                  <c:v>0.11439627194807356</c:v>
                </c:pt>
                <c:pt idx="54">
                  <c:v>0.18970718997899338</c:v>
                </c:pt>
                <c:pt idx="55">
                  <c:v>0.14824101512043164</c:v>
                </c:pt>
                <c:pt idx="56">
                  <c:v>0.11534653465346534</c:v>
                </c:pt>
                <c:pt idx="57">
                  <c:v>0.10605062153661837</c:v>
                </c:pt>
                <c:pt idx="61">
                  <c:v>0.91034482758620694</c:v>
                </c:pt>
                <c:pt idx="62">
                  <c:v>0.17502480979159774</c:v>
                </c:pt>
                <c:pt idx="65">
                  <c:v>0.29488943488943486</c:v>
                </c:pt>
                <c:pt idx="66">
                  <c:v>0.22468570137900157</c:v>
                </c:pt>
                <c:pt idx="67">
                  <c:v>0.25369566996807724</c:v>
                </c:pt>
                <c:pt idx="68">
                  <c:v>0.2433903452685422</c:v>
                </c:pt>
                <c:pt idx="69">
                  <c:v>0.18464216321243521</c:v>
                </c:pt>
                <c:pt idx="70">
                  <c:v>0.18688822229239033</c:v>
                </c:pt>
                <c:pt idx="71">
                  <c:v>0.14703849609509978</c:v>
                </c:pt>
                <c:pt idx="72">
                  <c:v>0.17849299295519705</c:v>
                </c:pt>
                <c:pt idx="73">
                  <c:v>0.13650674662668671</c:v>
                </c:pt>
                <c:pt idx="74">
                  <c:v>0.14008189388093173</c:v>
                </c:pt>
                <c:pt idx="75">
                  <c:v>0.14788431061806651</c:v>
                </c:pt>
                <c:pt idx="76">
                  <c:v>0.24256606664113367</c:v>
                </c:pt>
                <c:pt idx="77">
                  <c:v>0.18237301279565732</c:v>
                </c:pt>
                <c:pt idx="81">
                  <c:v>0.38920279323668061</c:v>
                </c:pt>
                <c:pt idx="82">
                  <c:v>0.32425924478148704</c:v>
                </c:pt>
                <c:pt idx="83">
                  <c:v>0.41041073607157397</c:v>
                </c:pt>
                <c:pt idx="84">
                  <c:v>0.28943447612944573</c:v>
                </c:pt>
                <c:pt idx="85">
                  <c:v>0.12842586995941641</c:v>
                </c:pt>
                <c:pt idx="86">
                  <c:v>0.26605490786009767</c:v>
                </c:pt>
                <c:pt idx="87">
                  <c:v>0.24637040483946027</c:v>
                </c:pt>
                <c:pt idx="88">
                  <c:v>0.24323688543872013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54-4EC8-AE64-625D1ED2E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414848"/>
        <c:axId val="556417408"/>
      </c:scatterChart>
      <c:valAx>
        <c:axId val="55641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  <a:r>
                  <a:rPr lang="en-GB" baseline="0"/>
                  <a:t> (d)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8230025252525249"/>
              <c:y val="0.89672060185185198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417408"/>
        <c:crosses val="autoZero"/>
        <c:crossBetween val="midCat"/>
      </c:valAx>
      <c:valAx>
        <c:axId val="556417408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NRE (%)</a:t>
                </a:r>
              </a:p>
            </c:rich>
          </c:tx>
          <c:overlay val="0"/>
        </c:title>
        <c:numFmt formatCode="0%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414848"/>
        <c:crosses val="autoZero"/>
        <c:crossBetween val="midCat"/>
        <c:majorUnit val="0.25"/>
      </c:valAx>
    </c:plotArea>
    <c:legend>
      <c:legendPos val="b"/>
      <c:layout>
        <c:manualLayout>
          <c:xMode val="edge"/>
          <c:yMode val="edge"/>
          <c:x val="3.7197968438267741E-6"/>
          <c:y val="0.96257372962842258"/>
          <c:w val="0.25400631313131317"/>
          <c:h val="3.7426157407407408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Ammonia removal rates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779171765175255E-2"/>
          <c:y val="7.9719765264264122E-2"/>
          <c:w val="0.88589030531509683"/>
          <c:h val="0.71932476851851856"/>
        </c:manualLayout>
      </c:layout>
      <c:scatterChart>
        <c:scatterStyle val="lineMarker"/>
        <c:varyColors val="0"/>
        <c:ser>
          <c:idx val="1"/>
          <c:order val="0"/>
          <c:tx>
            <c:v>S-SBR</c:v>
          </c:tx>
          <c:spPr>
            <a:ln w="15875">
              <a:noFill/>
              <a:prstDash val="lgDash"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'S-SBR'!$AK$4:$AK$66</c:f>
              <c:numCache>
                <c:formatCode>0.00</c:formatCode>
                <c:ptCount val="63"/>
                <c:pt idx="0" formatCode="0.000">
                  <c:v>0.25505411399999989</c:v>
                </c:pt>
                <c:pt idx="6">
                  <c:v>0.79041365200000002</c:v>
                </c:pt>
                <c:pt idx="7">
                  <c:v>0.79251934000000002</c:v>
                </c:pt>
                <c:pt idx="8">
                  <c:v>0.93788273999999983</c:v>
                </c:pt>
                <c:pt idx="10">
                  <c:v>0.98027496000000003</c:v>
                </c:pt>
                <c:pt idx="11">
                  <c:v>1.871022E-2</c:v>
                </c:pt>
                <c:pt idx="14">
                  <c:v>0.71311361500000003</c:v>
                </c:pt>
                <c:pt idx="15">
                  <c:v>0.92780217999999992</c:v>
                </c:pt>
                <c:pt idx="27">
                  <c:v>0.76436330099999983</c:v>
                </c:pt>
                <c:pt idx="28">
                  <c:v>0.67287162300000003</c:v>
                </c:pt>
                <c:pt idx="29">
                  <c:v>0.79271072799999998</c:v>
                </c:pt>
                <c:pt idx="30">
                  <c:v>0.84013959999999988</c:v>
                </c:pt>
                <c:pt idx="31">
                  <c:v>0.87179973599999994</c:v>
                </c:pt>
                <c:pt idx="32">
                  <c:v>0.84279744000000001</c:v>
                </c:pt>
                <c:pt idx="33">
                  <c:v>0.89288029800000002</c:v>
                </c:pt>
                <c:pt idx="34">
                  <c:v>0.76631335499999975</c:v>
                </c:pt>
                <c:pt idx="35">
                  <c:v>0.72794577199999988</c:v>
                </c:pt>
                <c:pt idx="36">
                  <c:v>0.93088507200000004</c:v>
                </c:pt>
                <c:pt idx="37">
                  <c:v>0.74425675800000013</c:v>
                </c:pt>
                <c:pt idx="38">
                  <c:v>0.83702883199999989</c:v>
                </c:pt>
                <c:pt idx="39">
                  <c:v>0.82886490300000015</c:v>
                </c:pt>
                <c:pt idx="41">
                  <c:v>0.65707606799999985</c:v>
                </c:pt>
                <c:pt idx="42">
                  <c:v>0.77447869800000035</c:v>
                </c:pt>
                <c:pt idx="43">
                  <c:v>0.85015975599999982</c:v>
                </c:pt>
                <c:pt idx="44">
                  <c:v>0.35082812499999999</c:v>
                </c:pt>
                <c:pt idx="45">
                  <c:v>0.42944112200000001</c:v>
                </c:pt>
                <c:pt idx="46">
                  <c:v>0.44562668400000005</c:v>
                </c:pt>
                <c:pt idx="47">
                  <c:v>0.43146809899999999</c:v>
                </c:pt>
                <c:pt idx="48">
                  <c:v>0.41551130599999997</c:v>
                </c:pt>
                <c:pt idx="50">
                  <c:v>0.30752954999999998</c:v>
                </c:pt>
                <c:pt idx="51">
                  <c:v>0.30357297499999991</c:v>
                </c:pt>
                <c:pt idx="52">
                  <c:v>0.37562548900000003</c:v>
                </c:pt>
                <c:pt idx="53">
                  <c:v>0.42009150650000004</c:v>
                </c:pt>
                <c:pt idx="54">
                  <c:v>0.41791993500000002</c:v>
                </c:pt>
                <c:pt idx="55">
                  <c:v>0.41982865999999996</c:v>
                </c:pt>
                <c:pt idx="56">
                  <c:v>0.4257596025</c:v>
                </c:pt>
                <c:pt idx="57">
                  <c:v>0.424223028</c:v>
                </c:pt>
                <c:pt idx="58">
                  <c:v>0.46430306550000006</c:v>
                </c:pt>
                <c:pt idx="59">
                  <c:v>0.43950160050000003</c:v>
                </c:pt>
                <c:pt idx="60">
                  <c:v>0.40569667049999997</c:v>
                </c:pt>
                <c:pt idx="61">
                  <c:v>0.42287620199999998</c:v>
                </c:pt>
                <c:pt idx="62">
                  <c:v>0.34938224000000001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EC-4F9D-A9EB-7E10C4E5B8FF}"/>
            </c:ext>
          </c:extLst>
        </c:ser>
        <c:ser>
          <c:idx val="3"/>
          <c:order val="1"/>
          <c:tx>
            <c:v>Media</c:v>
          </c:tx>
          <c:spPr>
            <a:ln w="15875">
              <a:noFill/>
              <a:prstDash val="lgDash"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'1-Media'!$B$4:$B$91</c:f>
              <c:numCache>
                <c:formatCode>General</c:formatCode>
                <c:ptCount val="8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EC-4F9D-A9EB-7E10C4E5B8FF}"/>
            </c:ext>
          </c:extLst>
        </c:ser>
        <c:ser>
          <c:idx val="5"/>
          <c:order val="2"/>
          <c:tx>
            <c:v>G-SBR</c:v>
          </c:tx>
          <c:spPr>
            <a:ln w="22225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'G-SBR'!$B$4:$B$80</c:f>
              <c:numCache>
                <c:formatCode>General</c:formatCode>
                <c:ptCount val="7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</c:numCache>
            </c:numRef>
          </c:xVal>
          <c:yVal>
            <c:numRef>
              <c:f>'G-SBR'!$AK$4:$AK$80</c:f>
              <c:numCache>
                <c:formatCode>0.00</c:formatCode>
                <c:ptCount val="77"/>
                <c:pt idx="0">
                  <c:v>0.39289068194812055</c:v>
                </c:pt>
                <c:pt idx="14">
                  <c:v>0.54694024793750851</c:v>
                </c:pt>
                <c:pt idx="15">
                  <c:v>0.22815731092436975</c:v>
                </c:pt>
                <c:pt idx="27">
                  <c:v>0.25763610792007985</c:v>
                </c:pt>
                <c:pt idx="28">
                  <c:v>0.93729889575229519</c:v>
                </c:pt>
                <c:pt idx="29">
                  <c:v>1.5328044280642183</c:v>
                </c:pt>
                <c:pt idx="30">
                  <c:v>0.34695050677083428</c:v>
                </c:pt>
                <c:pt idx="31">
                  <c:v>0.36096425041653424</c:v>
                </c:pt>
                <c:pt idx="32">
                  <c:v>0.2601445926608017</c:v>
                </c:pt>
                <c:pt idx="33">
                  <c:v>0.29579646444572211</c:v>
                </c:pt>
                <c:pt idx="34">
                  <c:v>0.26327821312394167</c:v>
                </c:pt>
                <c:pt idx="35">
                  <c:v>0.10840685674808215</c:v>
                </c:pt>
                <c:pt idx="36">
                  <c:v>0.30606542984211049</c:v>
                </c:pt>
                <c:pt idx="37">
                  <c:v>0.19954529804005053</c:v>
                </c:pt>
                <c:pt idx="38">
                  <c:v>0.18815388903767427</c:v>
                </c:pt>
                <c:pt idx="39">
                  <c:v>0.19680958224208348</c:v>
                </c:pt>
                <c:pt idx="40">
                  <c:v>0.23558731194194155</c:v>
                </c:pt>
                <c:pt idx="56">
                  <c:v>9.3900000000000011E-2</c:v>
                </c:pt>
                <c:pt idx="57">
                  <c:v>8.4479999999999958E-2</c:v>
                </c:pt>
                <c:pt idx="72">
                  <c:v>1.4996676923076924</c:v>
                </c:pt>
                <c:pt idx="73">
                  <c:v>1.3148637681159423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EC-4F9D-A9EB-7E10C4E5B8FF}"/>
            </c:ext>
          </c:extLst>
        </c:ser>
        <c:ser>
          <c:idx val="0"/>
          <c:order val="4"/>
          <c:tx>
            <c:v>LTP</c:v>
          </c:tx>
          <c:spPr>
            <a:ln w="25400">
              <a:noFill/>
              <a:prstDash val="dash"/>
            </a:ln>
          </c:spPr>
          <c:marker>
            <c:symbol val="star"/>
            <c:size val="5"/>
            <c:spPr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'1-LTP'!$B$4:$B$94</c:f>
              <c:numCache>
                <c:formatCode>General</c:formatCode>
                <c:ptCount val="9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'1-LTP'!$AH$4:$AH$94</c:f>
              <c:numCache>
                <c:formatCode>0.00</c:formatCode>
                <c:ptCount val="91"/>
                <c:pt idx="0">
                  <c:v>0.25495203401599797</c:v>
                </c:pt>
                <c:pt idx="1">
                  <c:v>0.27298698698698692</c:v>
                </c:pt>
                <c:pt idx="12">
                  <c:v>0.4059438447456466</c:v>
                </c:pt>
                <c:pt idx="13">
                  <c:v>0.14587149311473635</c:v>
                </c:pt>
                <c:pt idx="14">
                  <c:v>0.22668251314377438</c:v>
                </c:pt>
                <c:pt idx="15">
                  <c:v>0.23661723705687671</c:v>
                </c:pt>
                <c:pt idx="27">
                  <c:v>7.2903255056858671E-2</c:v>
                </c:pt>
                <c:pt idx="28">
                  <c:v>0.16245891522152783</c:v>
                </c:pt>
                <c:pt idx="29">
                  <c:v>0.23727190253316377</c:v>
                </c:pt>
                <c:pt idx="33">
                  <c:v>0.20341091992893798</c:v>
                </c:pt>
                <c:pt idx="34">
                  <c:v>6.0993481319156988E-2</c:v>
                </c:pt>
                <c:pt idx="35">
                  <c:v>0.2382614037460884</c:v>
                </c:pt>
                <c:pt idx="36">
                  <c:v>0.43592772772772775</c:v>
                </c:pt>
                <c:pt idx="37">
                  <c:v>0.40463938803668531</c:v>
                </c:pt>
                <c:pt idx="38">
                  <c:v>0.34452683043403759</c:v>
                </c:pt>
                <c:pt idx="39">
                  <c:v>0.47014532505478462</c:v>
                </c:pt>
                <c:pt idx="40">
                  <c:v>0.11511654357059763</c:v>
                </c:pt>
                <c:pt idx="41">
                  <c:v>0.18450300300300299</c:v>
                </c:pt>
                <c:pt idx="42">
                  <c:v>0.38973020948876813</c:v>
                </c:pt>
                <c:pt idx="43">
                  <c:v>0.33806103806509208</c:v>
                </c:pt>
                <c:pt idx="44">
                  <c:v>0.26735587479371264</c:v>
                </c:pt>
                <c:pt idx="45">
                  <c:v>0.38139019019019016</c:v>
                </c:pt>
                <c:pt idx="46">
                  <c:v>0.19150039228417609</c:v>
                </c:pt>
                <c:pt idx="47">
                  <c:v>0.33795699483267055</c:v>
                </c:pt>
                <c:pt idx="48">
                  <c:v>0.33585567459351245</c:v>
                </c:pt>
                <c:pt idx="49">
                  <c:v>1.8140140140140138E-2</c:v>
                </c:pt>
                <c:pt idx="50">
                  <c:v>4.7867444020597179E-2</c:v>
                </c:pt>
                <c:pt idx="51">
                  <c:v>0.18649826493159824</c:v>
                </c:pt>
                <c:pt idx="52">
                  <c:v>0.32784418472526583</c:v>
                </c:pt>
                <c:pt idx="54">
                  <c:v>0.21557869626383142</c:v>
                </c:pt>
                <c:pt idx="55">
                  <c:v>0.21417616264913564</c:v>
                </c:pt>
                <c:pt idx="56">
                  <c:v>0.2977403935466999</c:v>
                </c:pt>
                <c:pt idx="57">
                  <c:v>0.28891686641596542</c:v>
                </c:pt>
                <c:pt idx="58">
                  <c:v>0.35384214620025428</c:v>
                </c:pt>
                <c:pt idx="59">
                  <c:v>0.38107533479425382</c:v>
                </c:pt>
                <c:pt idx="60">
                  <c:v>0.41280051492934372</c:v>
                </c:pt>
                <c:pt idx="61">
                  <c:v>0.29070418616815008</c:v>
                </c:pt>
                <c:pt idx="62">
                  <c:v>0.25053310202093987</c:v>
                </c:pt>
                <c:pt idx="65">
                  <c:v>0.34223300101903698</c:v>
                </c:pt>
                <c:pt idx="66">
                  <c:v>0.29949955360766173</c:v>
                </c:pt>
                <c:pt idx="67">
                  <c:v>0.25918683954224497</c:v>
                </c:pt>
                <c:pt idx="68">
                  <c:v>0.26396907087267441</c:v>
                </c:pt>
                <c:pt idx="69">
                  <c:v>0.34147771194618043</c:v>
                </c:pt>
                <c:pt idx="70">
                  <c:v>0.7275478938397858</c:v>
                </c:pt>
                <c:pt idx="71">
                  <c:v>0.24024961853745644</c:v>
                </c:pt>
                <c:pt idx="72">
                  <c:v>0.33599326759191611</c:v>
                </c:pt>
                <c:pt idx="73">
                  <c:v>0.23414245687128576</c:v>
                </c:pt>
                <c:pt idx="74">
                  <c:v>0.28537506425344261</c:v>
                </c:pt>
                <c:pt idx="75">
                  <c:v>0.27769628006384761</c:v>
                </c:pt>
                <c:pt idx="76">
                  <c:v>0.20269164434704973</c:v>
                </c:pt>
                <c:pt idx="77">
                  <c:v>0.2152812154496839</c:v>
                </c:pt>
                <c:pt idx="81">
                  <c:v>0.20923371569767968</c:v>
                </c:pt>
                <c:pt idx="82">
                  <c:v>0.16429784739694653</c:v>
                </c:pt>
                <c:pt idx="83">
                  <c:v>0.13464610556502446</c:v>
                </c:pt>
                <c:pt idx="84">
                  <c:v>0.14273851464076689</c:v>
                </c:pt>
                <c:pt idx="85">
                  <c:v>0.1339326880934989</c:v>
                </c:pt>
                <c:pt idx="86">
                  <c:v>0.24752471390309225</c:v>
                </c:pt>
                <c:pt idx="87">
                  <c:v>0.24122931940949957</c:v>
                </c:pt>
                <c:pt idx="88">
                  <c:v>0.26932797662527391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9C-42A3-8D5E-DBD9F4871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037056"/>
        <c:axId val="557038976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3"/>
                <c:spPr>
                  <a:ln w="19050">
                    <a:solidFill>
                      <a:schemeClr val="tx1"/>
                    </a:solidFill>
                    <a:prstDash val="lgDashDotDot"/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DataPlots!$R$286:$R$287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DataPlots!$T$286:$T$287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7FBC-49CC-9EBA-25C7C9C49F30}"/>
                  </c:ext>
                </c:extLst>
              </c15:ser>
            </c15:filteredScatterSeries>
          </c:ext>
        </c:extLst>
      </c:scatterChart>
      <c:valAx>
        <c:axId val="55703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7156957070707073"/>
              <c:y val="0.86927175925925926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7038976"/>
        <c:crosses val="autoZero"/>
        <c:crossBetween val="midCat"/>
      </c:valAx>
      <c:valAx>
        <c:axId val="557038976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aseline="0"/>
                  <a:t>ARR (kg NH</a:t>
                </a:r>
                <a:r>
                  <a:rPr lang="en-GB" baseline="-25000"/>
                  <a:t>4</a:t>
                </a:r>
                <a:r>
                  <a:rPr lang="en-GB" baseline="0"/>
                  <a:t>-N m</a:t>
                </a:r>
                <a:r>
                  <a:rPr lang="en-GB" baseline="30000"/>
                  <a:t>-3</a:t>
                </a:r>
                <a:r>
                  <a:rPr lang="en-GB" baseline="0"/>
                  <a:t> d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70370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5588887706032721"/>
          <c:w val="0.98493055555555553"/>
          <c:h val="4.2656452779189939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'S-SBR'!$AM$4:$AM$66</c:f>
              <c:numCache>
                <c:formatCode>0.000</c:formatCode>
                <c:ptCount val="63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  <c:pt idx="57">
                  <c:v>0.40233430800000008</c:v>
                </c:pt>
                <c:pt idx="58">
                  <c:v>0.45023746739999998</c:v>
                </c:pt>
                <c:pt idx="59">
                  <c:v>0.42267935550000019</c:v>
                </c:pt>
                <c:pt idx="60">
                  <c:v>0.38924275059999996</c:v>
                </c:pt>
                <c:pt idx="61">
                  <c:v>0.40514864699999997</c:v>
                </c:pt>
                <c:pt idx="62">
                  <c:v>0.33996319999999997</c:v>
                </c:pt>
              </c:numCache>
            </c:numRef>
          </c:xVal>
          <c:yVal>
            <c:numRef>
              <c:f>'S-SBR'!$AJ$4:$AJ$66</c:f>
              <c:numCache>
                <c:formatCode>0.000</c:formatCode>
                <c:ptCount val="63"/>
                <c:pt idx="0">
                  <c:v>0</c:v>
                </c:pt>
                <c:pt idx="6">
                  <c:v>1.7290875000000001</c:v>
                </c:pt>
                <c:pt idx="7">
                  <c:v>1.7044109999999999</c:v>
                </c:pt>
                <c:pt idx="8">
                  <c:v>1.9571299999999996</c:v>
                </c:pt>
                <c:pt idx="10">
                  <c:v>2.0502720000000001</c:v>
                </c:pt>
                <c:pt idx="11">
                  <c:v>3.1972500000000001E-2</c:v>
                </c:pt>
                <c:pt idx="14">
                  <c:v>0</c:v>
                </c:pt>
                <c:pt idx="15">
                  <c:v>0</c:v>
                </c:pt>
                <c:pt idx="27">
                  <c:v>1.0655432999999999</c:v>
                </c:pt>
                <c:pt idx="28">
                  <c:v>0.80509649999999999</c:v>
                </c:pt>
                <c:pt idx="29">
                  <c:v>0.98908399999999996</c:v>
                </c:pt>
                <c:pt idx="30">
                  <c:v>0.9609859999999999</c:v>
                </c:pt>
                <c:pt idx="31">
                  <c:v>0.97584199999999988</c:v>
                </c:pt>
                <c:pt idx="32">
                  <c:v>0.96254000000000006</c:v>
                </c:pt>
                <c:pt idx="33">
                  <c:v>1.0346970000000002</c:v>
                </c:pt>
                <c:pt idx="34">
                  <c:v>0.91490909999999981</c:v>
                </c:pt>
                <c:pt idx="35">
                  <c:v>0.96807319999999997</c:v>
                </c:pt>
                <c:pt idx="36">
                  <c:v>1.1170116000000001</c:v>
                </c:pt>
                <c:pt idx="37">
                  <c:v>0.9755410000000001</c:v>
                </c:pt>
                <c:pt idx="38">
                  <c:v>0.97335199999999988</c:v>
                </c:pt>
                <c:pt idx="39">
                  <c:v>0.89525399999999999</c:v>
                </c:pt>
                <c:pt idx="41">
                  <c:v>0.4956029999999999</c:v>
                </c:pt>
                <c:pt idx="42">
                  <c:v>0.72298800000000019</c:v>
                </c:pt>
                <c:pt idx="43">
                  <c:v>0.84640999999999988</c:v>
                </c:pt>
                <c:pt idx="44">
                  <c:v>0.30624999999999997</c:v>
                </c:pt>
                <c:pt idx="45">
                  <c:v>0.29655999999999993</c:v>
                </c:pt>
                <c:pt idx="46">
                  <c:v>0.52257600000000004</c:v>
                </c:pt>
                <c:pt idx="47">
                  <c:v>0.50834000000000001</c:v>
                </c:pt>
                <c:pt idx="48">
                  <c:v>0.41096650000000012</c:v>
                </c:pt>
                <c:pt idx="50">
                  <c:v>0.19027500000000003</c:v>
                </c:pt>
                <c:pt idx="51">
                  <c:v>6.2918499999999988E-2</c:v>
                </c:pt>
                <c:pt idx="52">
                  <c:v>0.23247249999999997</c:v>
                </c:pt>
                <c:pt idx="53">
                  <c:v>0.25608725000000004</c:v>
                </c:pt>
                <c:pt idx="54">
                  <c:v>0.30031125000000003</c:v>
                </c:pt>
                <c:pt idx="55">
                  <c:v>0.33104899999999998</c:v>
                </c:pt>
                <c:pt idx="56">
                  <c:v>0.26698125000000006</c:v>
                </c:pt>
                <c:pt idx="57">
                  <c:v>0.31996800000000003</c:v>
                </c:pt>
                <c:pt idx="58">
                  <c:v>0.34396125</c:v>
                </c:pt>
                <c:pt idx="59">
                  <c:v>0.29163299999999998</c:v>
                </c:pt>
                <c:pt idx="60">
                  <c:v>0.33419924999999995</c:v>
                </c:pt>
                <c:pt idx="61">
                  <c:v>0.41881799999999997</c:v>
                </c:pt>
                <c:pt idx="62">
                  <c:v>0.41018400000000005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5E-44BB-B23E-0739F43FC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2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removal rate,</a:t>
                </a:r>
                <a:r>
                  <a:rPr lang="en-GB" baseline="0"/>
                  <a:t>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Organic</a:t>
                </a:r>
                <a:r>
                  <a:rPr lang="en-GB" baseline="0"/>
                  <a:t> removal rate, kg COD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Media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04692856282875"/>
          <c:y val="0.13601919327169501"/>
          <c:w val="0.82575915644427844"/>
          <c:h val="0.71348978546626274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triang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'1-Media'!$AP$4:$AP$66</c:f>
              <c:numCache>
                <c:formatCode>0.00</c:formatCode>
                <c:ptCount val="63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28">
                  <c:v>8.7728429474033712E-2</c:v>
                </c:pt>
                <c:pt idx="29">
                  <c:v>0.24318898785013118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36">
                  <c:v>0.15107948972187452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4">
                  <c:v>4.8370031847860824E-2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0">
                  <c:v>0.17960219000307931</c:v>
                </c:pt>
                <c:pt idx="61">
                  <c:v>0.12819424836279361</c:v>
                </c:pt>
                <c:pt idx="62">
                  <c:v>0.22189351829957502</c:v>
                </c:pt>
              </c:numCache>
            </c:numRef>
          </c:xVal>
          <c:yVal>
            <c:numRef>
              <c:f>'1-Media'!$AM$4:$AM$66</c:f>
              <c:numCache>
                <c:formatCode>0.00</c:formatCode>
                <c:ptCount val="63"/>
                <c:pt idx="0">
                  <c:v>0</c:v>
                </c:pt>
                <c:pt idx="8">
                  <c:v>3.2650870990720074E-2</c:v>
                </c:pt>
                <c:pt idx="14">
                  <c:v>0</c:v>
                </c:pt>
                <c:pt idx="15">
                  <c:v>0.16918356820548422</c:v>
                </c:pt>
                <c:pt idx="28">
                  <c:v>6.9077136838953349E-2</c:v>
                </c:pt>
                <c:pt idx="34">
                  <c:v>0.38528964008800026</c:v>
                </c:pt>
                <c:pt idx="35">
                  <c:v>7.8070337539932366E-2</c:v>
                </c:pt>
                <c:pt idx="36">
                  <c:v>0.2120731603433092</c:v>
                </c:pt>
                <c:pt idx="37">
                  <c:v>1.046327558859286</c:v>
                </c:pt>
                <c:pt idx="40">
                  <c:v>0.10646010499363016</c:v>
                </c:pt>
                <c:pt idx="41">
                  <c:v>0.19591082842072774</c:v>
                </c:pt>
                <c:pt idx="43">
                  <c:v>9.805948023877184E-2</c:v>
                </c:pt>
                <c:pt idx="44">
                  <c:v>8.2575169214263888E-2</c:v>
                </c:pt>
                <c:pt idx="45">
                  <c:v>0.77544673292874378</c:v>
                </c:pt>
                <c:pt idx="47">
                  <c:v>0.19095483343198211</c:v>
                </c:pt>
                <c:pt idx="48">
                  <c:v>9.732374176123372E-2</c:v>
                </c:pt>
                <c:pt idx="51">
                  <c:v>0.21787901119238301</c:v>
                </c:pt>
                <c:pt idx="52">
                  <c:v>0.33687843306591764</c:v>
                </c:pt>
                <c:pt idx="53">
                  <c:v>0.34571636323516219</c:v>
                </c:pt>
                <c:pt idx="54">
                  <c:v>0.46888226306409481</c:v>
                </c:pt>
                <c:pt idx="55">
                  <c:v>0.40411228744539274</c:v>
                </c:pt>
                <c:pt idx="56">
                  <c:v>0.55288333373131815</c:v>
                </c:pt>
                <c:pt idx="57">
                  <c:v>0.57524683810664079</c:v>
                </c:pt>
                <c:pt idx="58">
                  <c:v>0.37657006022411266</c:v>
                </c:pt>
                <c:pt idx="59">
                  <c:v>0.21200997921494472</c:v>
                </c:pt>
                <c:pt idx="60">
                  <c:v>0.23213733947168655</c:v>
                </c:pt>
                <c:pt idx="61">
                  <c:v>0.38909927543384759</c:v>
                </c:pt>
                <c:pt idx="62">
                  <c:v>0.6665030480218157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5E-44BB-B23E-0739F43FC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587840"/>
        <c:axId val="557598208"/>
      </c:scatterChart>
      <c:valAx>
        <c:axId val="55758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removal rate,</a:t>
                </a:r>
                <a:r>
                  <a:rPr lang="en-GB" baseline="0"/>
                  <a:t>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7598208"/>
        <c:crosses val="autoZero"/>
        <c:crossBetween val="midCat"/>
      </c:valAx>
      <c:valAx>
        <c:axId val="557598208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Organic removal rate,</a:t>
                </a:r>
                <a:r>
                  <a:rPr lang="en-GB" baseline="0"/>
                  <a:t> kg COD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7587840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G-SBR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40693512733446"/>
          <c:y val="8.5862062804212158E-2"/>
          <c:w val="0.80762200949079743"/>
          <c:h val="0.7193733800745401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'G-SBR'!$AM$4:$AM$80</c:f>
              <c:numCache>
                <c:formatCode>0.00</c:formatCode>
                <c:ptCount val="77"/>
                <c:pt idx="0">
                  <c:v>0.38379048345580186</c:v>
                </c:pt>
                <c:pt idx="14">
                  <c:v>0.46041116620649664</c:v>
                </c:pt>
                <c:pt idx="15">
                  <c:v>0.19675159663865543</c:v>
                </c:pt>
                <c:pt idx="27">
                  <c:v>6.7290796588757737E-2</c:v>
                </c:pt>
                <c:pt idx="28">
                  <c:v>0.39093819889541415</c:v>
                </c:pt>
                <c:pt idx="29">
                  <c:v>1.3137553012550109</c:v>
                </c:pt>
                <c:pt idx="30">
                  <c:v>0.28438145750839267</c:v>
                </c:pt>
                <c:pt idx="31">
                  <c:v>0.34759442836810933</c:v>
                </c:pt>
                <c:pt idx="32">
                  <c:v>0.2475404751097855</c:v>
                </c:pt>
                <c:pt idx="33">
                  <c:v>0.27192510583123342</c:v>
                </c:pt>
                <c:pt idx="34">
                  <c:v>0.16751879279361928</c:v>
                </c:pt>
                <c:pt idx="35">
                  <c:v>9.0617308827127922E-3</c:v>
                </c:pt>
                <c:pt idx="36">
                  <c:v>0.21261330761812922</c:v>
                </c:pt>
                <c:pt idx="37">
                  <c:v>0.10608086335549018</c:v>
                </c:pt>
                <c:pt idx="38">
                  <c:v>6.8543913250220009E-2</c:v>
                </c:pt>
                <c:pt idx="39">
                  <c:v>7.6292308998669706E-2</c:v>
                </c:pt>
                <c:pt idx="40">
                  <c:v>0.12026807192074039</c:v>
                </c:pt>
                <c:pt idx="56">
                  <c:v>9.2579999999999982E-2</c:v>
                </c:pt>
                <c:pt idx="57">
                  <c:v>8.8860000000000106E-2</c:v>
                </c:pt>
                <c:pt idx="72">
                  <c:v>1.4832898461538457</c:v>
                </c:pt>
                <c:pt idx="73">
                  <c:v>1.2829797101449278</c:v>
                </c:pt>
              </c:numCache>
            </c:numRef>
          </c:xVal>
          <c:yVal>
            <c:numRef>
              <c:f>'G-SBR'!$AJ$4:$AJ$80</c:f>
              <c:numCache>
                <c:formatCode>0.00</c:formatCode>
                <c:ptCount val="77"/>
                <c:pt idx="0">
                  <c:v>0</c:v>
                </c:pt>
                <c:pt idx="14">
                  <c:v>0</c:v>
                </c:pt>
                <c:pt idx="15">
                  <c:v>0.501781512605042</c:v>
                </c:pt>
                <c:pt idx="27">
                  <c:v>1.0109902694423269</c:v>
                </c:pt>
                <c:pt idx="28">
                  <c:v>1.2045108253718704</c:v>
                </c:pt>
                <c:pt idx="32">
                  <c:v>0.7688786305630857</c:v>
                </c:pt>
                <c:pt idx="34">
                  <c:v>0.19745147978914573</c:v>
                </c:pt>
                <c:pt idx="35">
                  <c:v>0.28647505001511248</c:v>
                </c:pt>
                <c:pt idx="36">
                  <c:v>0.20495401488219464</c:v>
                </c:pt>
                <c:pt idx="37">
                  <c:v>0.12510874736180871</c:v>
                </c:pt>
                <c:pt idx="38">
                  <c:v>0.62744926569852921</c:v>
                </c:pt>
                <c:pt idx="39">
                  <c:v>0.56442522697719477</c:v>
                </c:pt>
                <c:pt idx="40">
                  <c:v>0.14269988176295509</c:v>
                </c:pt>
                <c:pt idx="56">
                  <c:v>0.48899999999999999</c:v>
                </c:pt>
                <c:pt idx="57">
                  <c:v>0.41699999999999998</c:v>
                </c:pt>
                <c:pt idx="72">
                  <c:v>1.3907692307692308</c:v>
                </c:pt>
                <c:pt idx="73">
                  <c:v>1.1246376811594203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5E-44BB-B23E-0739F43FC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611648"/>
        <c:axId val="557634304"/>
      </c:scatterChart>
      <c:valAx>
        <c:axId val="557611648"/>
        <c:scaling>
          <c:orientation val="minMax"/>
          <c:max val="2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removal rate,</a:t>
                </a:r>
                <a:r>
                  <a:rPr lang="en-GB" baseline="0"/>
                  <a:t>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7634304"/>
        <c:crosses val="autoZero"/>
        <c:crossBetween val="midCat"/>
      </c:valAx>
      <c:valAx>
        <c:axId val="557634304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Organic removal rate,</a:t>
                </a:r>
                <a:r>
                  <a:rPr lang="en-GB" baseline="0"/>
                  <a:t> kg COD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7611648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'S-SBR'!$AL$4:$AL$66</c:f>
              <c:numCache>
                <c:formatCode>0.000</c:formatCode>
                <c:ptCount val="63"/>
                <c:pt idx="0">
                  <c:v>0.53282175659999997</c:v>
                </c:pt>
                <c:pt idx="6">
                  <c:v>0.93127006000000001</c:v>
                </c:pt>
                <c:pt idx="7">
                  <c:v>0.94206520000000016</c:v>
                </c:pt>
                <c:pt idx="8">
                  <c:v>1.1074062</c:v>
                </c:pt>
                <c:pt idx="10">
                  <c:v>1.0751075999999999</c:v>
                </c:pt>
                <c:pt idx="11">
                  <c:v>2.0565350000000003E-2</c:v>
                </c:pt>
                <c:pt idx="14">
                  <c:v>0.78604995000000011</c:v>
                </c:pt>
                <c:pt idx="15">
                  <c:v>1.0216907999999998</c:v>
                </c:pt>
                <c:pt idx="27">
                  <c:v>0.89369899199999991</c:v>
                </c:pt>
                <c:pt idx="28">
                  <c:v>0.76767744000000016</c:v>
                </c:pt>
                <c:pt idx="29">
                  <c:v>0.90225980060000011</c:v>
                </c:pt>
                <c:pt idx="30">
                  <c:v>0.93707383999999994</c:v>
                </c:pt>
                <c:pt idx="31">
                  <c:v>0.97123835999999986</c:v>
                </c:pt>
                <c:pt idx="32">
                  <c:v>0.94787580000000016</c:v>
                </c:pt>
                <c:pt idx="33">
                  <c:v>0.99916464000000005</c:v>
                </c:pt>
                <c:pt idx="34">
                  <c:v>0.87439443419999974</c:v>
                </c:pt>
                <c:pt idx="35">
                  <c:v>0.83071866000000005</c:v>
                </c:pt>
                <c:pt idx="36">
                  <c:v>1.0634329079999998</c:v>
                </c:pt>
                <c:pt idx="37">
                  <c:v>0.90222698720000005</c:v>
                </c:pt>
                <c:pt idx="38">
                  <c:v>0.95590239199999993</c:v>
                </c:pt>
                <c:pt idx="39">
                  <c:v>0.94729899000000006</c:v>
                </c:pt>
                <c:pt idx="41">
                  <c:v>0.75150869999999981</c:v>
                </c:pt>
                <c:pt idx="42">
                  <c:v>0.87280887120000028</c:v>
                </c:pt>
                <c:pt idx="43">
                  <c:v>0.93699183999999969</c:v>
                </c:pt>
                <c:pt idx="44">
                  <c:v>0.39668750000000003</c:v>
                </c:pt>
                <c:pt idx="45">
                  <c:v>0.48498680999999993</c:v>
                </c:pt>
                <c:pt idx="46">
                  <c:v>0.50101974000000016</c:v>
                </c:pt>
                <c:pt idx="47">
                  <c:v>0.49291805369999997</c:v>
                </c:pt>
                <c:pt idx="48">
                  <c:v>0.46863995000000008</c:v>
                </c:pt>
                <c:pt idx="50">
                  <c:v>0.33614175000000002</c:v>
                </c:pt>
                <c:pt idx="51">
                  <c:v>0.36114867500000003</c:v>
                </c:pt>
                <c:pt idx="52">
                  <c:v>0.42978800499999997</c:v>
                </c:pt>
                <c:pt idx="53">
                  <c:v>0.47804199500000005</c:v>
                </c:pt>
                <c:pt idx="54">
                  <c:v>0.48642678624999997</c:v>
                </c:pt>
                <c:pt idx="55">
                  <c:v>0.48142938000000002</c:v>
                </c:pt>
                <c:pt idx="56">
                  <c:v>0.48351224999999998</c:v>
                </c:pt>
                <c:pt idx="57">
                  <c:v>0.48555144000000006</c:v>
                </c:pt>
                <c:pt idx="58">
                  <c:v>0.52403853690000002</c:v>
                </c:pt>
                <c:pt idx="59">
                  <c:v>0.49332211500000012</c:v>
                </c:pt>
                <c:pt idx="60">
                  <c:v>0.45881631509999998</c:v>
                </c:pt>
                <c:pt idx="61">
                  <c:v>0.47640547500000002</c:v>
                </c:pt>
                <c:pt idx="62">
                  <c:v>0.40822592000000002</c:v>
                </c:pt>
              </c:numCache>
            </c:numRef>
          </c:xVal>
          <c:yVal>
            <c:numRef>
              <c:f>'S-SBR'!$AM$4:$AM$66</c:f>
              <c:numCache>
                <c:formatCode>0.000</c:formatCode>
                <c:ptCount val="63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  <c:pt idx="57">
                  <c:v>0.40233430800000008</c:v>
                </c:pt>
                <c:pt idx="58">
                  <c:v>0.45023746739999998</c:v>
                </c:pt>
                <c:pt idx="59">
                  <c:v>0.42267935550000019</c:v>
                </c:pt>
                <c:pt idx="60">
                  <c:v>0.38924275059999996</c:v>
                </c:pt>
                <c:pt idx="61">
                  <c:v>0.40514864699999997</c:v>
                </c:pt>
                <c:pt idx="62">
                  <c:v>0.33996319999999997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4-4A8C-86A9-5416318180AB}"/>
            </c:ext>
          </c:extLst>
        </c:ser>
        <c:ser>
          <c:idx val="0"/>
          <c:order val="1"/>
          <c:tx>
            <c:v>Ideal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5875">
                <a:solidFill>
                  <a:schemeClr val="tx1"/>
                </a:solidFill>
              </a:ln>
            </c:spPr>
            <c:trendlineType val="linear"/>
            <c:dispRSqr val="0"/>
            <c:dispEq val="0"/>
          </c:trendline>
          <c:xVal>
            <c:numRef>
              <c:f>DataPlots!$B$250:$B$251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xVal>
          <c:yVal>
            <c:numRef>
              <c:f>DataPlots!$C$250:$C$251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BA-49A9-9AC4-00F3F852E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178880"/>
        <c:axId val="499185152"/>
      </c:scatterChart>
      <c:valAx>
        <c:axId val="499178880"/>
        <c:scaling>
          <c:orientation val="minMax"/>
          <c:max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loading</a:t>
                </a:r>
                <a:r>
                  <a:rPr lang="en-GB" baseline="0"/>
                  <a:t> rate, kg N/(m</a:t>
                </a:r>
                <a:r>
                  <a:rPr lang="en-GB" baseline="30000"/>
                  <a:t>3</a:t>
                </a:r>
                <a:r>
                  <a:rPr lang="en-GB" baseline="0"/>
                  <a:t>d)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9185152"/>
        <c:crosses val="autoZero"/>
        <c:crossBetween val="midCat"/>
        <c:majorUnit val="1"/>
      </c:valAx>
      <c:valAx>
        <c:axId val="499185152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Nitrogen removal</a:t>
                </a:r>
                <a:r>
                  <a:rPr lang="en-GB" baseline="0"/>
                  <a:t> rate,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9178880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COD concentration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707894378604727E-2"/>
          <c:y val="6.2678999416905079E-2"/>
          <c:w val="0.90429124861565269"/>
          <c:h val="0.78262291666666661"/>
        </c:manualLayout>
      </c:layout>
      <c:scatterChart>
        <c:scatterStyle val="lineMarker"/>
        <c:varyColors val="0"/>
        <c:ser>
          <c:idx val="0"/>
          <c:order val="0"/>
          <c:tx>
            <c:v>COD in</c:v>
          </c:tx>
          <c:spPr>
            <a:ln w="22225">
              <a:noFill/>
            </a:ln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'1-Influent'!$B$4:$B$2657</c:f>
              <c:numCache>
                <c:formatCode>General</c:formatCode>
                <c:ptCount val="26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'1-Influent'!$E$4:$E$2657</c:f>
              <c:numCache>
                <c:formatCode>General</c:formatCode>
                <c:ptCount val="2654"/>
                <c:pt idx="6">
                  <c:v>3970</c:v>
                </c:pt>
                <c:pt idx="7">
                  <c:v>3940</c:v>
                </c:pt>
                <c:pt idx="8">
                  <c:v>3845</c:v>
                </c:pt>
                <c:pt idx="9">
                  <c:v>4840</c:v>
                </c:pt>
                <c:pt idx="10">
                  <c:v>3850</c:v>
                </c:pt>
                <c:pt idx="11">
                  <c:v>3330</c:v>
                </c:pt>
                <c:pt idx="12">
                  <c:v>3300</c:v>
                </c:pt>
                <c:pt idx="13">
                  <c:v>3835</c:v>
                </c:pt>
                <c:pt idx="15">
                  <c:v>3350</c:v>
                </c:pt>
                <c:pt idx="27">
                  <c:v>2825</c:v>
                </c:pt>
                <c:pt idx="28">
                  <c:v>2630</c:v>
                </c:pt>
                <c:pt idx="29">
                  <c:v>2810</c:v>
                </c:pt>
                <c:pt idx="30">
                  <c:v>2755</c:v>
                </c:pt>
                <c:pt idx="31">
                  <c:v>2820</c:v>
                </c:pt>
                <c:pt idx="32">
                  <c:v>2800</c:v>
                </c:pt>
                <c:pt idx="33">
                  <c:v>2855</c:v>
                </c:pt>
                <c:pt idx="34">
                  <c:v>2795</c:v>
                </c:pt>
                <c:pt idx="35">
                  <c:v>2800</c:v>
                </c:pt>
                <c:pt idx="36">
                  <c:v>2925</c:v>
                </c:pt>
                <c:pt idx="37">
                  <c:v>2880</c:v>
                </c:pt>
                <c:pt idx="38">
                  <c:v>2870</c:v>
                </c:pt>
                <c:pt idx="39">
                  <c:v>2825</c:v>
                </c:pt>
                <c:pt idx="40">
                  <c:v>2800</c:v>
                </c:pt>
                <c:pt idx="41">
                  <c:v>2295</c:v>
                </c:pt>
                <c:pt idx="42">
                  <c:v>2630</c:v>
                </c:pt>
                <c:pt idx="43">
                  <c:v>2810</c:v>
                </c:pt>
                <c:pt idx="44">
                  <c:v>2610</c:v>
                </c:pt>
                <c:pt idx="45">
                  <c:v>2910</c:v>
                </c:pt>
                <c:pt idx="46">
                  <c:v>2970</c:v>
                </c:pt>
                <c:pt idx="47">
                  <c:v>2960</c:v>
                </c:pt>
                <c:pt idx="48">
                  <c:v>2930</c:v>
                </c:pt>
                <c:pt idx="49">
                  <c:v>2670</c:v>
                </c:pt>
                <c:pt idx="50">
                  <c:v>2250</c:v>
                </c:pt>
                <c:pt idx="51">
                  <c:v>1815</c:v>
                </c:pt>
                <c:pt idx="52">
                  <c:v>2225</c:v>
                </c:pt>
                <c:pt idx="53">
                  <c:v>2235</c:v>
                </c:pt>
                <c:pt idx="54">
                  <c:v>2415</c:v>
                </c:pt>
                <c:pt idx="55">
                  <c:v>2425</c:v>
                </c:pt>
                <c:pt idx="56">
                  <c:v>2445</c:v>
                </c:pt>
                <c:pt idx="57">
                  <c:v>2440</c:v>
                </c:pt>
                <c:pt idx="58">
                  <c:v>2495</c:v>
                </c:pt>
                <c:pt idx="59">
                  <c:v>2445</c:v>
                </c:pt>
                <c:pt idx="60">
                  <c:v>2550</c:v>
                </c:pt>
                <c:pt idx="61">
                  <c:v>2820</c:v>
                </c:pt>
                <c:pt idx="62">
                  <c:v>2725</c:v>
                </c:pt>
                <c:pt idx="63">
                  <c:v>2820</c:v>
                </c:pt>
                <c:pt idx="64">
                  <c:v>2895</c:v>
                </c:pt>
                <c:pt idx="65">
                  <c:v>2760</c:v>
                </c:pt>
                <c:pt idx="66">
                  <c:v>2860</c:v>
                </c:pt>
                <c:pt idx="67">
                  <c:v>2705</c:v>
                </c:pt>
                <c:pt idx="68">
                  <c:v>2270</c:v>
                </c:pt>
                <c:pt idx="69">
                  <c:v>2195</c:v>
                </c:pt>
                <c:pt idx="70">
                  <c:v>2040</c:v>
                </c:pt>
                <c:pt idx="71">
                  <c:v>1060</c:v>
                </c:pt>
                <c:pt idx="72">
                  <c:v>1130</c:v>
                </c:pt>
                <c:pt idx="73">
                  <c:v>2230</c:v>
                </c:pt>
                <c:pt idx="74">
                  <c:v>2320</c:v>
                </c:pt>
                <c:pt idx="75">
                  <c:v>2240</c:v>
                </c:pt>
                <c:pt idx="76">
                  <c:v>2575</c:v>
                </c:pt>
                <c:pt idx="77">
                  <c:v>2440</c:v>
                </c:pt>
                <c:pt idx="78">
                  <c:v>2950</c:v>
                </c:pt>
                <c:pt idx="79">
                  <c:v>2955</c:v>
                </c:pt>
                <c:pt idx="80">
                  <c:v>3005</c:v>
                </c:pt>
                <c:pt idx="81">
                  <c:v>2995</c:v>
                </c:pt>
                <c:pt idx="82">
                  <c:v>2560</c:v>
                </c:pt>
                <c:pt idx="83">
                  <c:v>2480</c:v>
                </c:pt>
                <c:pt idx="84">
                  <c:v>2340</c:v>
                </c:pt>
                <c:pt idx="85">
                  <c:v>2115</c:v>
                </c:pt>
                <c:pt idx="86">
                  <c:v>2155</c:v>
                </c:pt>
                <c:pt idx="87">
                  <c:v>2015</c:v>
                </c:pt>
                <c:pt idx="88">
                  <c:v>2045</c:v>
                </c:pt>
                <c:pt idx="89">
                  <c:v>2020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39-4FA2-B040-EF8513933778}"/>
            </c:ext>
          </c:extLst>
        </c:ser>
        <c:ser>
          <c:idx val="1"/>
          <c:order val="1"/>
          <c:tx>
            <c:v>S-SBR</c:v>
          </c:tx>
          <c:spPr>
            <a:ln w="2222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'S-SBR'!$B$4:$B$3114</c:f>
              <c:numCache>
                <c:formatCode>General</c:formatCode>
                <c:ptCount val="31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'S-SBR'!$M$4:$M$3114</c:f>
              <c:numCache>
                <c:formatCode>General</c:formatCode>
                <c:ptCount val="3111"/>
                <c:pt idx="0">
                  <c:v>1376</c:v>
                </c:pt>
                <c:pt idx="6">
                  <c:v>1345</c:v>
                </c:pt>
                <c:pt idx="7">
                  <c:v>1258</c:v>
                </c:pt>
                <c:pt idx="8">
                  <c:v>1290</c:v>
                </c:pt>
                <c:pt idx="10">
                  <c:v>1138</c:v>
                </c:pt>
                <c:pt idx="11">
                  <c:v>1125</c:v>
                </c:pt>
                <c:pt idx="14">
                  <c:v>2390</c:v>
                </c:pt>
                <c:pt idx="15">
                  <c:v>4295</c:v>
                </c:pt>
                <c:pt idx="27">
                  <c:v>1412</c:v>
                </c:pt>
                <c:pt idx="28">
                  <c:v>1395</c:v>
                </c:pt>
                <c:pt idx="29">
                  <c:v>1330</c:v>
                </c:pt>
                <c:pt idx="30">
                  <c:v>1260</c:v>
                </c:pt>
                <c:pt idx="31">
                  <c:v>1315</c:v>
                </c:pt>
                <c:pt idx="32">
                  <c:v>1310</c:v>
                </c:pt>
                <c:pt idx="33">
                  <c:v>1300</c:v>
                </c:pt>
                <c:pt idx="34">
                  <c:v>1458</c:v>
                </c:pt>
                <c:pt idx="35">
                  <c:v>1346</c:v>
                </c:pt>
                <c:pt idx="36">
                  <c:v>1332</c:v>
                </c:pt>
                <c:pt idx="37">
                  <c:v>1375</c:v>
                </c:pt>
                <c:pt idx="38">
                  <c:v>1425</c:v>
                </c:pt>
                <c:pt idx="39">
                  <c:v>1485</c:v>
                </c:pt>
                <c:pt idx="41">
                  <c:v>1500</c:v>
                </c:pt>
                <c:pt idx="42">
                  <c:v>1490</c:v>
                </c:pt>
                <c:pt idx="43">
                  <c:v>1485</c:v>
                </c:pt>
                <c:pt idx="44">
                  <c:v>1630</c:v>
                </c:pt>
                <c:pt idx="45">
                  <c:v>2110</c:v>
                </c:pt>
                <c:pt idx="46">
                  <c:v>1530</c:v>
                </c:pt>
                <c:pt idx="47">
                  <c:v>1560</c:v>
                </c:pt>
                <c:pt idx="48">
                  <c:v>1740</c:v>
                </c:pt>
                <c:pt idx="50">
                  <c:v>1660</c:v>
                </c:pt>
                <c:pt idx="51">
                  <c:v>1636</c:v>
                </c:pt>
                <c:pt idx="52">
                  <c:v>1575</c:v>
                </c:pt>
                <c:pt idx="53">
                  <c:v>1550</c:v>
                </c:pt>
                <c:pt idx="54">
                  <c:v>1620</c:v>
                </c:pt>
                <c:pt idx="55">
                  <c:v>1520</c:v>
                </c:pt>
                <c:pt idx="56">
                  <c:v>1720</c:v>
                </c:pt>
                <c:pt idx="57">
                  <c:v>1560</c:v>
                </c:pt>
                <c:pt idx="58">
                  <c:v>1570</c:v>
                </c:pt>
                <c:pt idx="59">
                  <c:v>1625</c:v>
                </c:pt>
                <c:pt idx="60">
                  <c:v>1605</c:v>
                </c:pt>
                <c:pt idx="61">
                  <c:v>1660</c:v>
                </c:pt>
                <c:pt idx="62">
                  <c:v>1510</c:v>
                </c:pt>
                <c:pt idx="63">
                  <c:v>1530</c:v>
                </c:pt>
                <c:pt idx="69">
                  <c:v>1605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39-4FA2-B040-EF8513933778}"/>
            </c:ext>
          </c:extLst>
        </c:ser>
        <c:ser>
          <c:idx val="2"/>
          <c:order val="2"/>
          <c:tx>
            <c:v>Media</c:v>
          </c:tx>
          <c:spPr>
            <a:ln w="2222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'1-Media'!$K$4:$K$87</c:f>
              <c:numCache>
                <c:formatCode>General</c:formatCode>
                <c:ptCount val="84"/>
                <c:pt idx="0">
                  <c:v>949</c:v>
                </c:pt>
                <c:pt idx="6">
                  <c:v>15600</c:v>
                </c:pt>
                <c:pt idx="7">
                  <c:v>13725</c:v>
                </c:pt>
                <c:pt idx="8">
                  <c:v>3180</c:v>
                </c:pt>
                <c:pt idx="14">
                  <c:v>968</c:v>
                </c:pt>
                <c:pt idx="15">
                  <c:v>862</c:v>
                </c:pt>
                <c:pt idx="28">
                  <c:v>1740</c:v>
                </c:pt>
                <c:pt idx="29">
                  <c:v>14875</c:v>
                </c:pt>
                <c:pt idx="30">
                  <c:v>14225</c:v>
                </c:pt>
                <c:pt idx="31">
                  <c:v>12000</c:v>
                </c:pt>
                <c:pt idx="33">
                  <c:v>13025</c:v>
                </c:pt>
                <c:pt idx="34">
                  <c:v>1970</c:v>
                </c:pt>
                <c:pt idx="35">
                  <c:v>1556</c:v>
                </c:pt>
                <c:pt idx="36">
                  <c:v>2035</c:v>
                </c:pt>
                <c:pt idx="37">
                  <c:v>2285</c:v>
                </c:pt>
                <c:pt idx="40">
                  <c:v>2100</c:v>
                </c:pt>
                <c:pt idx="41">
                  <c:v>1960</c:v>
                </c:pt>
                <c:pt idx="43">
                  <c:v>1920</c:v>
                </c:pt>
                <c:pt idx="44">
                  <c:v>1950</c:v>
                </c:pt>
                <c:pt idx="45">
                  <c:v>1490</c:v>
                </c:pt>
                <c:pt idx="47">
                  <c:v>1510</c:v>
                </c:pt>
                <c:pt idx="48">
                  <c:v>1450</c:v>
                </c:pt>
                <c:pt idx="51">
                  <c:v>820</c:v>
                </c:pt>
                <c:pt idx="52">
                  <c:v>900</c:v>
                </c:pt>
                <c:pt idx="53">
                  <c:v>872</c:v>
                </c:pt>
                <c:pt idx="54">
                  <c:v>1175</c:v>
                </c:pt>
                <c:pt idx="55">
                  <c:v>1450</c:v>
                </c:pt>
                <c:pt idx="56">
                  <c:v>1630</c:v>
                </c:pt>
                <c:pt idx="57">
                  <c:v>1745</c:v>
                </c:pt>
                <c:pt idx="58">
                  <c:v>1580</c:v>
                </c:pt>
                <c:pt idx="59">
                  <c:v>1670</c:v>
                </c:pt>
                <c:pt idx="60">
                  <c:v>2080</c:v>
                </c:pt>
                <c:pt idx="61">
                  <c:v>1775</c:v>
                </c:pt>
                <c:pt idx="62">
                  <c:v>1315</c:v>
                </c:pt>
                <c:pt idx="63">
                  <c:v>975</c:v>
                </c:pt>
                <c:pt idx="64">
                  <c:v>980</c:v>
                </c:pt>
                <c:pt idx="65">
                  <c:v>1015</c:v>
                </c:pt>
                <c:pt idx="66">
                  <c:v>1050</c:v>
                </c:pt>
                <c:pt idx="67">
                  <c:v>1075</c:v>
                </c:pt>
                <c:pt idx="68">
                  <c:v>1055</c:v>
                </c:pt>
                <c:pt idx="69">
                  <c:v>1345</c:v>
                </c:pt>
                <c:pt idx="70">
                  <c:v>1815</c:v>
                </c:pt>
                <c:pt idx="73">
                  <c:v>1260</c:v>
                </c:pt>
                <c:pt idx="74">
                  <c:v>1240</c:v>
                </c:pt>
                <c:pt idx="77">
                  <c:v>3040</c:v>
                </c:pt>
                <c:pt idx="78">
                  <c:v>1165</c:v>
                </c:pt>
                <c:pt idx="79">
                  <c:v>1290</c:v>
                </c:pt>
                <c:pt idx="80">
                  <c:v>1490</c:v>
                </c:pt>
                <c:pt idx="81">
                  <c:v>1490</c:v>
                </c:pt>
                <c:pt idx="82">
                  <c:v>1440</c:v>
                </c:pt>
                <c:pt idx="83">
                  <c:v>1350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39-4FA2-B040-EF8513933778}"/>
            </c:ext>
          </c:extLst>
        </c:ser>
        <c:ser>
          <c:idx val="3"/>
          <c:order val="3"/>
          <c:tx>
            <c:v>G-SBR</c:v>
          </c:tx>
          <c:spPr>
            <a:ln w="2222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'G-SBR'!$L$4:$L$8987</c:f>
              <c:numCache>
                <c:formatCode>General</c:formatCode>
                <c:ptCount val="8984"/>
                <c:pt idx="0">
                  <c:v>457</c:v>
                </c:pt>
                <c:pt idx="14">
                  <c:v>1430</c:v>
                </c:pt>
                <c:pt idx="15">
                  <c:v>1470</c:v>
                </c:pt>
                <c:pt idx="27">
                  <c:v>2305</c:v>
                </c:pt>
                <c:pt idx="28">
                  <c:v>1585</c:v>
                </c:pt>
                <c:pt idx="29">
                  <c:v>1006</c:v>
                </c:pt>
                <c:pt idx="30">
                  <c:v>1550</c:v>
                </c:pt>
                <c:pt idx="31">
                  <c:v>2040</c:v>
                </c:pt>
                <c:pt idx="32">
                  <c:v>1530</c:v>
                </c:pt>
                <c:pt idx="33">
                  <c:v>1575</c:v>
                </c:pt>
                <c:pt idx="34">
                  <c:v>2030</c:v>
                </c:pt>
                <c:pt idx="35">
                  <c:v>2095</c:v>
                </c:pt>
                <c:pt idx="36">
                  <c:v>2145</c:v>
                </c:pt>
                <c:pt idx="37">
                  <c:v>2070</c:v>
                </c:pt>
                <c:pt idx="38">
                  <c:v>2285</c:v>
                </c:pt>
                <c:pt idx="39">
                  <c:v>2150</c:v>
                </c:pt>
                <c:pt idx="40">
                  <c:v>2360</c:v>
                </c:pt>
                <c:pt idx="56">
                  <c:v>2265</c:v>
                </c:pt>
                <c:pt idx="57">
                  <c:v>2190</c:v>
                </c:pt>
                <c:pt idx="72">
                  <c:v>615</c:v>
                </c:pt>
                <c:pt idx="73">
                  <c:v>915</c:v>
                </c:pt>
                <c:pt idx="77">
                  <c:v>1325</c:v>
                </c:pt>
                <c:pt idx="78">
                  <c:v>1355</c:v>
                </c:pt>
                <c:pt idx="79">
                  <c:v>1370</c:v>
                </c:pt>
                <c:pt idx="80">
                  <c:v>1380</c:v>
                </c:pt>
                <c:pt idx="85">
                  <c:v>1310</c:v>
                </c:pt>
                <c:pt idx="86">
                  <c:v>1390</c:v>
                </c:pt>
                <c:pt idx="87">
                  <c:v>1325</c:v>
                </c:pt>
                <c:pt idx="88">
                  <c:v>1405</c:v>
                </c:pt>
                <c:pt idx="89">
                  <c:v>1410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39-4FA2-B040-EF851393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72896"/>
        <c:axId val="463474688"/>
      </c:scatterChar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63478144"/>
        <c:axId val="463476608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4"/>
                <c:spPr>
                  <a:ln w="19050">
                    <a:solidFill>
                      <a:schemeClr val="tx1">
                        <a:lumMod val="85000"/>
                        <a:lumOff val="15000"/>
                      </a:schemeClr>
                    </a:solidFill>
                    <a:prstDash val="lgDashDotDot"/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DataPlots!$R$286:$R$287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DataPlots!$T$286:$T$287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3627-4537-9261-42C3C907BADD}"/>
                  </c:ext>
                </c:extLst>
              </c15:ser>
            </c15:filteredScatterSeries>
          </c:ext>
        </c:extLst>
      </c:scatterChart>
      <c:valAx>
        <c:axId val="46347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63474688"/>
        <c:crosses val="autoZero"/>
        <c:crossBetween val="midCat"/>
      </c:valAx>
      <c:valAx>
        <c:axId val="463474688"/>
        <c:scaling>
          <c:logBase val="10"/>
          <c:orientation val="minMax"/>
          <c:min val="10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COD</a:t>
                </a:r>
                <a:r>
                  <a:rPr lang="en-GB" baseline="0"/>
                  <a:t> </a:t>
                </a:r>
                <a:r>
                  <a:rPr lang="en-GB"/>
                  <a:t>(mg</a:t>
                </a:r>
                <a:r>
                  <a:rPr lang="en-GB" baseline="0"/>
                  <a:t> </a:t>
                </a:r>
                <a:r>
                  <a:rPr lang="en-GB"/>
                  <a:t>L</a:t>
                </a:r>
                <a:r>
                  <a:rPr lang="en-GB" baseline="30000"/>
                  <a:t>-1</a:t>
                </a:r>
                <a:r>
                  <a:rPr lang="en-GB"/>
                  <a:t>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63472896"/>
        <c:crosses val="autoZero"/>
        <c:crossBetween val="midCat"/>
      </c:valAx>
      <c:valAx>
        <c:axId val="463476608"/>
        <c:scaling>
          <c:orientation val="minMax"/>
          <c:max val="2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463478144"/>
        <c:crosses val="max"/>
        <c:crossBetween val="midCat"/>
      </c:valAx>
      <c:valAx>
        <c:axId val="46347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47660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5394759166193754"/>
          <c:w val="0.99979263887562042"/>
          <c:h val="4.4727127188732764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Media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04692856282875"/>
          <c:y val="0.13601919327169501"/>
          <c:w val="0.82575915644427844"/>
          <c:h val="0.71348978546626274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triang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'1-Media'!$AO$4:$AO$66</c:f>
              <c:numCache>
                <c:formatCode>0.00</c:formatCode>
                <c:ptCount val="63"/>
                <c:pt idx="0">
                  <c:v>7.1175776105265445E-2</c:v>
                </c:pt>
                <c:pt idx="6">
                  <c:v>0.14420759999999999</c:v>
                </c:pt>
                <c:pt idx="7">
                  <c:v>0.48891993508952852</c:v>
                </c:pt>
                <c:pt idx="8">
                  <c:v>7.0982502543284226E-2</c:v>
                </c:pt>
                <c:pt idx="14">
                  <c:v>9.0804119819262757E-2</c:v>
                </c:pt>
                <c:pt idx="15">
                  <c:v>9.0698168517875738E-2</c:v>
                </c:pt>
                <c:pt idx="28">
                  <c:v>9.1399141956799407E-2</c:v>
                </c:pt>
                <c:pt idx="29">
                  <c:v>0.25093612363081413</c:v>
                </c:pt>
                <c:pt idx="30">
                  <c:v>0.26991216336921486</c:v>
                </c:pt>
                <c:pt idx="31">
                  <c:v>0.43241431531028468</c:v>
                </c:pt>
                <c:pt idx="33">
                  <c:v>0.2300214311326215</c:v>
                </c:pt>
                <c:pt idx="34">
                  <c:v>0.59675247317164382</c:v>
                </c:pt>
                <c:pt idx="35">
                  <c:v>7.8302540312358213E-2</c:v>
                </c:pt>
                <c:pt idx="36">
                  <c:v>0.36137981375849354</c:v>
                </c:pt>
                <c:pt idx="40">
                  <c:v>0.21311989872705556</c:v>
                </c:pt>
                <c:pt idx="41">
                  <c:v>0.70498657809309639</c:v>
                </c:pt>
                <c:pt idx="43">
                  <c:v>0.16161083776879834</c:v>
                </c:pt>
                <c:pt idx="44">
                  <c:v>0.15881957545543424</c:v>
                </c:pt>
                <c:pt idx="45">
                  <c:v>0.71444856386667288</c:v>
                </c:pt>
                <c:pt idx="47">
                  <c:v>0.17877678769959887</c:v>
                </c:pt>
                <c:pt idx="48">
                  <c:v>8.92353497094555E-2</c:v>
                </c:pt>
                <c:pt idx="51">
                  <c:v>0.22498471361770248</c:v>
                </c:pt>
                <c:pt idx="52">
                  <c:v>0.30552967020023641</c:v>
                </c:pt>
                <c:pt idx="53">
                  <c:v>0.32433419931680252</c:v>
                </c:pt>
                <c:pt idx="54">
                  <c:v>0.48691721430348345</c:v>
                </c:pt>
                <c:pt idx="55">
                  <c:v>0.54548941693013486</c:v>
                </c:pt>
                <c:pt idx="56">
                  <c:v>0.89071879409720323</c:v>
                </c:pt>
                <c:pt idx="57">
                  <c:v>1.10530162245699</c:v>
                </c:pt>
                <c:pt idx="58">
                  <c:v>0.57998950278937289</c:v>
                </c:pt>
                <c:pt idx="59">
                  <c:v>0.37945682860522562</c:v>
                </c:pt>
                <c:pt idx="60">
                  <c:v>0.64078499714838266</c:v>
                </c:pt>
                <c:pt idx="61">
                  <c:v>0.49130764969852803</c:v>
                </c:pt>
                <c:pt idx="62">
                  <c:v>0.57158545082835432</c:v>
                </c:pt>
              </c:numCache>
            </c:numRef>
          </c:xVal>
          <c:yVal>
            <c:numRef>
              <c:f>'1-Media'!$AP$4:$AP$66</c:f>
              <c:numCache>
                <c:formatCode>0.00</c:formatCode>
                <c:ptCount val="63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28">
                  <c:v>8.7728429474033712E-2</c:v>
                </c:pt>
                <c:pt idx="29">
                  <c:v>0.24318898785013118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36">
                  <c:v>0.15107948972187452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4">
                  <c:v>4.8370031847860824E-2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0">
                  <c:v>0.17960219000307931</c:v>
                </c:pt>
                <c:pt idx="61">
                  <c:v>0.12819424836279361</c:v>
                </c:pt>
                <c:pt idx="62">
                  <c:v>0.22189351829957502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53-4F77-834A-50EABF6A863F}"/>
            </c:ext>
          </c:extLst>
        </c:ser>
        <c:ser>
          <c:idx val="0"/>
          <c:order val="1"/>
          <c:tx>
            <c:v>Ideal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5875"/>
            </c:spPr>
            <c:trendlineType val="linear"/>
            <c:dispRSqr val="0"/>
            <c:dispEq val="0"/>
          </c:trendline>
          <c:xVal>
            <c:numRef>
              <c:f>DataPlots!$B$250:$B$251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xVal>
          <c:yVal>
            <c:numRef>
              <c:f>DataPlots!$C$250:$C$251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F5-4BD3-8737-D9B51069D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644352"/>
        <c:axId val="550675200"/>
      </c:scatterChart>
      <c:valAx>
        <c:axId val="550644352"/>
        <c:scaling>
          <c:orientation val="minMax"/>
          <c:max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loading rate,</a:t>
                </a:r>
                <a:r>
                  <a:rPr lang="en-GB" baseline="0"/>
                  <a:t>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0675200"/>
        <c:crosses val="autoZero"/>
        <c:crossBetween val="midCat"/>
        <c:majorUnit val="1"/>
      </c:valAx>
      <c:valAx>
        <c:axId val="550675200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Nitrogen removal rate</a:t>
                </a:r>
                <a:r>
                  <a:rPr lang="en-GB" baseline="0"/>
                  <a:t>,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0644352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G-SBR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40693512733446"/>
          <c:y val="8.5862062804212158E-2"/>
          <c:w val="0.80762200949079743"/>
          <c:h val="0.7193733800745401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'G-SBR'!$AL$4:$AL$80</c:f>
              <c:numCache>
                <c:formatCode>0.00</c:formatCode>
                <c:ptCount val="77"/>
                <c:pt idx="0">
                  <c:v>0.42843015660125555</c:v>
                </c:pt>
                <c:pt idx="14">
                  <c:v>0.61404372457308443</c:v>
                </c:pt>
                <c:pt idx="15">
                  <c:v>0.26900168067226887</c:v>
                </c:pt>
                <c:pt idx="27">
                  <c:v>0.424122048892563</c:v>
                </c:pt>
                <c:pt idx="28">
                  <c:v>1.5937437617504659</c:v>
                </c:pt>
                <c:pt idx="29">
                  <c:v>1.7507564807825624</c:v>
                </c:pt>
                <c:pt idx="30">
                  <c:v>1.8691221314505631</c:v>
                </c:pt>
                <c:pt idx="31">
                  <c:v>0.52288920225419389</c:v>
                </c:pt>
                <c:pt idx="32">
                  <c:v>0.40291986236614857</c:v>
                </c:pt>
                <c:pt idx="33">
                  <c:v>0.34767441411751993</c:v>
                </c:pt>
                <c:pt idx="34">
                  <c:v>0.3058209892917475</c:v>
                </c:pt>
                <c:pt idx="35">
                  <c:v>0.28732710603203843</c:v>
                </c:pt>
                <c:pt idx="36">
                  <c:v>0.34924854992155902</c:v>
                </c:pt>
                <c:pt idx="37">
                  <c:v>0.29266952103850769</c:v>
                </c:pt>
                <c:pt idx="38">
                  <c:v>0.31024742707541964</c:v>
                </c:pt>
                <c:pt idx="39">
                  <c:v>0.2832915148074211</c:v>
                </c:pt>
                <c:pt idx="40">
                  <c:v>0.28566742773270271</c:v>
                </c:pt>
                <c:pt idx="56">
                  <c:v>0.78780000000000006</c:v>
                </c:pt>
                <c:pt idx="57">
                  <c:v>0.80124000000000017</c:v>
                </c:pt>
                <c:pt idx="72">
                  <c:v>1.5809144615384612</c:v>
                </c:pt>
                <c:pt idx="73">
                  <c:v>1.3920000000000001</c:v>
                </c:pt>
              </c:numCache>
            </c:numRef>
          </c:xVal>
          <c:yVal>
            <c:numRef>
              <c:f>'G-SBR'!$AM$4:$AM$80</c:f>
              <c:numCache>
                <c:formatCode>0.00</c:formatCode>
                <c:ptCount val="77"/>
                <c:pt idx="0">
                  <c:v>0.38379048345580186</c:v>
                </c:pt>
                <c:pt idx="14">
                  <c:v>0.46041116620649664</c:v>
                </c:pt>
                <c:pt idx="15">
                  <c:v>0.19675159663865543</c:v>
                </c:pt>
                <c:pt idx="27">
                  <c:v>6.7290796588757737E-2</c:v>
                </c:pt>
                <c:pt idx="28">
                  <c:v>0.39093819889541415</c:v>
                </c:pt>
                <c:pt idx="29">
                  <c:v>1.3137553012550109</c:v>
                </c:pt>
                <c:pt idx="30">
                  <c:v>0.28438145750839267</c:v>
                </c:pt>
                <c:pt idx="31">
                  <c:v>0.34759442836810933</c:v>
                </c:pt>
                <c:pt idx="32">
                  <c:v>0.2475404751097855</c:v>
                </c:pt>
                <c:pt idx="33">
                  <c:v>0.27192510583123342</c:v>
                </c:pt>
                <c:pt idx="34">
                  <c:v>0.16751879279361928</c:v>
                </c:pt>
                <c:pt idx="35">
                  <c:v>9.0617308827127922E-3</c:v>
                </c:pt>
                <c:pt idx="36">
                  <c:v>0.21261330761812922</c:v>
                </c:pt>
                <c:pt idx="37">
                  <c:v>0.10608086335549018</c:v>
                </c:pt>
                <c:pt idx="38">
                  <c:v>6.8543913250220009E-2</c:v>
                </c:pt>
                <c:pt idx="39">
                  <c:v>7.6292308998669706E-2</c:v>
                </c:pt>
                <c:pt idx="40">
                  <c:v>0.12026807192074039</c:v>
                </c:pt>
                <c:pt idx="56">
                  <c:v>9.2579999999999982E-2</c:v>
                </c:pt>
                <c:pt idx="57">
                  <c:v>8.8860000000000106E-2</c:v>
                </c:pt>
                <c:pt idx="72">
                  <c:v>1.4832898461538457</c:v>
                </c:pt>
                <c:pt idx="73">
                  <c:v>1.2829797101449278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C9-4177-BC74-8AB8BC920A69}"/>
            </c:ext>
          </c:extLst>
        </c:ser>
        <c:ser>
          <c:idx val="0"/>
          <c:order val="1"/>
          <c:tx>
            <c:v>Ideal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5875"/>
            </c:spPr>
            <c:trendlineType val="linear"/>
            <c:dispRSqr val="0"/>
            <c:dispEq val="0"/>
          </c:trendline>
          <c:xVal>
            <c:numRef>
              <c:f>DataPlots!$B$250:$B$251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xVal>
          <c:yVal>
            <c:numRef>
              <c:f>DataPlots!$C$250:$C$251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68-45AD-B6F6-E62A8AF34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464064"/>
        <c:axId val="499466240"/>
      </c:scatterChart>
      <c:valAx>
        <c:axId val="499464064"/>
        <c:scaling>
          <c:orientation val="minMax"/>
          <c:max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loading rate,</a:t>
                </a:r>
                <a:r>
                  <a:rPr lang="en-GB" baseline="0"/>
                  <a:t>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9466240"/>
        <c:crosses val="autoZero"/>
        <c:crossBetween val="midCat"/>
        <c:majorUnit val="1"/>
      </c:valAx>
      <c:valAx>
        <c:axId val="499466240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Nitrogen removal rate,</a:t>
                </a:r>
                <a:r>
                  <a:rPr lang="en-GB" baseline="0"/>
                  <a:t>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9464064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</a:t>
            </a:r>
            <a:r>
              <a:rPr lang="en-GB" sz="1000" baseline="0"/>
              <a:t> NRR/Treactor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'S-SBR'!$J$4:$J$423</c:f>
              <c:numCache>
                <c:formatCode>0.00</c:formatCode>
                <c:ptCount val="420"/>
                <c:pt idx="0">
                  <c:v>27.744652777777791</c:v>
                </c:pt>
                <c:pt idx="6">
                  <c:v>29.483194444444461</c:v>
                </c:pt>
                <c:pt idx="7">
                  <c:v>28.499097222222229</c:v>
                </c:pt>
                <c:pt idx="8">
                  <c:v>26.52756944444446</c:v>
                </c:pt>
                <c:pt idx="10">
                  <c:v>24.466111111111111</c:v>
                </c:pt>
                <c:pt idx="11">
                  <c:v>24.490555555555581</c:v>
                </c:pt>
                <c:pt idx="14">
                  <c:v>28.499097222222229</c:v>
                </c:pt>
                <c:pt idx="15">
                  <c:v>26.52756944444446</c:v>
                </c:pt>
                <c:pt idx="27">
                  <c:v>23.310208333333321</c:v>
                </c:pt>
                <c:pt idx="28">
                  <c:v>23.544861111111128</c:v>
                </c:pt>
                <c:pt idx="29">
                  <c:v>23.76194444444441</c:v>
                </c:pt>
                <c:pt idx="30">
                  <c:v>23.896666666666668</c:v>
                </c:pt>
                <c:pt idx="31">
                  <c:v>24.136527777777768</c:v>
                </c:pt>
                <c:pt idx="32">
                  <c:v>24.795902777777759</c:v>
                </c:pt>
                <c:pt idx="33">
                  <c:v>25.985902777777781</c:v>
                </c:pt>
                <c:pt idx="34">
                  <c:v>25.75125000000001</c:v>
                </c:pt>
                <c:pt idx="35">
                  <c:v>25.572986111111131</c:v>
                </c:pt>
                <c:pt idx="36">
                  <c:v>24.929722222222239</c:v>
                </c:pt>
                <c:pt idx="37">
                  <c:v>22.88493055555556</c:v>
                </c:pt>
                <c:pt idx="38">
                  <c:v>22.29333333333334</c:v>
                </c:pt>
                <c:pt idx="39">
                  <c:v>21.368750000000009</c:v>
                </c:pt>
                <c:pt idx="41">
                  <c:v>21.566388888888881</c:v>
                </c:pt>
                <c:pt idx="42">
                  <c:v>22.588541666666689</c:v>
                </c:pt>
                <c:pt idx="43">
                  <c:v>23.60291666666668</c:v>
                </c:pt>
                <c:pt idx="44" formatCode="0">
                  <c:v>23.053402777777791</c:v>
                </c:pt>
                <c:pt idx="45" formatCode="0">
                  <c:v>22.570000000000011</c:v>
                </c:pt>
                <c:pt idx="46" formatCode="0">
                  <c:v>21.71083333333333</c:v>
                </c:pt>
                <c:pt idx="47" formatCode="0">
                  <c:v>21.26076388888891</c:v>
                </c:pt>
                <c:pt idx="48" formatCode="0">
                  <c:v>21.77097222222222</c:v>
                </c:pt>
                <c:pt idx="50" formatCode="0">
                  <c:v>23.578958333333318</c:v>
                </c:pt>
                <c:pt idx="51" formatCode="0">
                  <c:v>24.358819444444439</c:v>
                </c:pt>
                <c:pt idx="52" formatCode="0">
                  <c:v>22.216250000000009</c:v>
                </c:pt>
                <c:pt idx="53" formatCode="0">
                  <c:v>20.712430555555571</c:v>
                </c:pt>
                <c:pt idx="54" formatCode="0">
                  <c:v>21.635103448275871</c:v>
                </c:pt>
                <c:pt idx="55" formatCode="0">
                  <c:v>22.737999999999989</c:v>
                </c:pt>
                <c:pt idx="56" formatCode="0">
                  <c:v>23.836275862068959</c:v>
                </c:pt>
                <c:pt idx="57" formatCode="0">
                  <c:v>24.347586206896551</c:v>
                </c:pt>
                <c:pt idx="58" formatCode="0">
                  <c:v>24.301241379310369</c:v>
                </c:pt>
                <c:pt idx="59" formatCode="0">
                  <c:v>25.118344827586231</c:v>
                </c:pt>
                <c:pt idx="60" formatCode="0">
                  <c:v>22.921250000000001</c:v>
                </c:pt>
                <c:pt idx="61" formatCode="0">
                  <c:v>22.158541666666672</c:v>
                </c:pt>
                <c:pt idx="62" formatCode="0">
                  <c:v>23.210000000000012</c:v>
                </c:pt>
                <c:pt idx="63" formatCode="0">
                  <c:v>23.044305555555582</c:v>
                </c:pt>
                <c:pt idx="69" formatCode="0">
                  <c:v>21.545000000000002</c:v>
                </c:pt>
              </c:numCache>
            </c:numRef>
          </c:xVal>
          <c:yVal>
            <c:numRef>
              <c:f>'S-SBR'!$AO$4:$AO$423</c:f>
              <c:numCache>
                <c:formatCode>0%</c:formatCode>
                <c:ptCount val="420"/>
                <c:pt idx="0">
                  <c:v>0.48073542686113357</c:v>
                </c:pt>
                <c:pt idx="6">
                  <c:v>0.8464139199320978</c:v>
                </c:pt>
                <c:pt idx="7">
                  <c:v>0.83876146788990824</c:v>
                </c:pt>
                <c:pt idx="8">
                  <c:v>0.83979387148094353</c:v>
                </c:pt>
                <c:pt idx="10">
                  <c:v>0.89604106602911193</c:v>
                </c:pt>
                <c:pt idx="11">
                  <c:v>0.89548050482972574</c:v>
                </c:pt>
                <c:pt idx="14">
                  <c:v>0.90607971541757615</c:v>
                </c:pt>
                <c:pt idx="15">
                  <c:v>0.90772829509671626</c:v>
                </c:pt>
                <c:pt idx="27">
                  <c:v>0.87166700418523024</c:v>
                </c:pt>
                <c:pt idx="28">
                  <c:v>0.87327615489130439</c:v>
                </c:pt>
                <c:pt idx="29">
                  <c:v>0.88227826161670186</c:v>
                </c:pt>
                <c:pt idx="30">
                  <c:v>0.87385100836877494</c:v>
                </c:pt>
                <c:pt idx="31">
                  <c:v>0.87151345216636622</c:v>
                </c:pt>
                <c:pt idx="32">
                  <c:v>0.8579295304300415</c:v>
                </c:pt>
                <c:pt idx="33">
                  <c:v>0.86032898241875333</c:v>
                </c:pt>
                <c:pt idx="34">
                  <c:v>0.82904130086696282</c:v>
                </c:pt>
                <c:pt idx="35">
                  <c:v>0.83268413881542036</c:v>
                </c:pt>
                <c:pt idx="36">
                  <c:v>0.85443000415405612</c:v>
                </c:pt>
                <c:pt idx="37">
                  <c:v>0.82347100645450522</c:v>
                </c:pt>
                <c:pt idx="38">
                  <c:v>0.86013621357273473</c:v>
                </c:pt>
                <c:pt idx="39">
                  <c:v>0.84718950560688333</c:v>
                </c:pt>
                <c:pt idx="41">
                  <c:v>0.8377602654500208</c:v>
                </c:pt>
                <c:pt idx="42">
                  <c:v>0.85902853870993057</c:v>
                </c:pt>
                <c:pt idx="43">
                  <c:v>0.88680801745295879</c:v>
                </c:pt>
                <c:pt idx="44">
                  <c:v>0.85493146368363004</c:v>
                </c:pt>
                <c:pt idx="45">
                  <c:v>0.84586639150042042</c:v>
                </c:pt>
                <c:pt idx="46">
                  <c:v>0.85394755903230468</c:v>
                </c:pt>
                <c:pt idx="47">
                  <c:v>0.84773046871259283</c:v>
                </c:pt>
                <c:pt idx="48">
                  <c:v>0.85295504789977894</c:v>
                </c:pt>
                <c:pt idx="50">
                  <c:v>0.90183248584860409</c:v>
                </c:pt>
                <c:pt idx="51">
                  <c:v>0.80850649666650443</c:v>
                </c:pt>
                <c:pt idx="52">
                  <c:v>0.8344511941416326</c:v>
                </c:pt>
                <c:pt idx="53">
                  <c:v>0.83881285680769535</c:v>
                </c:pt>
                <c:pt idx="54">
                  <c:v>0.8253779039291137</c:v>
                </c:pt>
                <c:pt idx="55">
                  <c:v>0.81270420180837322</c:v>
                </c:pt>
                <c:pt idx="56">
                  <c:v>0.8233587204874333</c:v>
                </c:pt>
                <c:pt idx="57">
                  <c:v>0.82861314961809207</c:v>
                </c:pt>
                <c:pt idx="58">
                  <c:v>0.85916862157394513</c:v>
                </c:pt>
                <c:pt idx="59">
                  <c:v>0.8568019609256724</c:v>
                </c:pt>
                <c:pt idx="60">
                  <c:v>0.8483629238754592</c:v>
                </c:pt>
                <c:pt idx="61">
                  <c:v>0.85042819249715795</c:v>
                </c:pt>
                <c:pt idx="62">
                  <c:v>0.83278200463116103</c:v>
                </c:pt>
                <c:pt idx="63">
                  <c:v>0.82792416936561597</c:v>
                </c:pt>
                <c:pt idx="69">
                  <c:v>0.85760200777202067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2F-4A20-99E1-7A4AFBD29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Reactor temperature</a:t>
                </a:r>
                <a:r>
                  <a:rPr lang="en-GB" baseline="0"/>
                  <a:t> (°C)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 (kg N m-3 d-1)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NRR/C/N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'1-Influent'!$T$4:$T$83</c:f>
              <c:numCache>
                <c:formatCode>0.0</c:formatCode>
                <c:ptCount val="80"/>
                <c:pt idx="6">
                  <c:v>2.5272315744801244</c:v>
                </c:pt>
                <c:pt idx="7">
                  <c:v>2.3920669185105234</c:v>
                </c:pt>
                <c:pt idx="8">
                  <c:v>2.3936501348827557</c:v>
                </c:pt>
                <c:pt idx="9">
                  <c:v>3.1483087597571551</c:v>
                </c:pt>
                <c:pt idx="10">
                  <c:v>2.4365375149426902</c:v>
                </c:pt>
                <c:pt idx="11">
                  <c:v>2.113093139674258</c:v>
                </c:pt>
                <c:pt idx="12">
                  <c:v>2.1359223300970873</c:v>
                </c:pt>
                <c:pt idx="13">
                  <c:v>2.4430209513023784</c:v>
                </c:pt>
                <c:pt idx="15">
                  <c:v>2.260458839406208</c:v>
                </c:pt>
                <c:pt idx="27">
                  <c:v>2.145352369380316</c:v>
                </c:pt>
                <c:pt idx="28">
                  <c:v>2.0100203804347823</c:v>
                </c:pt>
                <c:pt idx="29">
                  <c:v>1.8732195525901387</c:v>
                </c:pt>
                <c:pt idx="30">
                  <c:v>1.7008505967896832</c:v>
                </c:pt>
                <c:pt idx="31">
                  <c:v>1.694372120969357</c:v>
                </c:pt>
                <c:pt idx="32">
                  <c:v>1.7174401962788797</c:v>
                </c:pt>
                <c:pt idx="33">
                  <c:v>1.7111747469366008</c:v>
                </c:pt>
                <c:pt idx="34">
                  <c:v>1.9686271809070948</c:v>
                </c:pt>
                <c:pt idx="35">
                  <c:v>2.0197162779514306</c:v>
                </c:pt>
                <c:pt idx="36">
                  <c:v>1.7358020295531424</c:v>
                </c:pt>
                <c:pt idx="37">
                  <c:v>1.862208096007173</c:v>
                </c:pt>
                <c:pt idx="38">
                  <c:v>1.8201741250585761</c:v>
                </c:pt>
                <c:pt idx="39">
                  <c:v>1.7931447915932011</c:v>
                </c:pt>
                <c:pt idx="40">
                  <c:v>1.798313438896235</c:v>
                </c:pt>
                <c:pt idx="41">
                  <c:v>1.7133969307341352</c:v>
                </c:pt>
                <c:pt idx="42">
                  <c:v>1.71990850406471</c:v>
                </c:pt>
                <c:pt idx="43">
                  <c:v>1.7241614398691028</c:v>
                </c:pt>
                <c:pt idx="44">
                  <c:v>1.8504805419883408</c:v>
                </c:pt>
                <c:pt idx="45">
                  <c:v>2.0018344416418254</c:v>
                </c:pt>
                <c:pt idx="46">
                  <c:v>1.936114732724902</c:v>
                </c:pt>
                <c:pt idx="47">
                  <c:v>1.9623919082272396</c:v>
                </c:pt>
                <c:pt idx="48">
                  <c:v>1.9432571849668385</c:v>
                </c:pt>
                <c:pt idx="49">
                  <c:v>1.9187160651549025</c:v>
                </c:pt>
                <c:pt idx="50">
                  <c:v>1.9428187661901564</c:v>
                </c:pt>
                <c:pt idx="51">
                  <c:v>1.5898583872694534</c:v>
                </c:pt>
                <c:pt idx="52">
                  <c:v>1.6663892818507113</c:v>
                </c:pt>
                <c:pt idx="53">
                  <c:v>1.5730820364432627</c:v>
                </c:pt>
                <c:pt idx="54">
                  <c:v>1.6878996967449591</c:v>
                </c:pt>
                <c:pt idx="55">
                  <c:v>1.6583086391611579</c:v>
                </c:pt>
                <c:pt idx="56">
                  <c:v>1.675932977913176</c:v>
                </c:pt>
                <c:pt idx="57">
                  <c:v>1.6444511007937694</c:v>
                </c:pt>
                <c:pt idx="58">
                  <c:v>1.5933736093903668</c:v>
                </c:pt>
                <c:pt idx="59">
                  <c:v>1.5864032874342151</c:v>
                </c:pt>
                <c:pt idx="60">
                  <c:v>1.7689579103635498</c:v>
                </c:pt>
                <c:pt idx="61">
                  <c:v>1.9234558544903373</c:v>
                </c:pt>
                <c:pt idx="62">
                  <c:v>2.0282004631161099</c:v>
                </c:pt>
                <c:pt idx="63">
                  <c:v>2.0668644493614141</c:v>
                </c:pt>
                <c:pt idx="64">
                  <c:v>2.1246840088069803</c:v>
                </c:pt>
                <c:pt idx="65">
                  <c:v>2.0343980343980346</c:v>
                </c:pt>
                <c:pt idx="66">
                  <c:v>2.0763674057104136</c:v>
                </c:pt>
                <c:pt idx="67">
                  <c:v>1.9927150691659163</c:v>
                </c:pt>
                <c:pt idx="68">
                  <c:v>1.6328324808184143</c:v>
                </c:pt>
                <c:pt idx="69">
                  <c:v>1.599336139896373</c:v>
                </c:pt>
                <c:pt idx="70">
                  <c:v>1.4493211240922008</c:v>
                </c:pt>
                <c:pt idx="71">
                  <c:v>0.82417582417582413</c:v>
                </c:pt>
                <c:pt idx="72">
                  <c:v>0.79175207650022228</c:v>
                </c:pt>
                <c:pt idx="73">
                  <c:v>1.6716641679160418</c:v>
                </c:pt>
                <c:pt idx="74">
                  <c:v>1.6890006260950599</c:v>
                </c:pt>
                <c:pt idx="75">
                  <c:v>1.5974643423137875</c:v>
                </c:pt>
                <c:pt idx="76">
                  <c:v>1.7751819226350058</c:v>
                </c:pt>
                <c:pt idx="77">
                  <c:v>1.7029856533540131</c:v>
                </c:pt>
                <c:pt idx="78">
                  <c:v>1.8796327105648809</c:v>
                </c:pt>
                <c:pt idx="79">
                  <c:v>1.8431630743641276</c:v>
                </c:pt>
              </c:numCache>
            </c:numRef>
          </c:xVal>
          <c:yVal>
            <c:numRef>
              <c:f>'S-SBR'!$AO$4:$AO$423</c:f>
              <c:numCache>
                <c:formatCode>0%</c:formatCode>
                <c:ptCount val="420"/>
                <c:pt idx="0">
                  <c:v>0.48073542686113357</c:v>
                </c:pt>
                <c:pt idx="6">
                  <c:v>0.8464139199320978</c:v>
                </c:pt>
                <c:pt idx="7">
                  <c:v>0.83876146788990824</c:v>
                </c:pt>
                <c:pt idx="8">
                  <c:v>0.83979387148094353</c:v>
                </c:pt>
                <c:pt idx="10">
                  <c:v>0.89604106602911193</c:v>
                </c:pt>
                <c:pt idx="11">
                  <c:v>0.89548050482972574</c:v>
                </c:pt>
                <c:pt idx="14">
                  <c:v>0.90607971541757615</c:v>
                </c:pt>
                <c:pt idx="15">
                  <c:v>0.90772829509671626</c:v>
                </c:pt>
                <c:pt idx="27">
                  <c:v>0.87166700418523024</c:v>
                </c:pt>
                <c:pt idx="28">
                  <c:v>0.87327615489130439</c:v>
                </c:pt>
                <c:pt idx="29">
                  <c:v>0.88227826161670186</c:v>
                </c:pt>
                <c:pt idx="30">
                  <c:v>0.87385100836877494</c:v>
                </c:pt>
                <c:pt idx="31">
                  <c:v>0.87151345216636622</c:v>
                </c:pt>
                <c:pt idx="32">
                  <c:v>0.8579295304300415</c:v>
                </c:pt>
                <c:pt idx="33">
                  <c:v>0.86032898241875333</c:v>
                </c:pt>
                <c:pt idx="34">
                  <c:v>0.82904130086696282</c:v>
                </c:pt>
                <c:pt idx="35">
                  <c:v>0.83268413881542036</c:v>
                </c:pt>
                <c:pt idx="36">
                  <c:v>0.85443000415405612</c:v>
                </c:pt>
                <c:pt idx="37">
                  <c:v>0.82347100645450522</c:v>
                </c:pt>
                <c:pt idx="38">
                  <c:v>0.86013621357273473</c:v>
                </c:pt>
                <c:pt idx="39">
                  <c:v>0.84718950560688333</c:v>
                </c:pt>
                <c:pt idx="41">
                  <c:v>0.8377602654500208</c:v>
                </c:pt>
                <c:pt idx="42">
                  <c:v>0.85902853870993057</c:v>
                </c:pt>
                <c:pt idx="43">
                  <c:v>0.88680801745295879</c:v>
                </c:pt>
                <c:pt idx="44">
                  <c:v>0.85493146368363004</c:v>
                </c:pt>
                <c:pt idx="45">
                  <c:v>0.84586639150042042</c:v>
                </c:pt>
                <c:pt idx="46">
                  <c:v>0.85394755903230468</c:v>
                </c:pt>
                <c:pt idx="47">
                  <c:v>0.84773046871259283</c:v>
                </c:pt>
                <c:pt idx="48">
                  <c:v>0.85295504789977894</c:v>
                </c:pt>
                <c:pt idx="50">
                  <c:v>0.90183248584860409</c:v>
                </c:pt>
                <c:pt idx="51">
                  <c:v>0.80850649666650443</c:v>
                </c:pt>
                <c:pt idx="52">
                  <c:v>0.8344511941416326</c:v>
                </c:pt>
                <c:pt idx="53">
                  <c:v>0.83881285680769535</c:v>
                </c:pt>
                <c:pt idx="54">
                  <c:v>0.8253779039291137</c:v>
                </c:pt>
                <c:pt idx="55">
                  <c:v>0.81270420180837322</c:v>
                </c:pt>
                <c:pt idx="56">
                  <c:v>0.8233587204874333</c:v>
                </c:pt>
                <c:pt idx="57">
                  <c:v>0.82861314961809207</c:v>
                </c:pt>
                <c:pt idx="58">
                  <c:v>0.85916862157394513</c:v>
                </c:pt>
                <c:pt idx="59">
                  <c:v>0.8568019609256724</c:v>
                </c:pt>
                <c:pt idx="60">
                  <c:v>0.8483629238754592</c:v>
                </c:pt>
                <c:pt idx="61">
                  <c:v>0.85042819249715795</c:v>
                </c:pt>
                <c:pt idx="62">
                  <c:v>0.83278200463116103</c:v>
                </c:pt>
                <c:pt idx="63">
                  <c:v>0.82792416936561597</c:v>
                </c:pt>
                <c:pt idx="69">
                  <c:v>0.85760200777202067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28-41D2-91BA-02BC1D3F1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C/N ratio 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 (kg N m-3 d-1)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k/Treactor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'S-SBR'!$J$4:$J$60</c:f>
              <c:numCache>
                <c:formatCode>0.00</c:formatCode>
                <c:ptCount val="57"/>
                <c:pt idx="0">
                  <c:v>27.744652777777791</c:v>
                </c:pt>
                <c:pt idx="6">
                  <c:v>29.483194444444461</c:v>
                </c:pt>
                <c:pt idx="7">
                  <c:v>28.499097222222229</c:v>
                </c:pt>
                <c:pt idx="8">
                  <c:v>26.52756944444446</c:v>
                </c:pt>
                <c:pt idx="10">
                  <c:v>24.466111111111111</c:v>
                </c:pt>
                <c:pt idx="11">
                  <c:v>24.490555555555581</c:v>
                </c:pt>
                <c:pt idx="14">
                  <c:v>28.499097222222229</c:v>
                </c:pt>
                <c:pt idx="15">
                  <c:v>26.52756944444446</c:v>
                </c:pt>
                <c:pt idx="27">
                  <c:v>23.310208333333321</c:v>
                </c:pt>
                <c:pt idx="28">
                  <c:v>23.544861111111128</c:v>
                </c:pt>
                <c:pt idx="29">
                  <c:v>23.76194444444441</c:v>
                </c:pt>
                <c:pt idx="30">
                  <c:v>23.896666666666668</c:v>
                </c:pt>
                <c:pt idx="31">
                  <c:v>24.136527777777768</c:v>
                </c:pt>
                <c:pt idx="32">
                  <c:v>24.795902777777759</c:v>
                </c:pt>
                <c:pt idx="33">
                  <c:v>25.985902777777781</c:v>
                </c:pt>
                <c:pt idx="34">
                  <c:v>25.75125000000001</c:v>
                </c:pt>
                <c:pt idx="35">
                  <c:v>25.572986111111131</c:v>
                </c:pt>
                <c:pt idx="36">
                  <c:v>24.929722222222239</c:v>
                </c:pt>
                <c:pt idx="37">
                  <c:v>22.88493055555556</c:v>
                </c:pt>
                <c:pt idx="38">
                  <c:v>22.29333333333334</c:v>
                </c:pt>
                <c:pt idx="39">
                  <c:v>21.368750000000009</c:v>
                </c:pt>
                <c:pt idx="41">
                  <c:v>21.566388888888881</c:v>
                </c:pt>
                <c:pt idx="42">
                  <c:v>22.588541666666689</c:v>
                </c:pt>
                <c:pt idx="43">
                  <c:v>23.60291666666668</c:v>
                </c:pt>
                <c:pt idx="44" formatCode="0">
                  <c:v>23.053402777777791</c:v>
                </c:pt>
                <c:pt idx="45" formatCode="0">
                  <c:v>22.570000000000011</c:v>
                </c:pt>
                <c:pt idx="46" formatCode="0">
                  <c:v>21.71083333333333</c:v>
                </c:pt>
                <c:pt idx="47" formatCode="0">
                  <c:v>21.26076388888891</c:v>
                </c:pt>
                <c:pt idx="48" formatCode="0">
                  <c:v>21.77097222222222</c:v>
                </c:pt>
                <c:pt idx="50" formatCode="0">
                  <c:v>23.578958333333318</c:v>
                </c:pt>
                <c:pt idx="51" formatCode="0">
                  <c:v>24.358819444444439</c:v>
                </c:pt>
                <c:pt idx="52" formatCode="0">
                  <c:v>22.216250000000009</c:v>
                </c:pt>
                <c:pt idx="53" formatCode="0">
                  <c:v>20.712430555555571</c:v>
                </c:pt>
                <c:pt idx="54" formatCode="0">
                  <c:v>21.635103448275871</c:v>
                </c:pt>
                <c:pt idx="55" formatCode="0">
                  <c:v>22.737999999999989</c:v>
                </c:pt>
                <c:pt idx="56" formatCode="0">
                  <c:v>23.836275862068959</c:v>
                </c:pt>
              </c:numCache>
            </c:numRef>
          </c:xVal>
          <c:yVal>
            <c:numRef>
              <c:f>'S-SBR'!#REF!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AF-488B-BB7E-E0EEFD697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Reactor temperature (°C)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  <c:majorUnit val="10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rate</a:t>
                </a:r>
                <a:r>
                  <a:rPr lang="en-GB" baseline="0"/>
                  <a:t> k (d-1)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k/NRR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'S-SBR'!$AM$4:$AM$60</c:f>
              <c:numCache>
                <c:formatCode>0.000</c:formatCode>
                <c:ptCount val="57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</c:numCache>
            </c:numRef>
          </c:xVal>
          <c:yVal>
            <c:numRef>
              <c:f>'S-SBR'!#REF!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CE-4B32-A07D-E8027D9F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NRR (kg N m-3 d-1)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rate</a:t>
                </a:r>
                <a:r>
                  <a:rPr lang="en-GB" baseline="0"/>
                  <a:t> k (d-1)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NRR</a:t>
            </a:r>
            <a:r>
              <a:rPr lang="en-GB" sz="1000" baseline="0"/>
              <a:t> &amp; ORR/DO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Nitrogen removal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'S-SBR'!$H$4:$H$60</c:f>
              <c:numCache>
                <c:formatCode>0.00</c:formatCode>
                <c:ptCount val="57"/>
                <c:pt idx="0">
                  <c:v>0.26</c:v>
                </c:pt>
                <c:pt idx="6">
                  <c:v>0.2129701596113808</c:v>
                </c:pt>
                <c:pt idx="7">
                  <c:v>0.22548230395558641</c:v>
                </c:pt>
                <c:pt idx="8">
                  <c:v>0.1413185287994462</c:v>
                </c:pt>
                <c:pt idx="10">
                  <c:v>9.8979875086745633E-2</c:v>
                </c:pt>
                <c:pt idx="11">
                  <c:v>6.3908205841446838E-2</c:v>
                </c:pt>
                <c:pt idx="14">
                  <c:v>0.22548230395558641</c:v>
                </c:pt>
                <c:pt idx="15">
                  <c:v>0.1413185287994462</c:v>
                </c:pt>
                <c:pt idx="27">
                  <c:v>0.12858431644691329</c:v>
                </c:pt>
                <c:pt idx="28">
                  <c:v>0.20159611380985409</c:v>
                </c:pt>
                <c:pt idx="29">
                  <c:v>0.2291880638445522</c:v>
                </c:pt>
                <c:pt idx="30">
                  <c:v>0.20868147120055491</c:v>
                </c:pt>
                <c:pt idx="31">
                  <c:v>0.20270645385149219</c:v>
                </c:pt>
                <c:pt idx="32">
                  <c:v>0.18540333796940209</c:v>
                </c:pt>
                <c:pt idx="33">
                  <c:v>0.15982650936849441</c:v>
                </c:pt>
                <c:pt idx="34">
                  <c:v>0.16191533657182561</c:v>
                </c:pt>
                <c:pt idx="35">
                  <c:v>0.19148507980569091</c:v>
                </c:pt>
                <c:pt idx="36">
                  <c:v>0.14692574600971589</c:v>
                </c:pt>
                <c:pt idx="37">
                  <c:v>0.16725884802220739</c:v>
                </c:pt>
                <c:pt idx="38">
                  <c:v>0.17746009715475389</c:v>
                </c:pt>
                <c:pt idx="39">
                  <c:v>0.20008344923504959</c:v>
                </c:pt>
                <c:pt idx="41">
                  <c:v>0.15274809160305419</c:v>
                </c:pt>
                <c:pt idx="42">
                  <c:v>0.1049132546842473</c:v>
                </c:pt>
                <c:pt idx="43">
                  <c:v>0.22621096460791151</c:v>
                </c:pt>
                <c:pt idx="44">
                  <c:v>0.20128383067314409</c:v>
                </c:pt>
                <c:pt idx="45">
                  <c:v>0.16830673143650279</c:v>
                </c:pt>
                <c:pt idx="46">
                  <c:v>0.162809457579973</c:v>
                </c:pt>
                <c:pt idx="47">
                  <c:v>0.17459403192227649</c:v>
                </c:pt>
                <c:pt idx="48">
                  <c:v>0.11076335877862679</c:v>
                </c:pt>
                <c:pt idx="50">
                  <c:v>0.14396252602359519</c:v>
                </c:pt>
                <c:pt idx="51">
                  <c:v>0.17793893129771041</c:v>
                </c:pt>
                <c:pt idx="52">
                  <c:v>0.17337265787647529</c:v>
                </c:pt>
                <c:pt idx="53">
                  <c:v>0.14687065368567481</c:v>
                </c:pt>
                <c:pt idx="54">
                  <c:v>0.19396252602359529</c:v>
                </c:pt>
                <c:pt idx="55">
                  <c:v>0.16741845940319261</c:v>
                </c:pt>
                <c:pt idx="56">
                  <c:v>0.14072172102706509</c:v>
                </c:pt>
              </c:numCache>
            </c:numRef>
          </c:xVal>
          <c:yVal>
            <c:numRef>
              <c:f>'S-SBR'!$AM$4:$AM$60</c:f>
              <c:numCache>
                <c:formatCode>0.000</c:formatCode>
                <c:ptCount val="57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2B-4661-BFB8-A249F899BC51}"/>
            </c:ext>
          </c:extLst>
        </c:ser>
        <c:ser>
          <c:idx val="0"/>
          <c:order val="1"/>
          <c:tx>
            <c:v>Organic removal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'S-SBR'!$H$4:$H$60</c:f>
              <c:numCache>
                <c:formatCode>0.00</c:formatCode>
                <c:ptCount val="57"/>
                <c:pt idx="0">
                  <c:v>0.26</c:v>
                </c:pt>
                <c:pt idx="6">
                  <c:v>0.2129701596113808</c:v>
                </c:pt>
                <c:pt idx="7">
                  <c:v>0.22548230395558641</c:v>
                </c:pt>
                <c:pt idx="8">
                  <c:v>0.1413185287994462</c:v>
                </c:pt>
                <c:pt idx="10">
                  <c:v>9.8979875086745633E-2</c:v>
                </c:pt>
                <c:pt idx="11">
                  <c:v>6.3908205841446838E-2</c:v>
                </c:pt>
                <c:pt idx="14">
                  <c:v>0.22548230395558641</c:v>
                </c:pt>
                <c:pt idx="15">
                  <c:v>0.1413185287994462</c:v>
                </c:pt>
                <c:pt idx="27">
                  <c:v>0.12858431644691329</c:v>
                </c:pt>
                <c:pt idx="28">
                  <c:v>0.20159611380985409</c:v>
                </c:pt>
                <c:pt idx="29">
                  <c:v>0.2291880638445522</c:v>
                </c:pt>
                <c:pt idx="30">
                  <c:v>0.20868147120055491</c:v>
                </c:pt>
                <c:pt idx="31">
                  <c:v>0.20270645385149219</c:v>
                </c:pt>
                <c:pt idx="32">
                  <c:v>0.18540333796940209</c:v>
                </c:pt>
                <c:pt idx="33">
                  <c:v>0.15982650936849441</c:v>
                </c:pt>
                <c:pt idx="34">
                  <c:v>0.16191533657182561</c:v>
                </c:pt>
                <c:pt idx="35">
                  <c:v>0.19148507980569091</c:v>
                </c:pt>
                <c:pt idx="36">
                  <c:v>0.14692574600971589</c:v>
                </c:pt>
                <c:pt idx="37">
                  <c:v>0.16725884802220739</c:v>
                </c:pt>
                <c:pt idx="38">
                  <c:v>0.17746009715475389</c:v>
                </c:pt>
                <c:pt idx="39">
                  <c:v>0.20008344923504959</c:v>
                </c:pt>
                <c:pt idx="41">
                  <c:v>0.15274809160305419</c:v>
                </c:pt>
                <c:pt idx="42">
                  <c:v>0.1049132546842473</c:v>
                </c:pt>
                <c:pt idx="43">
                  <c:v>0.22621096460791151</c:v>
                </c:pt>
                <c:pt idx="44">
                  <c:v>0.20128383067314409</c:v>
                </c:pt>
                <c:pt idx="45">
                  <c:v>0.16830673143650279</c:v>
                </c:pt>
                <c:pt idx="46">
                  <c:v>0.162809457579973</c:v>
                </c:pt>
                <c:pt idx="47">
                  <c:v>0.17459403192227649</c:v>
                </c:pt>
                <c:pt idx="48">
                  <c:v>0.11076335877862679</c:v>
                </c:pt>
                <c:pt idx="50">
                  <c:v>0.14396252602359519</c:v>
                </c:pt>
                <c:pt idx="51">
                  <c:v>0.17793893129771041</c:v>
                </c:pt>
                <c:pt idx="52">
                  <c:v>0.17337265787647529</c:v>
                </c:pt>
                <c:pt idx="53">
                  <c:v>0.14687065368567481</c:v>
                </c:pt>
                <c:pt idx="54">
                  <c:v>0.19396252602359529</c:v>
                </c:pt>
                <c:pt idx="55">
                  <c:v>0.16741845940319261</c:v>
                </c:pt>
                <c:pt idx="56">
                  <c:v>0.14072172102706509</c:v>
                </c:pt>
              </c:numCache>
            </c:numRef>
          </c:xVal>
          <c:yVal>
            <c:numRef>
              <c:f>'S-SBR'!$AJ$4:$AJ$60</c:f>
              <c:numCache>
                <c:formatCode>0.000</c:formatCode>
                <c:ptCount val="57"/>
                <c:pt idx="0">
                  <c:v>0</c:v>
                </c:pt>
                <c:pt idx="6">
                  <c:v>1.7290875000000001</c:v>
                </c:pt>
                <c:pt idx="7">
                  <c:v>1.7044109999999999</c:v>
                </c:pt>
                <c:pt idx="8">
                  <c:v>1.9571299999999996</c:v>
                </c:pt>
                <c:pt idx="10">
                  <c:v>2.0502720000000001</c:v>
                </c:pt>
                <c:pt idx="11">
                  <c:v>3.1972500000000001E-2</c:v>
                </c:pt>
                <c:pt idx="14">
                  <c:v>0</c:v>
                </c:pt>
                <c:pt idx="15">
                  <c:v>0</c:v>
                </c:pt>
                <c:pt idx="27">
                  <c:v>1.0655432999999999</c:v>
                </c:pt>
                <c:pt idx="28">
                  <c:v>0.80509649999999999</c:v>
                </c:pt>
                <c:pt idx="29">
                  <c:v>0.98908399999999996</c:v>
                </c:pt>
                <c:pt idx="30">
                  <c:v>0.9609859999999999</c:v>
                </c:pt>
                <c:pt idx="31">
                  <c:v>0.97584199999999988</c:v>
                </c:pt>
                <c:pt idx="32">
                  <c:v>0.96254000000000006</c:v>
                </c:pt>
                <c:pt idx="33">
                  <c:v>1.0346970000000002</c:v>
                </c:pt>
                <c:pt idx="34">
                  <c:v>0.91490909999999981</c:v>
                </c:pt>
                <c:pt idx="35">
                  <c:v>0.96807319999999997</c:v>
                </c:pt>
                <c:pt idx="36">
                  <c:v>1.1170116000000001</c:v>
                </c:pt>
                <c:pt idx="37">
                  <c:v>0.9755410000000001</c:v>
                </c:pt>
                <c:pt idx="38">
                  <c:v>0.97335199999999988</c:v>
                </c:pt>
                <c:pt idx="39">
                  <c:v>0.89525399999999999</c:v>
                </c:pt>
                <c:pt idx="41">
                  <c:v>0.4956029999999999</c:v>
                </c:pt>
                <c:pt idx="42">
                  <c:v>0.72298800000000019</c:v>
                </c:pt>
                <c:pt idx="43">
                  <c:v>0.84640999999999988</c:v>
                </c:pt>
                <c:pt idx="44">
                  <c:v>0.30624999999999997</c:v>
                </c:pt>
                <c:pt idx="45">
                  <c:v>0.29655999999999993</c:v>
                </c:pt>
                <c:pt idx="46">
                  <c:v>0.52257600000000004</c:v>
                </c:pt>
                <c:pt idx="47">
                  <c:v>0.50834000000000001</c:v>
                </c:pt>
                <c:pt idx="48">
                  <c:v>0.41096650000000012</c:v>
                </c:pt>
                <c:pt idx="50">
                  <c:v>0.19027500000000003</c:v>
                </c:pt>
                <c:pt idx="51">
                  <c:v>6.2918499999999988E-2</c:v>
                </c:pt>
                <c:pt idx="52">
                  <c:v>0.23247249999999997</c:v>
                </c:pt>
                <c:pt idx="53">
                  <c:v>0.25608725000000004</c:v>
                </c:pt>
                <c:pt idx="54">
                  <c:v>0.30031125000000003</c:v>
                </c:pt>
                <c:pt idx="55">
                  <c:v>0.33104899999999998</c:v>
                </c:pt>
                <c:pt idx="56">
                  <c:v>0.26698125000000006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2B-4661-BFB8-A249F899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0.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DO (mg/L)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NRR, ORR (kg </a:t>
                </a:r>
                <a:r>
                  <a:rPr lang="en-GB" baseline="0"/>
                  <a:t> N &amp; COD m-3 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NRR</a:t>
            </a:r>
            <a:r>
              <a:rPr lang="en-GB" sz="1000" baseline="0"/>
              <a:t> &amp; ORR/pH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Nitrogen removal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'S-SBR'!$I$4:$I$60</c:f>
              <c:numCache>
                <c:formatCode>0.00</c:formatCode>
                <c:ptCount val="57"/>
                <c:pt idx="0">
                  <c:v>6.7837522553782064</c:v>
                </c:pt>
                <c:pt idx="6">
                  <c:v>7.2713740458015463</c:v>
                </c:pt>
                <c:pt idx="7">
                  <c:v>7.1040922970159821</c:v>
                </c:pt>
                <c:pt idx="8">
                  <c:v>6.8370596807772053</c:v>
                </c:pt>
                <c:pt idx="10">
                  <c:v>6.7906217904233026</c:v>
                </c:pt>
                <c:pt idx="11">
                  <c:v>6.7852906815020857</c:v>
                </c:pt>
                <c:pt idx="14">
                  <c:v>7.1040922970159821</c:v>
                </c:pt>
                <c:pt idx="15">
                  <c:v>6.8370596807772053</c:v>
                </c:pt>
                <c:pt idx="27">
                  <c:v>6.9010458015267444</c:v>
                </c:pt>
                <c:pt idx="28">
                  <c:v>6.8834240111034077</c:v>
                </c:pt>
                <c:pt idx="29">
                  <c:v>6.8702421929215536</c:v>
                </c:pt>
                <c:pt idx="30">
                  <c:v>6.8312519083969274</c:v>
                </c:pt>
                <c:pt idx="31">
                  <c:v>6.8776606523247494</c:v>
                </c:pt>
                <c:pt idx="32">
                  <c:v>6.8572774687065339</c:v>
                </c:pt>
                <c:pt idx="33">
                  <c:v>6.7975170020818707</c:v>
                </c:pt>
                <c:pt idx="34">
                  <c:v>6.8135093684940768</c:v>
                </c:pt>
                <c:pt idx="35">
                  <c:v>6.8346897987508601</c:v>
                </c:pt>
                <c:pt idx="36">
                  <c:v>6.801646773074272</c:v>
                </c:pt>
                <c:pt idx="37">
                  <c:v>6.8070319222762352</c:v>
                </c:pt>
                <c:pt idx="38">
                  <c:v>6.8070687022900849</c:v>
                </c:pt>
                <c:pt idx="39">
                  <c:v>6.8356502086230844</c:v>
                </c:pt>
                <c:pt idx="41">
                  <c:v>6.7924198473282722</c:v>
                </c:pt>
                <c:pt idx="42">
                  <c:v>6.7995079805690377</c:v>
                </c:pt>
                <c:pt idx="43">
                  <c:v>6.8499264399722168</c:v>
                </c:pt>
                <c:pt idx="44">
                  <c:v>6.8308868841082386</c:v>
                </c:pt>
                <c:pt idx="45">
                  <c:v>6.8106335877862403</c:v>
                </c:pt>
                <c:pt idx="46">
                  <c:v>6.8108929068150008</c:v>
                </c:pt>
                <c:pt idx="47">
                  <c:v>6.8027196391394744</c:v>
                </c:pt>
                <c:pt idx="48">
                  <c:v>6.7861672449687864</c:v>
                </c:pt>
                <c:pt idx="50">
                  <c:v>6.8129618320610748</c:v>
                </c:pt>
                <c:pt idx="51">
                  <c:v>6.8145211658570819</c:v>
                </c:pt>
                <c:pt idx="52">
                  <c:v>6.8169604441360523</c:v>
                </c:pt>
                <c:pt idx="53">
                  <c:v>6.811801112656501</c:v>
                </c:pt>
                <c:pt idx="54">
                  <c:v>6.8281561415683978</c:v>
                </c:pt>
                <c:pt idx="55">
                  <c:v>6.8095801526717858</c:v>
                </c:pt>
                <c:pt idx="56">
                  <c:v>6.7956766134628843</c:v>
                </c:pt>
              </c:numCache>
            </c:numRef>
          </c:xVal>
          <c:yVal>
            <c:numRef>
              <c:f>'S-SBR'!$AM$4:$AM$60</c:f>
              <c:numCache>
                <c:formatCode>0.000</c:formatCode>
                <c:ptCount val="57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CD-44A4-A541-81ED3672DE9D}"/>
            </c:ext>
          </c:extLst>
        </c:ser>
        <c:ser>
          <c:idx val="0"/>
          <c:order val="1"/>
          <c:tx>
            <c:v>Organic removal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'S-SBR'!$I$4:$I$60</c:f>
              <c:numCache>
                <c:formatCode>0.00</c:formatCode>
                <c:ptCount val="57"/>
                <c:pt idx="0">
                  <c:v>6.7837522553782064</c:v>
                </c:pt>
                <c:pt idx="6">
                  <c:v>7.2713740458015463</c:v>
                </c:pt>
                <c:pt idx="7">
                  <c:v>7.1040922970159821</c:v>
                </c:pt>
                <c:pt idx="8">
                  <c:v>6.8370596807772053</c:v>
                </c:pt>
                <c:pt idx="10">
                  <c:v>6.7906217904233026</c:v>
                </c:pt>
                <c:pt idx="11">
                  <c:v>6.7852906815020857</c:v>
                </c:pt>
                <c:pt idx="14">
                  <c:v>7.1040922970159821</c:v>
                </c:pt>
                <c:pt idx="15">
                  <c:v>6.8370596807772053</c:v>
                </c:pt>
                <c:pt idx="27">
                  <c:v>6.9010458015267444</c:v>
                </c:pt>
                <c:pt idx="28">
                  <c:v>6.8834240111034077</c:v>
                </c:pt>
                <c:pt idx="29">
                  <c:v>6.8702421929215536</c:v>
                </c:pt>
                <c:pt idx="30">
                  <c:v>6.8312519083969274</c:v>
                </c:pt>
                <c:pt idx="31">
                  <c:v>6.8776606523247494</c:v>
                </c:pt>
                <c:pt idx="32">
                  <c:v>6.8572774687065339</c:v>
                </c:pt>
                <c:pt idx="33">
                  <c:v>6.7975170020818707</c:v>
                </c:pt>
                <c:pt idx="34">
                  <c:v>6.8135093684940768</c:v>
                </c:pt>
                <c:pt idx="35">
                  <c:v>6.8346897987508601</c:v>
                </c:pt>
                <c:pt idx="36">
                  <c:v>6.801646773074272</c:v>
                </c:pt>
                <c:pt idx="37">
                  <c:v>6.8070319222762352</c:v>
                </c:pt>
                <c:pt idx="38">
                  <c:v>6.8070687022900849</c:v>
                </c:pt>
                <c:pt idx="39">
                  <c:v>6.8356502086230844</c:v>
                </c:pt>
                <c:pt idx="41">
                  <c:v>6.7924198473282722</c:v>
                </c:pt>
                <c:pt idx="42">
                  <c:v>6.7995079805690377</c:v>
                </c:pt>
                <c:pt idx="43">
                  <c:v>6.8499264399722168</c:v>
                </c:pt>
                <c:pt idx="44">
                  <c:v>6.8308868841082386</c:v>
                </c:pt>
                <c:pt idx="45">
                  <c:v>6.8106335877862403</c:v>
                </c:pt>
                <c:pt idx="46">
                  <c:v>6.8108929068150008</c:v>
                </c:pt>
                <c:pt idx="47">
                  <c:v>6.8027196391394744</c:v>
                </c:pt>
                <c:pt idx="48">
                  <c:v>6.7861672449687864</c:v>
                </c:pt>
                <c:pt idx="50">
                  <c:v>6.8129618320610748</c:v>
                </c:pt>
                <c:pt idx="51">
                  <c:v>6.8145211658570819</c:v>
                </c:pt>
                <c:pt idx="52">
                  <c:v>6.8169604441360523</c:v>
                </c:pt>
                <c:pt idx="53">
                  <c:v>6.811801112656501</c:v>
                </c:pt>
                <c:pt idx="54">
                  <c:v>6.8281561415683978</c:v>
                </c:pt>
                <c:pt idx="55">
                  <c:v>6.8095801526717858</c:v>
                </c:pt>
                <c:pt idx="56">
                  <c:v>6.7956766134628843</c:v>
                </c:pt>
              </c:numCache>
            </c:numRef>
          </c:xVal>
          <c:yVal>
            <c:numRef>
              <c:f>'S-SBR'!$AJ$4:$AJ$60</c:f>
              <c:numCache>
                <c:formatCode>0.000</c:formatCode>
                <c:ptCount val="57"/>
                <c:pt idx="0">
                  <c:v>0</c:v>
                </c:pt>
                <c:pt idx="6">
                  <c:v>1.7290875000000001</c:v>
                </c:pt>
                <c:pt idx="7">
                  <c:v>1.7044109999999999</c:v>
                </c:pt>
                <c:pt idx="8">
                  <c:v>1.9571299999999996</c:v>
                </c:pt>
                <c:pt idx="10">
                  <c:v>2.0502720000000001</c:v>
                </c:pt>
                <c:pt idx="11">
                  <c:v>3.1972500000000001E-2</c:v>
                </c:pt>
                <c:pt idx="14">
                  <c:v>0</c:v>
                </c:pt>
                <c:pt idx="15">
                  <c:v>0</c:v>
                </c:pt>
                <c:pt idx="27">
                  <c:v>1.0655432999999999</c:v>
                </c:pt>
                <c:pt idx="28">
                  <c:v>0.80509649999999999</c:v>
                </c:pt>
                <c:pt idx="29">
                  <c:v>0.98908399999999996</c:v>
                </c:pt>
                <c:pt idx="30">
                  <c:v>0.9609859999999999</c:v>
                </c:pt>
                <c:pt idx="31">
                  <c:v>0.97584199999999988</c:v>
                </c:pt>
                <c:pt idx="32">
                  <c:v>0.96254000000000006</c:v>
                </c:pt>
                <c:pt idx="33">
                  <c:v>1.0346970000000002</c:v>
                </c:pt>
                <c:pt idx="34">
                  <c:v>0.91490909999999981</c:v>
                </c:pt>
                <c:pt idx="35">
                  <c:v>0.96807319999999997</c:v>
                </c:pt>
                <c:pt idx="36">
                  <c:v>1.1170116000000001</c:v>
                </c:pt>
                <c:pt idx="37">
                  <c:v>0.9755410000000001</c:v>
                </c:pt>
                <c:pt idx="38">
                  <c:v>0.97335199999999988</c:v>
                </c:pt>
                <c:pt idx="39">
                  <c:v>0.89525399999999999</c:v>
                </c:pt>
                <c:pt idx="41">
                  <c:v>0.4956029999999999</c:v>
                </c:pt>
                <c:pt idx="42">
                  <c:v>0.72298800000000019</c:v>
                </c:pt>
                <c:pt idx="43">
                  <c:v>0.84640999999999988</c:v>
                </c:pt>
                <c:pt idx="44">
                  <c:v>0.30624999999999997</c:v>
                </c:pt>
                <c:pt idx="45">
                  <c:v>0.29655999999999993</c:v>
                </c:pt>
                <c:pt idx="46">
                  <c:v>0.52257600000000004</c:v>
                </c:pt>
                <c:pt idx="47">
                  <c:v>0.50834000000000001</c:v>
                </c:pt>
                <c:pt idx="48">
                  <c:v>0.41096650000000012</c:v>
                </c:pt>
                <c:pt idx="50">
                  <c:v>0.19027500000000003</c:v>
                </c:pt>
                <c:pt idx="51">
                  <c:v>6.2918499999999988E-2</c:v>
                </c:pt>
                <c:pt idx="52">
                  <c:v>0.23247249999999997</c:v>
                </c:pt>
                <c:pt idx="53">
                  <c:v>0.25608725000000004</c:v>
                </c:pt>
                <c:pt idx="54">
                  <c:v>0.30031125000000003</c:v>
                </c:pt>
                <c:pt idx="55">
                  <c:v>0.33104899999999998</c:v>
                </c:pt>
                <c:pt idx="56">
                  <c:v>0.26698125000000006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CD-44A4-A541-81ED3672D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in val="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pH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NRR, ORR (kg </a:t>
                </a:r>
                <a:r>
                  <a:rPr lang="en-GB" baseline="0"/>
                  <a:t> N &amp; COD m-3 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DO</a:t>
            </a:r>
            <a:r>
              <a:rPr lang="en-GB" sz="1000" baseline="0"/>
              <a:t>/pH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'S-SBR'!$I$4:$I$60</c:f>
              <c:numCache>
                <c:formatCode>0.00</c:formatCode>
                <c:ptCount val="57"/>
                <c:pt idx="0">
                  <c:v>6.7837522553782064</c:v>
                </c:pt>
                <c:pt idx="6">
                  <c:v>7.2713740458015463</c:v>
                </c:pt>
                <c:pt idx="7">
                  <c:v>7.1040922970159821</c:v>
                </c:pt>
                <c:pt idx="8">
                  <c:v>6.8370596807772053</c:v>
                </c:pt>
                <c:pt idx="10">
                  <c:v>6.7906217904233026</c:v>
                </c:pt>
                <c:pt idx="11">
                  <c:v>6.7852906815020857</c:v>
                </c:pt>
                <c:pt idx="14">
                  <c:v>7.1040922970159821</c:v>
                </c:pt>
                <c:pt idx="15">
                  <c:v>6.8370596807772053</c:v>
                </c:pt>
                <c:pt idx="27">
                  <c:v>6.9010458015267444</c:v>
                </c:pt>
                <c:pt idx="28">
                  <c:v>6.8834240111034077</c:v>
                </c:pt>
                <c:pt idx="29">
                  <c:v>6.8702421929215536</c:v>
                </c:pt>
                <c:pt idx="30">
                  <c:v>6.8312519083969274</c:v>
                </c:pt>
                <c:pt idx="31">
                  <c:v>6.8776606523247494</c:v>
                </c:pt>
                <c:pt idx="32">
                  <c:v>6.8572774687065339</c:v>
                </c:pt>
                <c:pt idx="33">
                  <c:v>6.7975170020818707</c:v>
                </c:pt>
                <c:pt idx="34">
                  <c:v>6.8135093684940768</c:v>
                </c:pt>
                <c:pt idx="35">
                  <c:v>6.8346897987508601</c:v>
                </c:pt>
                <c:pt idx="36">
                  <c:v>6.801646773074272</c:v>
                </c:pt>
                <c:pt idx="37">
                  <c:v>6.8070319222762352</c:v>
                </c:pt>
                <c:pt idx="38">
                  <c:v>6.8070687022900849</c:v>
                </c:pt>
                <c:pt idx="39">
                  <c:v>6.8356502086230844</c:v>
                </c:pt>
                <c:pt idx="41">
                  <c:v>6.7924198473282722</c:v>
                </c:pt>
                <c:pt idx="42">
                  <c:v>6.7995079805690377</c:v>
                </c:pt>
                <c:pt idx="43">
                  <c:v>6.8499264399722168</c:v>
                </c:pt>
                <c:pt idx="44">
                  <c:v>6.8308868841082386</c:v>
                </c:pt>
                <c:pt idx="45">
                  <c:v>6.8106335877862403</c:v>
                </c:pt>
                <c:pt idx="46">
                  <c:v>6.8108929068150008</c:v>
                </c:pt>
                <c:pt idx="47">
                  <c:v>6.8027196391394744</c:v>
                </c:pt>
                <c:pt idx="48">
                  <c:v>6.7861672449687864</c:v>
                </c:pt>
                <c:pt idx="50">
                  <c:v>6.8129618320610748</c:v>
                </c:pt>
                <c:pt idx="51">
                  <c:v>6.8145211658570819</c:v>
                </c:pt>
                <c:pt idx="52">
                  <c:v>6.8169604441360523</c:v>
                </c:pt>
                <c:pt idx="53">
                  <c:v>6.811801112656501</c:v>
                </c:pt>
                <c:pt idx="54">
                  <c:v>6.8281561415683978</c:v>
                </c:pt>
                <c:pt idx="55">
                  <c:v>6.8095801526717858</c:v>
                </c:pt>
                <c:pt idx="56">
                  <c:v>6.7956766134628843</c:v>
                </c:pt>
              </c:numCache>
            </c:numRef>
          </c:xVal>
          <c:yVal>
            <c:numRef>
              <c:f>'S-SBR'!$H$4:$H$60</c:f>
              <c:numCache>
                <c:formatCode>0.00</c:formatCode>
                <c:ptCount val="57"/>
                <c:pt idx="0">
                  <c:v>0.26</c:v>
                </c:pt>
                <c:pt idx="6">
                  <c:v>0.2129701596113808</c:v>
                </c:pt>
                <c:pt idx="7">
                  <c:v>0.22548230395558641</c:v>
                </c:pt>
                <c:pt idx="8">
                  <c:v>0.1413185287994462</c:v>
                </c:pt>
                <c:pt idx="10">
                  <c:v>9.8979875086745633E-2</c:v>
                </c:pt>
                <c:pt idx="11">
                  <c:v>6.3908205841446838E-2</c:v>
                </c:pt>
                <c:pt idx="14">
                  <c:v>0.22548230395558641</c:v>
                </c:pt>
                <c:pt idx="15">
                  <c:v>0.1413185287994462</c:v>
                </c:pt>
                <c:pt idx="27">
                  <c:v>0.12858431644691329</c:v>
                </c:pt>
                <c:pt idx="28">
                  <c:v>0.20159611380985409</c:v>
                </c:pt>
                <c:pt idx="29">
                  <c:v>0.2291880638445522</c:v>
                </c:pt>
                <c:pt idx="30">
                  <c:v>0.20868147120055491</c:v>
                </c:pt>
                <c:pt idx="31">
                  <c:v>0.20270645385149219</c:v>
                </c:pt>
                <c:pt idx="32">
                  <c:v>0.18540333796940209</c:v>
                </c:pt>
                <c:pt idx="33">
                  <c:v>0.15982650936849441</c:v>
                </c:pt>
                <c:pt idx="34">
                  <c:v>0.16191533657182561</c:v>
                </c:pt>
                <c:pt idx="35">
                  <c:v>0.19148507980569091</c:v>
                </c:pt>
                <c:pt idx="36">
                  <c:v>0.14692574600971589</c:v>
                </c:pt>
                <c:pt idx="37">
                  <c:v>0.16725884802220739</c:v>
                </c:pt>
                <c:pt idx="38">
                  <c:v>0.17746009715475389</c:v>
                </c:pt>
                <c:pt idx="39">
                  <c:v>0.20008344923504959</c:v>
                </c:pt>
                <c:pt idx="41">
                  <c:v>0.15274809160305419</c:v>
                </c:pt>
                <c:pt idx="42">
                  <c:v>0.1049132546842473</c:v>
                </c:pt>
                <c:pt idx="43">
                  <c:v>0.22621096460791151</c:v>
                </c:pt>
                <c:pt idx="44">
                  <c:v>0.20128383067314409</c:v>
                </c:pt>
                <c:pt idx="45">
                  <c:v>0.16830673143650279</c:v>
                </c:pt>
                <c:pt idx="46">
                  <c:v>0.162809457579973</c:v>
                </c:pt>
                <c:pt idx="47">
                  <c:v>0.17459403192227649</c:v>
                </c:pt>
                <c:pt idx="48">
                  <c:v>0.11076335877862679</c:v>
                </c:pt>
                <c:pt idx="50">
                  <c:v>0.14396252602359519</c:v>
                </c:pt>
                <c:pt idx="51">
                  <c:v>0.17793893129771041</c:v>
                </c:pt>
                <c:pt idx="52">
                  <c:v>0.17337265787647529</c:v>
                </c:pt>
                <c:pt idx="53">
                  <c:v>0.14687065368567481</c:v>
                </c:pt>
                <c:pt idx="54">
                  <c:v>0.19396252602359529</c:v>
                </c:pt>
                <c:pt idx="55">
                  <c:v>0.16741845940319261</c:v>
                </c:pt>
                <c:pt idx="56">
                  <c:v>0.14072172102706509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64-41FD-AEF2-3A7385C9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in val="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pH 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DO (mg/L)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0.2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REACTOR</a:t>
            </a:r>
            <a:r>
              <a:rPr lang="en-GB" sz="1000" baseline="0"/>
              <a:t> MLSS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66626984126987"/>
          <c:y val="0.1737173065239106"/>
          <c:w val="0.79053789682539677"/>
          <c:h val="0.59582926940498204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'S-SBR'!$B$4:$B$60</c:f>
              <c:numCache>
                <c:formatCode>General</c:formatCode>
                <c:ptCount val="5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</c:numCache>
            </c:numRef>
          </c:xVal>
          <c:yVal>
            <c:numRef>
              <c:f>'S-SBR'!$K$4:$K$60</c:f>
              <c:numCache>
                <c:formatCode>0</c:formatCode>
                <c:ptCount val="57"/>
                <c:pt idx="6">
                  <c:v>13200</c:v>
                </c:pt>
                <c:pt idx="8">
                  <c:v>14060</c:v>
                </c:pt>
                <c:pt idx="13">
                  <c:v>9500</c:v>
                </c:pt>
                <c:pt idx="29" formatCode="General">
                  <c:v>9340</c:v>
                </c:pt>
                <c:pt idx="30">
                  <c:v>8950</c:v>
                </c:pt>
                <c:pt idx="33" formatCode="General">
                  <c:v>9460</c:v>
                </c:pt>
                <c:pt idx="37">
                  <c:v>8086.95652173913</c:v>
                </c:pt>
                <c:pt idx="40" formatCode="General">
                  <c:v>8420</c:v>
                </c:pt>
                <c:pt idx="43" formatCode="General">
                  <c:v>8600</c:v>
                </c:pt>
                <c:pt idx="44">
                  <c:v>6170.2127659574471</c:v>
                </c:pt>
                <c:pt idx="48">
                  <c:v>8850</c:v>
                </c:pt>
                <c:pt idx="50">
                  <c:v>3857.1428571428573</c:v>
                </c:pt>
                <c:pt idx="51">
                  <c:v>7320</c:v>
                </c:pt>
                <c:pt idx="54">
                  <c:v>8020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E2-4111-8E42-8B3196C4714D}"/>
            </c:ext>
          </c:extLst>
        </c:ser>
        <c:ser>
          <c:idx val="1"/>
          <c:order val="1"/>
          <c:tx>
            <c:v>Media</c:v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'1-Media'!$I$4:$I$66</c:f>
              <c:numCache>
                <c:formatCode>General</c:formatCode>
                <c:ptCount val="63"/>
                <c:pt idx="6">
                  <c:v>6000</c:v>
                </c:pt>
                <c:pt idx="8">
                  <c:v>18750</c:v>
                </c:pt>
                <c:pt idx="28">
                  <c:v>17620</c:v>
                </c:pt>
                <c:pt idx="29" formatCode="0">
                  <c:v>13872.340425531916</c:v>
                </c:pt>
                <c:pt idx="33">
                  <c:v>6380</c:v>
                </c:pt>
                <c:pt idx="37" formatCode="0">
                  <c:v>9142.8571428571431</c:v>
                </c:pt>
                <c:pt idx="40">
                  <c:v>740</c:v>
                </c:pt>
                <c:pt idx="43">
                  <c:v>6980</c:v>
                </c:pt>
                <c:pt idx="44" formatCode="0">
                  <c:v>1366.6666666666667</c:v>
                </c:pt>
                <c:pt idx="48">
                  <c:v>1515</c:v>
                </c:pt>
                <c:pt idx="49">
                  <c:v>1085</c:v>
                </c:pt>
                <c:pt idx="50" formatCode="0">
                  <c:v>841.37931034482767</c:v>
                </c:pt>
                <c:pt idx="54">
                  <c:v>1340</c:v>
                </c:pt>
                <c:pt idx="58" formatCode="0">
                  <c:v>1351.3513513513515</c:v>
                </c:pt>
                <c:pt idx="61">
                  <c:v>960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E2-4111-8E42-8B3196C4714D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'G-SBR'!$J$4:$J$1048576</c:f>
              <c:numCache>
                <c:formatCode>General</c:formatCode>
                <c:ptCount val="1048573"/>
                <c:pt idx="29">
                  <c:v>4900</c:v>
                </c:pt>
                <c:pt idx="34">
                  <c:v>2570</c:v>
                </c:pt>
                <c:pt idx="40">
                  <c:v>1470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E2-4111-8E42-8B3196C47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529152"/>
        <c:axId val="494527232"/>
      </c:scatterChart>
      <c:valAx>
        <c:axId val="49452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Time,d 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527232"/>
        <c:crosses val="autoZero"/>
        <c:crossBetween val="midCat"/>
      </c:valAx>
      <c:valAx>
        <c:axId val="494527232"/>
        <c:scaling>
          <c:orientation val="minMax"/>
          <c:max val="25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Mixed</a:t>
                </a:r>
                <a:r>
                  <a:rPr lang="en-GB" baseline="0"/>
                  <a:t> liquors suspended solids, mg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529152"/>
        <c:crosses val="autoZero"/>
        <c:crossBetween val="midCat"/>
        <c:majorUnit val="5000"/>
      </c:valAx>
    </c:plotArea>
    <c:legend>
      <c:legendPos val="b"/>
      <c:layout>
        <c:manualLayout>
          <c:xMode val="edge"/>
          <c:yMode val="edge"/>
          <c:x val="4.1532794113039303E-3"/>
          <c:y val="0.92488058302844678"/>
          <c:w val="0.99584672058869605"/>
          <c:h val="7.5119416971553235E-2"/>
        </c:manualLayout>
      </c:layout>
      <c:overlay val="0"/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Nitrogen removal rates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779171765175255E-2"/>
          <c:y val="7.9719765264264122E-2"/>
          <c:w val="0.89551148989898999"/>
          <c:h val="0.69874606481481472"/>
        </c:manualLayout>
      </c:layout>
      <c:scatterChart>
        <c:scatterStyle val="lineMarker"/>
        <c:varyColors val="0"/>
        <c:ser>
          <c:idx val="1"/>
          <c:order val="0"/>
          <c:tx>
            <c:v>S-SBR</c:v>
          </c:tx>
          <c:spPr>
            <a:ln w="15875">
              <a:noFill/>
              <a:prstDash val="lgDash"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'S-SBR'!$B$4:$B$474</c:f>
              <c:numCache>
                <c:formatCode>General</c:formatCode>
                <c:ptCount val="4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'S-SBR'!$AO$4:$AO$474</c:f>
              <c:numCache>
                <c:formatCode>0%</c:formatCode>
                <c:ptCount val="471"/>
                <c:pt idx="0">
                  <c:v>0.48073542686113357</c:v>
                </c:pt>
                <c:pt idx="6">
                  <c:v>0.8464139199320978</c:v>
                </c:pt>
                <c:pt idx="7">
                  <c:v>0.83876146788990824</c:v>
                </c:pt>
                <c:pt idx="8">
                  <c:v>0.83979387148094353</c:v>
                </c:pt>
                <c:pt idx="10">
                  <c:v>0.89604106602911193</c:v>
                </c:pt>
                <c:pt idx="11">
                  <c:v>0.89548050482972574</c:v>
                </c:pt>
                <c:pt idx="14">
                  <c:v>0.90607971541757615</c:v>
                </c:pt>
                <c:pt idx="15">
                  <c:v>0.90772829509671626</c:v>
                </c:pt>
                <c:pt idx="27">
                  <c:v>0.87166700418523024</c:v>
                </c:pt>
                <c:pt idx="28">
                  <c:v>0.87327615489130439</c:v>
                </c:pt>
                <c:pt idx="29">
                  <c:v>0.88227826161670186</c:v>
                </c:pt>
                <c:pt idx="30">
                  <c:v>0.87385100836877494</c:v>
                </c:pt>
                <c:pt idx="31">
                  <c:v>0.87151345216636622</c:v>
                </c:pt>
                <c:pt idx="32">
                  <c:v>0.8579295304300415</c:v>
                </c:pt>
                <c:pt idx="33">
                  <c:v>0.86032898241875333</c:v>
                </c:pt>
                <c:pt idx="34">
                  <c:v>0.82904130086696282</c:v>
                </c:pt>
                <c:pt idx="35">
                  <c:v>0.83268413881542036</c:v>
                </c:pt>
                <c:pt idx="36">
                  <c:v>0.85443000415405612</c:v>
                </c:pt>
                <c:pt idx="37">
                  <c:v>0.82347100645450522</c:v>
                </c:pt>
                <c:pt idx="38">
                  <c:v>0.86013621357273473</c:v>
                </c:pt>
                <c:pt idx="39">
                  <c:v>0.84718950560688333</c:v>
                </c:pt>
                <c:pt idx="41">
                  <c:v>0.8377602654500208</c:v>
                </c:pt>
                <c:pt idx="42">
                  <c:v>0.85902853870993057</c:v>
                </c:pt>
                <c:pt idx="43">
                  <c:v>0.88680801745295879</c:v>
                </c:pt>
                <c:pt idx="44">
                  <c:v>0.85493146368363004</c:v>
                </c:pt>
                <c:pt idx="45">
                  <c:v>0.84586639150042042</c:v>
                </c:pt>
                <c:pt idx="46">
                  <c:v>0.85394755903230468</c:v>
                </c:pt>
                <c:pt idx="47">
                  <c:v>0.84773046871259283</c:v>
                </c:pt>
                <c:pt idx="48">
                  <c:v>0.85295504789977894</c:v>
                </c:pt>
                <c:pt idx="50">
                  <c:v>0.90183248584860409</c:v>
                </c:pt>
                <c:pt idx="51">
                  <c:v>0.80850649666650443</c:v>
                </c:pt>
                <c:pt idx="52">
                  <c:v>0.8344511941416326</c:v>
                </c:pt>
                <c:pt idx="53">
                  <c:v>0.83881285680769535</c:v>
                </c:pt>
                <c:pt idx="54">
                  <c:v>0.8253779039291137</c:v>
                </c:pt>
                <c:pt idx="55">
                  <c:v>0.81270420180837322</c:v>
                </c:pt>
                <c:pt idx="56">
                  <c:v>0.8233587204874333</c:v>
                </c:pt>
                <c:pt idx="57">
                  <c:v>0.82861314961809207</c:v>
                </c:pt>
                <c:pt idx="58">
                  <c:v>0.85916862157394513</c:v>
                </c:pt>
                <c:pt idx="59">
                  <c:v>0.8568019609256724</c:v>
                </c:pt>
                <c:pt idx="60">
                  <c:v>0.8483629238754592</c:v>
                </c:pt>
                <c:pt idx="61">
                  <c:v>0.85042819249715795</c:v>
                </c:pt>
                <c:pt idx="62">
                  <c:v>0.83278200463116103</c:v>
                </c:pt>
                <c:pt idx="63">
                  <c:v>0.82792416936561597</c:v>
                </c:pt>
                <c:pt idx="69">
                  <c:v>0.85760200777202067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EC-4F9D-A9EB-7E10C4E5B8FF}"/>
            </c:ext>
          </c:extLst>
        </c:ser>
        <c:ser>
          <c:idx val="3"/>
          <c:order val="1"/>
          <c:tx>
            <c:v>Media</c:v>
          </c:tx>
          <c:spPr>
            <a:ln w="15875">
              <a:noFill/>
              <a:prstDash val="lgDash"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'1-Media'!$AP$4:$AP$87</c:f>
              <c:numCache>
                <c:formatCode>0.00</c:formatCode>
                <c:ptCount val="84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28">
                  <c:v>8.7728429474033712E-2</c:v>
                </c:pt>
                <c:pt idx="29">
                  <c:v>0.24318898785013118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36">
                  <c:v>0.15107948972187452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4">
                  <c:v>4.8370031847860824E-2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0">
                  <c:v>0.17960219000307931</c:v>
                </c:pt>
                <c:pt idx="61">
                  <c:v>0.12819424836279361</c:v>
                </c:pt>
                <c:pt idx="62">
                  <c:v>0.22189351829957502</c:v>
                </c:pt>
                <c:pt idx="63">
                  <c:v>0.11493135222832548</c:v>
                </c:pt>
                <c:pt idx="64">
                  <c:v>0.12458911918068834</c:v>
                </c:pt>
                <c:pt idx="65">
                  <c:v>0.12494057735673778</c:v>
                </c:pt>
                <c:pt idx="66">
                  <c:v>0.12347562790813928</c:v>
                </c:pt>
                <c:pt idx="67">
                  <c:v>0.13945651572353823</c:v>
                </c:pt>
                <c:pt idx="68">
                  <c:v>0.19188711544185566</c:v>
                </c:pt>
                <c:pt idx="69">
                  <c:v>2.0486229376952454E-2</c:v>
                </c:pt>
                <c:pt idx="70">
                  <c:v>0.1938241224089656</c:v>
                </c:pt>
                <c:pt idx="73">
                  <c:v>2.3902009691636958E-2</c:v>
                </c:pt>
                <c:pt idx="74">
                  <c:v>3.0065434220976427E-2</c:v>
                </c:pt>
                <c:pt idx="77">
                  <c:v>3.3493406464159124E-2</c:v>
                </c:pt>
                <c:pt idx="78">
                  <c:v>2.8841015468212626E-2</c:v>
                </c:pt>
                <c:pt idx="79">
                  <c:v>0.20429917922128718</c:v>
                </c:pt>
                <c:pt idx="80">
                  <c:v>0.41329835149059879</c:v>
                </c:pt>
                <c:pt idx="81">
                  <c:v>7.9849980101984533E-2</c:v>
                </c:pt>
                <c:pt idx="82">
                  <c:v>9.7368897742817484E-3</c:v>
                </c:pt>
                <c:pt idx="83">
                  <c:v>1.9682106159247009E-2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EC-4F9D-A9EB-7E10C4E5B8FF}"/>
            </c:ext>
          </c:extLst>
        </c:ser>
        <c:ser>
          <c:idx val="5"/>
          <c:order val="2"/>
          <c:tx>
            <c:v>G-SBR</c:v>
          </c:tx>
          <c:spPr>
            <a:ln w="22225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'G-SBR'!$AO$4:$AO$1048576</c:f>
              <c:numCache>
                <c:formatCode>0%</c:formatCode>
                <c:ptCount val="1048573"/>
                <c:pt idx="0">
                  <c:v>0.89580641685080931</c:v>
                </c:pt>
                <c:pt idx="14">
                  <c:v>0.74980192416525182</c:v>
                </c:pt>
                <c:pt idx="15">
                  <c:v>0.73141400509821564</c:v>
                </c:pt>
                <c:pt idx="27">
                  <c:v>0.158659038747131</c:v>
                </c:pt>
                <c:pt idx="28">
                  <c:v>0.2452955163043479</c:v>
                </c:pt>
                <c:pt idx="29">
                  <c:v>0.75039293909555127</c:v>
                </c:pt>
                <c:pt idx="30">
                  <c:v>0.15214707092879678</c:v>
                </c:pt>
                <c:pt idx="31">
                  <c:v>0.66475732692436074</c:v>
                </c:pt>
                <c:pt idx="32">
                  <c:v>0.61436652354665022</c:v>
                </c:pt>
                <c:pt idx="33">
                  <c:v>0.78212573255194451</c:v>
                </c:pt>
                <c:pt idx="34">
                  <c:v>0.54776748051720381</c:v>
                </c:pt>
                <c:pt idx="35">
                  <c:v>3.153802997515439E-2</c:v>
                </c:pt>
                <c:pt idx="36">
                  <c:v>0.60877363031537857</c:v>
                </c:pt>
                <c:pt idx="37">
                  <c:v>0.36245955157569243</c:v>
                </c:pt>
                <c:pt idx="38">
                  <c:v>0.22093305944986072</c:v>
                </c:pt>
                <c:pt idx="39">
                  <c:v>0.2693067212074195</c:v>
                </c:pt>
                <c:pt idx="40">
                  <c:v>0.42100729815537286</c:v>
                </c:pt>
                <c:pt idx="56">
                  <c:v>0.11751713632901749</c:v>
                </c:pt>
                <c:pt idx="57">
                  <c:v>0.11090310019469832</c:v>
                </c:pt>
                <c:pt idx="72">
                  <c:v>0.93824800913667883</c:v>
                </c:pt>
                <c:pt idx="73">
                  <c:v>0.92168082625353998</c:v>
                </c:pt>
                <c:pt idx="77">
                  <c:v>0.59197363319115937</c:v>
                </c:pt>
                <c:pt idx="78">
                  <c:v>0.62297612052304052</c:v>
                </c:pt>
                <c:pt idx="79">
                  <c:v>0.64207498787164741</c:v>
                </c:pt>
                <c:pt idx="80">
                  <c:v>0.64520002842322177</c:v>
                </c:pt>
                <c:pt idx="85">
                  <c:v>0.8802607719540626</c:v>
                </c:pt>
                <c:pt idx="86">
                  <c:v>0.87732230161714941</c:v>
                </c:pt>
                <c:pt idx="87">
                  <c:v>0.88147200248177449</c:v>
                </c:pt>
                <c:pt idx="88">
                  <c:v>0.83505057633498003</c:v>
                </c:pt>
                <c:pt idx="89">
                  <c:v>0.81106775157754896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EC-4F9D-A9EB-7E10C4E5B8FF}"/>
            </c:ext>
          </c:extLst>
        </c:ser>
        <c:ser>
          <c:idx val="0"/>
          <c:order val="4"/>
          <c:tx>
            <c:v>LTP</c:v>
          </c:tx>
          <c:spPr>
            <a:ln w="19050">
              <a:noFill/>
              <a:prstDash val="sysDot"/>
            </a:ln>
          </c:spPr>
          <c:marker>
            <c:symbol val="star"/>
            <c:size val="5"/>
            <c:spPr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'1-LTP'!$B$4:$B$93</c:f>
              <c:numCache>
                <c:formatCode>General</c:formatCod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'1-LTP'!$AJ$4:$AJ$93</c:f>
              <c:numCache>
                <c:formatCode>0.00</c:formatCode>
                <c:ptCount val="90"/>
                <c:pt idx="0">
                  <c:v>0.22571113884366678</c:v>
                </c:pt>
                <c:pt idx="1">
                  <c:v>0.227293960324077</c:v>
                </c:pt>
                <c:pt idx="12">
                  <c:v>0.13701874219444932</c:v>
                </c:pt>
                <c:pt idx="13">
                  <c:v>4.5682680721797972E-2</c:v>
                </c:pt>
                <c:pt idx="27">
                  <c:v>3.5418023019419135E-3</c:v>
                </c:pt>
                <c:pt idx="29">
                  <c:v>1.8396279917676343E-2</c:v>
                </c:pt>
                <c:pt idx="33">
                  <c:v>3.0629197336666737E-2</c:v>
                </c:pt>
                <c:pt idx="34">
                  <c:v>3.1585488693240578E-3</c:v>
                </c:pt>
                <c:pt idx="36">
                  <c:v>5.4195266166453669E-2</c:v>
                </c:pt>
                <c:pt idx="37">
                  <c:v>7.1999253338919045E-2</c:v>
                </c:pt>
                <c:pt idx="38">
                  <c:v>4.9185632085794101E-2</c:v>
                </c:pt>
                <c:pt idx="39">
                  <c:v>5.1422584931130173E-2</c:v>
                </c:pt>
                <c:pt idx="40">
                  <c:v>8.9840831964971991E-3</c:v>
                </c:pt>
                <c:pt idx="41">
                  <c:v>0.1800513803242412</c:v>
                </c:pt>
                <c:pt idx="42">
                  <c:v>8.0014802586233891E-2</c:v>
                </c:pt>
                <c:pt idx="43">
                  <c:v>0.33029028423484624</c:v>
                </c:pt>
                <c:pt idx="44">
                  <c:v>3.918210947901022E-2</c:v>
                </c:pt>
                <c:pt idx="45">
                  <c:v>5.7322514718341343E-2</c:v>
                </c:pt>
                <c:pt idx="46">
                  <c:v>3.1604922297038152E-2</c:v>
                </c:pt>
                <c:pt idx="47">
                  <c:v>4.5833376719952211E-2</c:v>
                </c:pt>
                <c:pt idx="48">
                  <c:v>5.8735797277091474E-2</c:v>
                </c:pt>
                <c:pt idx="49">
                  <c:v>4.0003819040842015E-3</c:v>
                </c:pt>
                <c:pt idx="52">
                  <c:v>4.2428148356665175E-2</c:v>
                </c:pt>
                <c:pt idx="54">
                  <c:v>4.8133304474823904E-2</c:v>
                </c:pt>
                <c:pt idx="55">
                  <c:v>3.5385296344959127E-2</c:v>
                </c:pt>
                <c:pt idx="56">
                  <c:v>3.8113118845363961E-2</c:v>
                </c:pt>
                <c:pt idx="57">
                  <c:v>3.3757970268233448E-2</c:v>
                </c:pt>
                <c:pt idx="61">
                  <c:v>0.28208850304171834</c:v>
                </c:pt>
                <c:pt idx="62">
                  <c:v>4.8174012749103712E-2</c:v>
                </c:pt>
                <c:pt idx="65">
                  <c:v>0.1044236387402299</c:v>
                </c:pt>
                <c:pt idx="66">
                  <c:v>7.4335550826836974E-2</c:v>
                </c:pt>
                <c:pt idx="67">
                  <c:v>6.6944397046101792E-2</c:v>
                </c:pt>
                <c:pt idx="68">
                  <c:v>6.6956840040816729E-2</c:v>
                </c:pt>
                <c:pt idx="69">
                  <c:v>6.7511887919959102E-2</c:v>
                </c:pt>
                <c:pt idx="70">
                  <c:v>0.15195327561152502</c:v>
                </c:pt>
                <c:pt idx="71">
                  <c:v>3.7795969680141574E-2</c:v>
                </c:pt>
                <c:pt idx="72">
                  <c:v>6.9820192780505205E-2</c:v>
                </c:pt>
                <c:pt idx="73">
                  <c:v>3.7696592471559057E-2</c:v>
                </c:pt>
                <c:pt idx="74">
                  <c:v>4.4901272246292992E-2</c:v>
                </c:pt>
                <c:pt idx="75">
                  <c:v>4.3976639603474615E-2</c:v>
                </c:pt>
                <c:pt idx="76">
                  <c:v>5.4607634073669142E-2</c:v>
                </c:pt>
                <c:pt idx="77">
                  <c:v>4.3405416812178091E-2</c:v>
                </c:pt>
                <c:pt idx="81">
                  <c:v>9.974460958925821E-2</c:v>
                </c:pt>
                <c:pt idx="82">
                  <c:v>7.5355600963517858E-2</c:v>
                </c:pt>
                <c:pt idx="83">
                  <c:v>7.3774297161872893E-2</c:v>
                </c:pt>
                <c:pt idx="84">
                  <c:v>4.8071224637799462E-2</c:v>
                </c:pt>
                <c:pt idx="85">
                  <c:v>1.8900700347252615E-2</c:v>
                </c:pt>
                <c:pt idx="86">
                  <c:v>6.9323207193654701E-2</c:v>
                </c:pt>
                <c:pt idx="87">
                  <c:v>6.6801972546540744E-2</c:v>
                </c:pt>
                <c:pt idx="88">
                  <c:v>7.392458738850996E-2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9C-42A3-8D5E-DBD9F4871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257408"/>
        <c:axId val="464259328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3"/>
                <c:spPr>
                  <a:ln w="19050">
                    <a:solidFill>
                      <a:schemeClr val="tx1"/>
                    </a:solidFill>
                    <a:prstDash val="lgDashDotDot"/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DataPlots!$R$286:$R$287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DataPlots!$T$286:$T$287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7FBC-49CC-9EBA-25C7C9C49F30}"/>
                  </c:ext>
                </c:extLst>
              </c15:ser>
            </c15:filteredScatterSeries>
          </c:ext>
        </c:extLst>
      </c:scatterChart>
      <c:valAx>
        <c:axId val="46425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5232714646464645"/>
              <c:y val="0.8428134259259259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64259328"/>
        <c:crosses val="autoZero"/>
        <c:crossBetween val="midCat"/>
      </c:valAx>
      <c:valAx>
        <c:axId val="464259328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aseline="0"/>
                  <a:t>NRR (kg N m</a:t>
                </a:r>
                <a:r>
                  <a:rPr lang="en-GB" baseline="30000"/>
                  <a:t>-3</a:t>
                </a:r>
                <a:r>
                  <a:rPr lang="en-GB" baseline="0"/>
                  <a:t> d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6425740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088518518518518"/>
          <c:w val="0.98974116161616177"/>
          <c:h val="8.9693518518518534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REACTOR</a:t>
            </a:r>
            <a:r>
              <a:rPr lang="en-GB" sz="1000" baseline="0"/>
              <a:t> MLVSS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66626984126987"/>
          <c:y val="0.1737173065239106"/>
          <c:w val="0.79053789682539677"/>
          <c:h val="0.59582926940498204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'S-SBR'!$B$4:$B$74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'S-SBR'!$L$4:$L$74</c:f>
              <c:numCache>
                <c:formatCode>0</c:formatCode>
                <c:ptCount val="71"/>
                <c:pt idx="6">
                  <c:v>5280</c:v>
                </c:pt>
                <c:pt idx="8">
                  <c:v>6230</c:v>
                </c:pt>
                <c:pt idx="13">
                  <c:v>3550</c:v>
                </c:pt>
                <c:pt idx="29" formatCode="General">
                  <c:v>4600</c:v>
                </c:pt>
                <c:pt idx="30">
                  <c:v>3580</c:v>
                </c:pt>
                <c:pt idx="33" formatCode="General">
                  <c:v>4351.6000000000004</c:v>
                </c:pt>
                <c:pt idx="37">
                  <c:v>3720</c:v>
                </c:pt>
                <c:pt idx="40">
                  <c:v>3250</c:v>
                </c:pt>
                <c:pt idx="43">
                  <c:v>3850</c:v>
                </c:pt>
                <c:pt idx="44">
                  <c:v>2900</c:v>
                </c:pt>
                <c:pt idx="48">
                  <c:v>3610</c:v>
                </c:pt>
                <c:pt idx="50">
                  <c:v>1890</c:v>
                </c:pt>
                <c:pt idx="51">
                  <c:v>3294</c:v>
                </c:pt>
                <c:pt idx="54">
                  <c:v>4640</c:v>
                </c:pt>
                <c:pt idx="57">
                  <c:v>3820</c:v>
                </c:pt>
                <c:pt idx="58">
                  <c:v>2480</c:v>
                </c:pt>
                <c:pt idx="61">
                  <c:v>4030</c:v>
                </c:pt>
                <c:pt idx="64">
                  <c:v>2895</c:v>
                </c:pt>
                <c:pt idx="65">
                  <c:v>2480</c:v>
                </c:pt>
                <c:pt idx="68">
                  <c:v>2210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5B-41DC-A7F0-74DD65EEE434}"/>
            </c:ext>
          </c:extLst>
        </c:ser>
        <c:ser>
          <c:idx val="1"/>
          <c:order val="1"/>
          <c:tx>
            <c:v>Media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'1-Media'!$B$4:$B$66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</c:numCache>
            </c:numRef>
          </c:xVal>
          <c:yVal>
            <c:numRef>
              <c:f>'1-Media'!$J$4:$J$66</c:f>
              <c:numCache>
                <c:formatCode>General</c:formatCode>
                <c:ptCount val="63"/>
                <c:pt idx="6">
                  <c:v>1200</c:v>
                </c:pt>
                <c:pt idx="8">
                  <c:v>9545</c:v>
                </c:pt>
                <c:pt idx="28">
                  <c:v>6720</c:v>
                </c:pt>
                <c:pt idx="29">
                  <c:v>6520</c:v>
                </c:pt>
                <c:pt idx="33">
                  <c:v>4930</c:v>
                </c:pt>
                <c:pt idx="37">
                  <c:v>3840</c:v>
                </c:pt>
                <c:pt idx="40">
                  <c:v>222</c:v>
                </c:pt>
                <c:pt idx="43">
                  <c:v>2410</c:v>
                </c:pt>
                <c:pt idx="44">
                  <c:v>820</c:v>
                </c:pt>
                <c:pt idx="48">
                  <c:v>473</c:v>
                </c:pt>
                <c:pt idx="49" formatCode="0">
                  <c:v>499.1</c:v>
                </c:pt>
                <c:pt idx="50">
                  <c:v>244</c:v>
                </c:pt>
                <c:pt idx="54">
                  <c:v>680</c:v>
                </c:pt>
                <c:pt idx="58">
                  <c:v>500</c:v>
                </c:pt>
                <c:pt idx="61">
                  <c:v>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5B-41DC-A7F0-74DD65EEE434}"/>
            </c:ext>
          </c:extLst>
        </c:ser>
        <c:ser>
          <c:idx val="2"/>
          <c:order val="2"/>
          <c:tx>
            <c:v>G-SBR</c:v>
          </c:tx>
          <c:spPr>
            <a:ln w="15875">
              <a:solidFill>
                <a:schemeClr val="tx1"/>
              </a:solidFill>
              <a:prstDash val="lgDash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'G-SBR'!$K$4:$K$1048576</c:f>
              <c:numCache>
                <c:formatCode>General</c:formatCode>
                <c:ptCount val="1048573"/>
                <c:pt idx="29">
                  <c:v>1340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5B-41DC-A7F0-74DD65EEE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529152"/>
        <c:axId val="494527232"/>
      </c:scatterChart>
      <c:valAx>
        <c:axId val="49452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 d</a:t>
                </a:r>
              </a:p>
            </c:rich>
          </c:tx>
          <c:layout>
            <c:manualLayout>
              <c:xMode val="edge"/>
              <c:yMode val="edge"/>
              <c:x val="0.50840724987582975"/>
              <c:y val="0.86070508724546324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527232"/>
        <c:crosses val="autoZero"/>
        <c:crossBetween val="midCat"/>
      </c:valAx>
      <c:valAx>
        <c:axId val="4945272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Mived liquors volatile</a:t>
                </a:r>
                <a:r>
                  <a:rPr lang="en-GB" baseline="0"/>
                  <a:t> supsended solids, mg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4529152"/>
        <c:crosses val="autoZero"/>
        <c:crossBetween val="midCat"/>
        <c:majorUnit val="1500"/>
      </c:valAx>
    </c:plotArea>
    <c:legend>
      <c:legendPos val="b"/>
      <c:layout>
        <c:manualLayout>
          <c:xMode val="edge"/>
          <c:yMode val="edge"/>
          <c:x val="4.1532794113039303E-3"/>
          <c:y val="0.92488058302844678"/>
          <c:w val="0.99584672058869605"/>
          <c:h val="7.5119416971553235E-2"/>
        </c:manualLayout>
      </c:layout>
      <c:overlay val="0"/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SAA/T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'S-SBR'!$J$4:$J$60</c:f>
              <c:numCache>
                <c:formatCode>0.00</c:formatCode>
                <c:ptCount val="57"/>
                <c:pt idx="0">
                  <c:v>27.744652777777791</c:v>
                </c:pt>
                <c:pt idx="6">
                  <c:v>29.483194444444461</c:v>
                </c:pt>
                <c:pt idx="7">
                  <c:v>28.499097222222229</c:v>
                </c:pt>
                <c:pt idx="8">
                  <c:v>26.52756944444446</c:v>
                </c:pt>
                <c:pt idx="10">
                  <c:v>24.466111111111111</c:v>
                </c:pt>
                <c:pt idx="11">
                  <c:v>24.490555555555581</c:v>
                </c:pt>
                <c:pt idx="14">
                  <c:v>28.499097222222229</c:v>
                </c:pt>
                <c:pt idx="15">
                  <c:v>26.52756944444446</c:v>
                </c:pt>
                <c:pt idx="27">
                  <c:v>23.310208333333321</c:v>
                </c:pt>
                <c:pt idx="28">
                  <c:v>23.544861111111128</c:v>
                </c:pt>
                <c:pt idx="29">
                  <c:v>23.76194444444441</c:v>
                </c:pt>
                <c:pt idx="30">
                  <c:v>23.896666666666668</c:v>
                </c:pt>
                <c:pt idx="31">
                  <c:v>24.136527777777768</c:v>
                </c:pt>
                <c:pt idx="32">
                  <c:v>24.795902777777759</c:v>
                </c:pt>
                <c:pt idx="33">
                  <c:v>25.985902777777781</c:v>
                </c:pt>
                <c:pt idx="34">
                  <c:v>25.75125000000001</c:v>
                </c:pt>
                <c:pt idx="35">
                  <c:v>25.572986111111131</c:v>
                </c:pt>
                <c:pt idx="36">
                  <c:v>24.929722222222239</c:v>
                </c:pt>
                <c:pt idx="37">
                  <c:v>22.88493055555556</c:v>
                </c:pt>
                <c:pt idx="38">
                  <c:v>22.29333333333334</c:v>
                </c:pt>
                <c:pt idx="39">
                  <c:v>21.368750000000009</c:v>
                </c:pt>
                <c:pt idx="41">
                  <c:v>21.566388888888881</c:v>
                </c:pt>
                <c:pt idx="42">
                  <c:v>22.588541666666689</c:v>
                </c:pt>
                <c:pt idx="43">
                  <c:v>23.60291666666668</c:v>
                </c:pt>
                <c:pt idx="44" formatCode="0">
                  <c:v>23.053402777777791</c:v>
                </c:pt>
                <c:pt idx="45" formatCode="0">
                  <c:v>22.570000000000011</c:v>
                </c:pt>
                <c:pt idx="46" formatCode="0">
                  <c:v>21.71083333333333</c:v>
                </c:pt>
                <c:pt idx="47" formatCode="0">
                  <c:v>21.26076388888891</c:v>
                </c:pt>
                <c:pt idx="48" formatCode="0">
                  <c:v>21.77097222222222</c:v>
                </c:pt>
                <c:pt idx="50" formatCode="0">
                  <c:v>23.578958333333318</c:v>
                </c:pt>
                <c:pt idx="51" formatCode="0">
                  <c:v>24.358819444444439</c:v>
                </c:pt>
                <c:pt idx="52" formatCode="0">
                  <c:v>22.216250000000009</c:v>
                </c:pt>
                <c:pt idx="53" formatCode="0">
                  <c:v>20.712430555555571</c:v>
                </c:pt>
                <c:pt idx="54" formatCode="0">
                  <c:v>21.635103448275871</c:v>
                </c:pt>
                <c:pt idx="55" formatCode="0">
                  <c:v>22.737999999999989</c:v>
                </c:pt>
                <c:pt idx="56" formatCode="0">
                  <c:v>23.836275862068959</c:v>
                </c:pt>
              </c:numCache>
            </c:numRef>
          </c:xVal>
          <c:yVal>
            <c:numRef>
              <c:f>'S-SBR'!$AP$4:$AP$60</c:f>
              <c:numCache>
                <c:formatCode>0.00</c:formatCode>
                <c:ptCount val="57"/>
                <c:pt idx="6">
                  <c:v>2.1000000000000001E-2</c:v>
                </c:pt>
                <c:pt idx="30">
                  <c:v>5.8000000000000003E-2</c:v>
                </c:pt>
                <c:pt idx="37">
                  <c:v>4.7E-2</c:v>
                </c:pt>
                <c:pt idx="44">
                  <c:v>2.7199999999999998E-2</c:v>
                </c:pt>
                <c:pt idx="50">
                  <c:v>4.5999999999999999E-2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73-4537-B422-A8787510B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in val="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 (°C)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SAA (mgN/gVSS/d)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4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SAA/NRR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'S-SBR'!$AM$4:$AM$60</c:f>
              <c:numCache>
                <c:formatCode>0.000</c:formatCode>
                <c:ptCount val="57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</c:numCache>
            </c:numRef>
          </c:xVal>
          <c:yVal>
            <c:numRef>
              <c:f>'S-SBR'!$AP$4:$AP$60</c:f>
              <c:numCache>
                <c:formatCode>0.00</c:formatCode>
                <c:ptCount val="57"/>
                <c:pt idx="6">
                  <c:v>2.1000000000000001E-2</c:v>
                </c:pt>
                <c:pt idx="30">
                  <c:v>5.8000000000000003E-2</c:v>
                </c:pt>
                <c:pt idx="37">
                  <c:v>4.7E-2</c:v>
                </c:pt>
                <c:pt idx="44">
                  <c:v>2.7199999999999998E-2</c:v>
                </c:pt>
                <c:pt idx="50">
                  <c:v>4.5999999999999999E-2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71-4FEC-A2FB-359D954A3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NRR (kgN/m3/d)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SAA (mgN/gVSS/d)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SAA/C/N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'1-Influent'!$T$4:$T$83</c:f>
              <c:numCache>
                <c:formatCode>0.0</c:formatCode>
                <c:ptCount val="80"/>
                <c:pt idx="6">
                  <c:v>2.5272315744801244</c:v>
                </c:pt>
                <c:pt idx="7">
                  <c:v>2.3920669185105234</c:v>
                </c:pt>
                <c:pt idx="8">
                  <c:v>2.3936501348827557</c:v>
                </c:pt>
                <c:pt idx="9">
                  <c:v>3.1483087597571551</c:v>
                </c:pt>
                <c:pt idx="10">
                  <c:v>2.4365375149426902</c:v>
                </c:pt>
                <c:pt idx="11">
                  <c:v>2.113093139674258</c:v>
                </c:pt>
                <c:pt idx="12">
                  <c:v>2.1359223300970873</c:v>
                </c:pt>
                <c:pt idx="13">
                  <c:v>2.4430209513023784</c:v>
                </c:pt>
                <c:pt idx="15">
                  <c:v>2.260458839406208</c:v>
                </c:pt>
                <c:pt idx="27">
                  <c:v>2.145352369380316</c:v>
                </c:pt>
                <c:pt idx="28">
                  <c:v>2.0100203804347823</c:v>
                </c:pt>
                <c:pt idx="29">
                  <c:v>1.8732195525901387</c:v>
                </c:pt>
                <c:pt idx="30">
                  <c:v>1.7008505967896832</c:v>
                </c:pt>
                <c:pt idx="31">
                  <c:v>1.694372120969357</c:v>
                </c:pt>
                <c:pt idx="32">
                  <c:v>1.7174401962788797</c:v>
                </c:pt>
                <c:pt idx="33">
                  <c:v>1.7111747469366008</c:v>
                </c:pt>
                <c:pt idx="34">
                  <c:v>1.9686271809070948</c:v>
                </c:pt>
                <c:pt idx="35">
                  <c:v>2.0197162779514306</c:v>
                </c:pt>
                <c:pt idx="36">
                  <c:v>1.7358020295531424</c:v>
                </c:pt>
                <c:pt idx="37">
                  <c:v>1.862208096007173</c:v>
                </c:pt>
                <c:pt idx="38">
                  <c:v>1.8201741250585761</c:v>
                </c:pt>
                <c:pt idx="39">
                  <c:v>1.7931447915932011</c:v>
                </c:pt>
                <c:pt idx="40">
                  <c:v>1.798313438896235</c:v>
                </c:pt>
                <c:pt idx="41">
                  <c:v>1.7133969307341352</c:v>
                </c:pt>
                <c:pt idx="42">
                  <c:v>1.71990850406471</c:v>
                </c:pt>
                <c:pt idx="43">
                  <c:v>1.7241614398691028</c:v>
                </c:pt>
                <c:pt idx="44">
                  <c:v>1.8504805419883408</c:v>
                </c:pt>
                <c:pt idx="45">
                  <c:v>2.0018344416418254</c:v>
                </c:pt>
                <c:pt idx="46">
                  <c:v>1.936114732724902</c:v>
                </c:pt>
                <c:pt idx="47">
                  <c:v>1.9623919082272396</c:v>
                </c:pt>
                <c:pt idx="48">
                  <c:v>1.9432571849668385</c:v>
                </c:pt>
                <c:pt idx="49">
                  <c:v>1.9187160651549025</c:v>
                </c:pt>
                <c:pt idx="50">
                  <c:v>1.9428187661901564</c:v>
                </c:pt>
                <c:pt idx="51">
                  <c:v>1.5898583872694534</c:v>
                </c:pt>
                <c:pt idx="52">
                  <c:v>1.6663892818507113</c:v>
                </c:pt>
                <c:pt idx="53">
                  <c:v>1.5730820364432627</c:v>
                </c:pt>
                <c:pt idx="54">
                  <c:v>1.6878996967449591</c:v>
                </c:pt>
                <c:pt idx="55">
                  <c:v>1.6583086391611579</c:v>
                </c:pt>
                <c:pt idx="56">
                  <c:v>1.675932977913176</c:v>
                </c:pt>
                <c:pt idx="57">
                  <c:v>1.6444511007937694</c:v>
                </c:pt>
                <c:pt idx="58">
                  <c:v>1.5933736093903668</c:v>
                </c:pt>
                <c:pt idx="59">
                  <c:v>1.5864032874342151</c:v>
                </c:pt>
                <c:pt idx="60">
                  <c:v>1.7689579103635498</c:v>
                </c:pt>
                <c:pt idx="61">
                  <c:v>1.9234558544903373</c:v>
                </c:pt>
                <c:pt idx="62">
                  <c:v>2.0282004631161099</c:v>
                </c:pt>
                <c:pt idx="63">
                  <c:v>2.0668644493614141</c:v>
                </c:pt>
                <c:pt idx="64">
                  <c:v>2.1246840088069803</c:v>
                </c:pt>
                <c:pt idx="65">
                  <c:v>2.0343980343980346</c:v>
                </c:pt>
                <c:pt idx="66">
                  <c:v>2.0763674057104136</c:v>
                </c:pt>
                <c:pt idx="67">
                  <c:v>1.9927150691659163</c:v>
                </c:pt>
                <c:pt idx="68">
                  <c:v>1.6328324808184143</c:v>
                </c:pt>
                <c:pt idx="69">
                  <c:v>1.599336139896373</c:v>
                </c:pt>
                <c:pt idx="70">
                  <c:v>1.4493211240922008</c:v>
                </c:pt>
                <c:pt idx="71">
                  <c:v>0.82417582417582413</c:v>
                </c:pt>
                <c:pt idx="72">
                  <c:v>0.79175207650022228</c:v>
                </c:pt>
                <c:pt idx="73">
                  <c:v>1.6716641679160418</c:v>
                </c:pt>
                <c:pt idx="74">
                  <c:v>1.6890006260950599</c:v>
                </c:pt>
                <c:pt idx="75">
                  <c:v>1.5974643423137875</c:v>
                </c:pt>
                <c:pt idx="76">
                  <c:v>1.7751819226350058</c:v>
                </c:pt>
                <c:pt idx="77">
                  <c:v>1.7029856533540131</c:v>
                </c:pt>
                <c:pt idx="78">
                  <c:v>1.8796327105648809</c:v>
                </c:pt>
                <c:pt idx="79">
                  <c:v>1.8431630743641276</c:v>
                </c:pt>
              </c:numCache>
            </c:numRef>
          </c:xVal>
          <c:yVal>
            <c:numRef>
              <c:f>'S-SBR'!$AP$4:$AP$60</c:f>
              <c:numCache>
                <c:formatCode>0.00</c:formatCode>
                <c:ptCount val="57"/>
                <c:pt idx="6">
                  <c:v>2.1000000000000001E-2</c:v>
                </c:pt>
                <c:pt idx="30">
                  <c:v>5.8000000000000003E-2</c:v>
                </c:pt>
                <c:pt idx="37">
                  <c:v>4.7E-2</c:v>
                </c:pt>
                <c:pt idx="44">
                  <c:v>2.7199999999999998E-2</c:v>
                </c:pt>
                <c:pt idx="50">
                  <c:v>4.5999999999999999E-2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FB-4DB3-BC47-FA3EB7ECE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C/N ratio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SAA (mgN/gVSS/d)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Standardized anammox activity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528963581168977E-2"/>
          <c:y val="9.5339450125509484E-2"/>
          <c:w val="0.8879418197725284"/>
          <c:h val="0.65717501143814694"/>
        </c:manualLayout>
      </c:layout>
      <c:scatterChart>
        <c:scatterStyle val="lineMarker"/>
        <c:varyColors val="0"/>
        <c:ser>
          <c:idx val="1"/>
          <c:order val="0"/>
          <c:tx>
            <c:v>S-SBR</c:v>
          </c:tx>
          <c:spPr>
            <a:ln w="15875">
              <a:noFill/>
              <a:prstDash val="lgDash"/>
            </a:ln>
          </c:spPr>
          <c:marker>
            <c:symbol val="squar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'S-SBR'!$B$4:$B$474</c:f>
              <c:numCache>
                <c:formatCode>General</c:formatCode>
                <c:ptCount val="4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'stable S-SBR'!$AP$4:$AP$174</c:f>
              <c:numCache>
                <c:formatCode>0.00</c:formatCode>
                <c:ptCount val="171"/>
                <c:pt idx="6">
                  <c:v>2.1000000000000001E-2</c:v>
                </c:pt>
                <c:pt idx="30">
                  <c:v>5.8000000000000003E-2</c:v>
                </c:pt>
                <c:pt idx="37">
                  <c:v>4.7E-2</c:v>
                </c:pt>
                <c:pt idx="44">
                  <c:v>2.7199999999999998E-2</c:v>
                </c:pt>
                <c:pt idx="50">
                  <c:v>4.5999999999999999E-2</c:v>
                </c:pt>
                <c:pt idx="58">
                  <c:v>3.6999999999999998E-2</c:v>
                </c:pt>
                <c:pt idx="65">
                  <c:v>6.8000000000000005E-2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95-4823-AA0C-CADA47A249F8}"/>
            </c:ext>
          </c:extLst>
        </c:ser>
        <c:ser>
          <c:idx val="3"/>
          <c:order val="1"/>
          <c:tx>
            <c:v>MEDIA biofilm</c:v>
          </c:tx>
          <c:spPr>
            <a:ln w="15875">
              <a:noFill/>
              <a:prstDash val="lgDash"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'stable MEDIA'!$B$4:$B$174</c:f>
              <c:numCache>
                <c:formatCode>General</c:formatCode>
                <c:ptCount val="1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'stable MEDIA'!$AT$4:$AT$174</c:f>
              <c:numCache>
                <c:formatCode>0.00</c:formatCode>
                <c:ptCount val="171"/>
                <c:pt idx="6">
                  <c:v>0.10299999999999999</c:v>
                </c:pt>
                <c:pt idx="30">
                  <c:v>0.13200000000000001</c:v>
                </c:pt>
                <c:pt idx="37">
                  <c:v>0.432</c:v>
                </c:pt>
                <c:pt idx="44">
                  <c:v>0.56699999999999995</c:v>
                </c:pt>
                <c:pt idx="50">
                  <c:v>0.93899999999999995</c:v>
                </c:pt>
                <c:pt idx="58">
                  <c:v>0.93899999999999995</c:v>
                </c:pt>
                <c:pt idx="65">
                  <c:v>1.2609999999999999</c:v>
                </c:pt>
                <c:pt idx="72">
                  <c:v>0.95899999999999996</c:v>
                </c:pt>
                <c:pt idx="77">
                  <c:v>0.60499999999999998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95-4823-AA0C-CADA47A249F8}"/>
            </c:ext>
          </c:extLst>
        </c:ser>
        <c:ser>
          <c:idx val="0"/>
          <c:order val="2"/>
          <c:tx>
            <c:v>MEDIA suspension</c:v>
          </c:tx>
          <c:spPr>
            <a:ln w="19050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'stable MEDIA'!$B$4:$B$174</c:f>
              <c:numCache>
                <c:formatCode>General</c:formatCode>
                <c:ptCount val="1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'stable MEDIA'!$AU$4:$AU$174</c:f>
              <c:numCache>
                <c:formatCode>0.00</c:formatCode>
                <c:ptCount val="171"/>
                <c:pt idx="6">
                  <c:v>5.5E-2</c:v>
                </c:pt>
                <c:pt idx="30">
                  <c:v>3.4000000000000002E-2</c:v>
                </c:pt>
                <c:pt idx="37">
                  <c:v>3.5999999999999997E-2</c:v>
                </c:pt>
                <c:pt idx="44">
                  <c:v>0.16900000000000001</c:v>
                </c:pt>
                <c:pt idx="50">
                  <c:v>0.27500000000000002</c:v>
                </c:pt>
                <c:pt idx="58">
                  <c:v>0.27500000000000002</c:v>
                </c:pt>
                <c:pt idx="65">
                  <c:v>0.64700000000000002</c:v>
                </c:pt>
                <c:pt idx="72">
                  <c:v>1.089</c:v>
                </c:pt>
                <c:pt idx="77">
                  <c:v>1.014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9-40E2-902B-FCBC74AFC391}"/>
            </c:ext>
          </c:extLst>
        </c:ser>
        <c:ser>
          <c:idx val="5"/>
          <c:order val="3"/>
          <c:tx>
            <c:v>G-SBR</c:v>
          </c:tx>
          <c:spPr>
            <a:ln w="22225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'stable G-SBR'!$B$4:$B$174</c:f>
              <c:numCache>
                <c:formatCode>General</c:formatCode>
                <c:ptCount val="1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'stable G-SBR'!$AP$4:$AP$174</c:f>
              <c:numCache>
                <c:formatCode>0.00</c:formatCode>
                <c:ptCount val="171"/>
                <c:pt idx="6">
                  <c:v>2.1000000000000001E-2</c:v>
                </c:pt>
                <c:pt idx="34">
                  <c:v>3.6999999999999998E-2</c:v>
                </c:pt>
                <c:pt idx="41">
                  <c:v>4.2000000000000003E-2</c:v>
                </c:pt>
                <c:pt idx="50">
                  <c:v>4.5999999999999999E-2</c:v>
                </c:pt>
                <c:pt idx="55">
                  <c:v>8.8999999999999996E-2</c:v>
                </c:pt>
                <c:pt idx="58">
                  <c:v>7.2099999999999997E-2</c:v>
                </c:pt>
                <c:pt idx="77" formatCode="General">
                  <c:v>2.5999999999999999E-2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695-4823-AA0C-CADA47A24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998784"/>
        <c:axId val="555001344"/>
      </c:scatterChart>
      <c:valAx>
        <c:axId val="55499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Time,</a:t>
                </a:r>
                <a:r>
                  <a:rPr lang="en-GB" baseline="0"/>
                  <a:t> d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7736241728675477"/>
              <c:y val="0.88313095572285016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5001344"/>
        <c:crosses val="autoZero"/>
        <c:crossBetween val="midCat"/>
      </c:valAx>
      <c:valAx>
        <c:axId val="5550013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aseline="0"/>
                  <a:t>Standardized anammox activity, mg N g VSS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499878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5045839036993063"/>
          <c:w val="0.44890050480386273"/>
          <c:h val="4.9541725112591681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Operational window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76276309523809527"/>
          <c:h val="0.65743866061157619"/>
        </c:manualLayout>
      </c:layout>
      <c:scatterChart>
        <c:scatterStyle val="lineMarker"/>
        <c:varyColors val="0"/>
        <c:ser>
          <c:idx val="5"/>
          <c:order val="0"/>
          <c:tx>
            <c:v>Temperature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accent6"/>
                </a:solidFill>
              </a:ln>
            </c:spPr>
          </c:marker>
          <c:xVal>
            <c:numRef>
              <c:f>'S-SBR'!$AO$4:$AO$423</c:f>
              <c:numCache>
                <c:formatCode>0%</c:formatCode>
                <c:ptCount val="420"/>
                <c:pt idx="0">
                  <c:v>0.48073542686113357</c:v>
                </c:pt>
                <c:pt idx="6">
                  <c:v>0.8464139199320978</c:v>
                </c:pt>
                <c:pt idx="7">
                  <c:v>0.83876146788990824</c:v>
                </c:pt>
                <c:pt idx="8">
                  <c:v>0.83979387148094353</c:v>
                </c:pt>
                <c:pt idx="10">
                  <c:v>0.89604106602911193</c:v>
                </c:pt>
                <c:pt idx="11">
                  <c:v>0.89548050482972574</c:v>
                </c:pt>
                <c:pt idx="14">
                  <c:v>0.90607971541757615</c:v>
                </c:pt>
                <c:pt idx="15">
                  <c:v>0.90772829509671626</c:v>
                </c:pt>
                <c:pt idx="27">
                  <c:v>0.87166700418523024</c:v>
                </c:pt>
                <c:pt idx="28">
                  <c:v>0.87327615489130439</c:v>
                </c:pt>
                <c:pt idx="29">
                  <c:v>0.88227826161670186</c:v>
                </c:pt>
                <c:pt idx="30">
                  <c:v>0.87385100836877494</c:v>
                </c:pt>
                <c:pt idx="31">
                  <c:v>0.87151345216636622</c:v>
                </c:pt>
                <c:pt idx="32">
                  <c:v>0.8579295304300415</c:v>
                </c:pt>
                <c:pt idx="33">
                  <c:v>0.86032898241875333</c:v>
                </c:pt>
                <c:pt idx="34">
                  <c:v>0.82904130086696282</c:v>
                </c:pt>
                <c:pt idx="35">
                  <c:v>0.83268413881542036</c:v>
                </c:pt>
                <c:pt idx="36">
                  <c:v>0.85443000415405612</c:v>
                </c:pt>
                <c:pt idx="37">
                  <c:v>0.82347100645450522</c:v>
                </c:pt>
                <c:pt idx="38">
                  <c:v>0.86013621357273473</c:v>
                </c:pt>
                <c:pt idx="39">
                  <c:v>0.84718950560688333</c:v>
                </c:pt>
                <c:pt idx="41">
                  <c:v>0.8377602654500208</c:v>
                </c:pt>
                <c:pt idx="42">
                  <c:v>0.85902853870993057</c:v>
                </c:pt>
                <c:pt idx="43">
                  <c:v>0.88680801745295879</c:v>
                </c:pt>
                <c:pt idx="44">
                  <c:v>0.85493146368363004</c:v>
                </c:pt>
                <c:pt idx="45">
                  <c:v>0.84586639150042042</c:v>
                </c:pt>
                <c:pt idx="46">
                  <c:v>0.85394755903230468</c:v>
                </c:pt>
                <c:pt idx="47">
                  <c:v>0.84773046871259283</c:v>
                </c:pt>
                <c:pt idx="48">
                  <c:v>0.85295504789977894</c:v>
                </c:pt>
                <c:pt idx="50">
                  <c:v>0.90183248584860409</c:v>
                </c:pt>
                <c:pt idx="51">
                  <c:v>0.80850649666650443</c:v>
                </c:pt>
                <c:pt idx="52">
                  <c:v>0.8344511941416326</c:v>
                </c:pt>
                <c:pt idx="53">
                  <c:v>0.83881285680769535</c:v>
                </c:pt>
                <c:pt idx="54">
                  <c:v>0.8253779039291137</c:v>
                </c:pt>
                <c:pt idx="55">
                  <c:v>0.81270420180837322</c:v>
                </c:pt>
                <c:pt idx="56">
                  <c:v>0.8233587204874333</c:v>
                </c:pt>
                <c:pt idx="57">
                  <c:v>0.82861314961809207</c:v>
                </c:pt>
                <c:pt idx="58">
                  <c:v>0.85916862157394513</c:v>
                </c:pt>
                <c:pt idx="59">
                  <c:v>0.8568019609256724</c:v>
                </c:pt>
                <c:pt idx="60">
                  <c:v>0.8483629238754592</c:v>
                </c:pt>
                <c:pt idx="61">
                  <c:v>0.85042819249715795</c:v>
                </c:pt>
                <c:pt idx="62">
                  <c:v>0.83278200463116103</c:v>
                </c:pt>
                <c:pt idx="63">
                  <c:v>0.82792416936561597</c:v>
                </c:pt>
                <c:pt idx="69">
                  <c:v>0.85760200777202067</c:v>
                </c:pt>
              </c:numCache>
            </c:numRef>
          </c:xVal>
          <c:yVal>
            <c:numRef>
              <c:f>'S-SBR'!$J$4:$J$423</c:f>
              <c:numCache>
                <c:formatCode>0.00</c:formatCode>
                <c:ptCount val="420"/>
                <c:pt idx="0">
                  <c:v>27.744652777777791</c:v>
                </c:pt>
                <c:pt idx="6">
                  <c:v>29.483194444444461</c:v>
                </c:pt>
                <c:pt idx="7">
                  <c:v>28.499097222222229</c:v>
                </c:pt>
                <c:pt idx="8">
                  <c:v>26.52756944444446</c:v>
                </c:pt>
                <c:pt idx="10">
                  <c:v>24.466111111111111</c:v>
                </c:pt>
                <c:pt idx="11">
                  <c:v>24.490555555555581</c:v>
                </c:pt>
                <c:pt idx="14">
                  <c:v>28.499097222222229</c:v>
                </c:pt>
                <c:pt idx="15">
                  <c:v>26.52756944444446</c:v>
                </c:pt>
                <c:pt idx="27">
                  <c:v>23.310208333333321</c:v>
                </c:pt>
                <c:pt idx="28">
                  <c:v>23.544861111111128</c:v>
                </c:pt>
                <c:pt idx="29">
                  <c:v>23.76194444444441</c:v>
                </c:pt>
                <c:pt idx="30">
                  <c:v>23.896666666666668</c:v>
                </c:pt>
                <c:pt idx="31">
                  <c:v>24.136527777777768</c:v>
                </c:pt>
                <c:pt idx="32">
                  <c:v>24.795902777777759</c:v>
                </c:pt>
                <c:pt idx="33">
                  <c:v>25.985902777777781</c:v>
                </c:pt>
                <c:pt idx="34">
                  <c:v>25.75125000000001</c:v>
                </c:pt>
                <c:pt idx="35">
                  <c:v>25.572986111111131</c:v>
                </c:pt>
                <c:pt idx="36">
                  <c:v>24.929722222222239</c:v>
                </c:pt>
                <c:pt idx="37">
                  <c:v>22.88493055555556</c:v>
                </c:pt>
                <c:pt idx="38">
                  <c:v>22.29333333333334</c:v>
                </c:pt>
                <c:pt idx="39">
                  <c:v>21.368750000000009</c:v>
                </c:pt>
                <c:pt idx="41">
                  <c:v>21.566388888888881</c:v>
                </c:pt>
                <c:pt idx="42">
                  <c:v>22.588541666666689</c:v>
                </c:pt>
                <c:pt idx="43">
                  <c:v>23.60291666666668</c:v>
                </c:pt>
                <c:pt idx="44" formatCode="0">
                  <c:v>23.053402777777791</c:v>
                </c:pt>
                <c:pt idx="45" formatCode="0">
                  <c:v>22.570000000000011</c:v>
                </c:pt>
                <c:pt idx="46" formatCode="0">
                  <c:v>21.71083333333333</c:v>
                </c:pt>
                <c:pt idx="47" formatCode="0">
                  <c:v>21.26076388888891</c:v>
                </c:pt>
                <c:pt idx="48" formatCode="0">
                  <c:v>21.77097222222222</c:v>
                </c:pt>
                <c:pt idx="50" formatCode="0">
                  <c:v>23.578958333333318</c:v>
                </c:pt>
                <c:pt idx="51" formatCode="0">
                  <c:v>24.358819444444439</c:v>
                </c:pt>
                <c:pt idx="52" formatCode="0">
                  <c:v>22.216250000000009</c:v>
                </c:pt>
                <c:pt idx="53" formatCode="0">
                  <c:v>20.712430555555571</c:v>
                </c:pt>
                <c:pt idx="54" formatCode="0">
                  <c:v>21.635103448275871</c:v>
                </c:pt>
                <c:pt idx="55" formatCode="0">
                  <c:v>22.737999999999989</c:v>
                </c:pt>
                <c:pt idx="56" formatCode="0">
                  <c:v>23.836275862068959</c:v>
                </c:pt>
                <c:pt idx="57" formatCode="0">
                  <c:v>24.347586206896551</c:v>
                </c:pt>
                <c:pt idx="58" formatCode="0">
                  <c:v>24.301241379310369</c:v>
                </c:pt>
                <c:pt idx="59" formatCode="0">
                  <c:v>25.118344827586231</c:v>
                </c:pt>
                <c:pt idx="60" formatCode="0">
                  <c:v>22.921250000000001</c:v>
                </c:pt>
                <c:pt idx="61" formatCode="0">
                  <c:v>22.158541666666672</c:v>
                </c:pt>
                <c:pt idx="62" formatCode="0">
                  <c:v>23.210000000000012</c:v>
                </c:pt>
                <c:pt idx="63" formatCode="0">
                  <c:v>23.044305555555582</c:v>
                </c:pt>
                <c:pt idx="69" formatCode="0">
                  <c:v>21.545000000000002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8E-481A-8BF3-E65E8144F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scatterChart>
        <c:scatterStyle val="lineMarker"/>
        <c:varyColors val="0"/>
        <c:ser>
          <c:idx val="0"/>
          <c:order val="1"/>
          <c:tx>
            <c:v>C/N ratio</c:v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chemeClr val="accent2"/>
                </a:solidFill>
              </a:ln>
            </c:spPr>
          </c:marker>
          <c:xVal>
            <c:numRef>
              <c:f>'S-SBR'!$AM$4:$AM$60</c:f>
              <c:numCache>
                <c:formatCode>0.000</c:formatCode>
                <c:ptCount val="57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</c:numCache>
            </c:numRef>
          </c:xVal>
          <c:yVal>
            <c:numRef>
              <c:f>'1-Influent'!$T$4:$T$83</c:f>
              <c:numCache>
                <c:formatCode>0.0</c:formatCode>
                <c:ptCount val="80"/>
                <c:pt idx="6">
                  <c:v>2.5272315744801244</c:v>
                </c:pt>
                <c:pt idx="7">
                  <c:v>2.3920669185105234</c:v>
                </c:pt>
                <c:pt idx="8">
                  <c:v>2.3936501348827557</c:v>
                </c:pt>
                <c:pt idx="9">
                  <c:v>3.1483087597571551</c:v>
                </c:pt>
                <c:pt idx="10">
                  <c:v>2.4365375149426902</c:v>
                </c:pt>
                <c:pt idx="11">
                  <c:v>2.113093139674258</c:v>
                </c:pt>
                <c:pt idx="12">
                  <c:v>2.1359223300970873</c:v>
                </c:pt>
                <c:pt idx="13">
                  <c:v>2.4430209513023784</c:v>
                </c:pt>
                <c:pt idx="15">
                  <c:v>2.260458839406208</c:v>
                </c:pt>
                <c:pt idx="27">
                  <c:v>2.145352369380316</c:v>
                </c:pt>
                <c:pt idx="28">
                  <c:v>2.0100203804347823</c:v>
                </c:pt>
                <c:pt idx="29">
                  <c:v>1.8732195525901387</c:v>
                </c:pt>
                <c:pt idx="30">
                  <c:v>1.7008505967896832</c:v>
                </c:pt>
                <c:pt idx="31">
                  <c:v>1.694372120969357</c:v>
                </c:pt>
                <c:pt idx="32">
                  <c:v>1.7174401962788797</c:v>
                </c:pt>
                <c:pt idx="33">
                  <c:v>1.7111747469366008</c:v>
                </c:pt>
                <c:pt idx="34">
                  <c:v>1.9686271809070948</c:v>
                </c:pt>
                <c:pt idx="35">
                  <c:v>2.0197162779514306</c:v>
                </c:pt>
                <c:pt idx="36">
                  <c:v>1.7358020295531424</c:v>
                </c:pt>
                <c:pt idx="37">
                  <c:v>1.862208096007173</c:v>
                </c:pt>
                <c:pt idx="38">
                  <c:v>1.8201741250585761</c:v>
                </c:pt>
                <c:pt idx="39">
                  <c:v>1.7931447915932011</c:v>
                </c:pt>
                <c:pt idx="40">
                  <c:v>1.798313438896235</c:v>
                </c:pt>
                <c:pt idx="41">
                  <c:v>1.7133969307341352</c:v>
                </c:pt>
                <c:pt idx="42">
                  <c:v>1.71990850406471</c:v>
                </c:pt>
                <c:pt idx="43">
                  <c:v>1.7241614398691028</c:v>
                </c:pt>
                <c:pt idx="44">
                  <c:v>1.8504805419883408</c:v>
                </c:pt>
                <c:pt idx="45">
                  <c:v>2.0018344416418254</c:v>
                </c:pt>
                <c:pt idx="46">
                  <c:v>1.936114732724902</c:v>
                </c:pt>
                <c:pt idx="47">
                  <c:v>1.9623919082272396</c:v>
                </c:pt>
                <c:pt idx="48">
                  <c:v>1.9432571849668385</c:v>
                </c:pt>
                <c:pt idx="49">
                  <c:v>1.9187160651549025</c:v>
                </c:pt>
                <c:pt idx="50">
                  <c:v>1.9428187661901564</c:v>
                </c:pt>
                <c:pt idx="51">
                  <c:v>1.5898583872694534</c:v>
                </c:pt>
                <c:pt idx="52">
                  <c:v>1.6663892818507113</c:v>
                </c:pt>
                <c:pt idx="53">
                  <c:v>1.5730820364432627</c:v>
                </c:pt>
                <c:pt idx="54">
                  <c:v>1.6878996967449591</c:v>
                </c:pt>
                <c:pt idx="55">
                  <c:v>1.6583086391611579</c:v>
                </c:pt>
                <c:pt idx="56">
                  <c:v>1.675932977913176</c:v>
                </c:pt>
                <c:pt idx="57">
                  <c:v>1.6444511007937694</c:v>
                </c:pt>
                <c:pt idx="58">
                  <c:v>1.5933736093903668</c:v>
                </c:pt>
                <c:pt idx="59">
                  <c:v>1.5864032874342151</c:v>
                </c:pt>
                <c:pt idx="60">
                  <c:v>1.7689579103635498</c:v>
                </c:pt>
                <c:pt idx="61">
                  <c:v>1.9234558544903373</c:v>
                </c:pt>
                <c:pt idx="62">
                  <c:v>2.0282004631161099</c:v>
                </c:pt>
                <c:pt idx="63">
                  <c:v>2.0668644493614141</c:v>
                </c:pt>
                <c:pt idx="64">
                  <c:v>2.1246840088069803</c:v>
                </c:pt>
                <c:pt idx="65">
                  <c:v>2.0343980343980346</c:v>
                </c:pt>
                <c:pt idx="66">
                  <c:v>2.0763674057104136</c:v>
                </c:pt>
                <c:pt idx="67">
                  <c:v>1.9927150691659163</c:v>
                </c:pt>
                <c:pt idx="68">
                  <c:v>1.6328324808184143</c:v>
                </c:pt>
                <c:pt idx="69">
                  <c:v>1.599336139896373</c:v>
                </c:pt>
                <c:pt idx="70">
                  <c:v>1.4493211240922008</c:v>
                </c:pt>
                <c:pt idx="71">
                  <c:v>0.82417582417582413</c:v>
                </c:pt>
                <c:pt idx="72">
                  <c:v>0.79175207650022228</c:v>
                </c:pt>
                <c:pt idx="73">
                  <c:v>1.6716641679160418</c:v>
                </c:pt>
                <c:pt idx="74">
                  <c:v>1.6890006260950599</c:v>
                </c:pt>
                <c:pt idx="75">
                  <c:v>1.5974643423137875</c:v>
                </c:pt>
                <c:pt idx="76">
                  <c:v>1.7751819226350058</c:v>
                </c:pt>
                <c:pt idx="77">
                  <c:v>1.7029856533540131</c:v>
                </c:pt>
                <c:pt idx="78">
                  <c:v>1.8796327105648809</c:v>
                </c:pt>
                <c:pt idx="79">
                  <c:v>1.8431630743641276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8E-481A-8BF3-E65E8144F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0308232"/>
        <c:axId val="1160311184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</a:t>
                </a:r>
                <a:r>
                  <a:rPr lang="en-GB" baseline="0"/>
                  <a:t> removal rate, kgN/m3/d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Reactor tempearture</a:t>
                </a:r>
                <a:r>
                  <a:rPr lang="en-GB" baseline="0"/>
                  <a:t>, °C </a:t>
                </a:r>
                <a:endParaRPr lang="en-GB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0"/>
      </c:valAx>
      <c:valAx>
        <c:axId val="1160311184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Carbon to ammonia ratio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</a:ln>
        </c:spPr>
        <c:crossAx val="1160308232"/>
        <c:crosses val="max"/>
        <c:crossBetween val="midCat"/>
        <c:majorUnit val="2.5"/>
      </c:valAx>
      <c:valAx>
        <c:axId val="1160308232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1160311184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</a:t>
            </a:r>
            <a:r>
              <a:rPr lang="en-GB" sz="1000" baseline="0"/>
              <a:t> NRR/Treactor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'1-Media'!$H$4:$H$344</c:f>
              <c:numCache>
                <c:formatCode>0</c:formatCode>
                <c:ptCount val="341"/>
                <c:pt idx="0">
                  <c:v>28.329758646090134</c:v>
                </c:pt>
                <c:pt idx="6">
                  <c:v>27.782509298301413</c:v>
                </c:pt>
                <c:pt idx="7">
                  <c:v>30.738752938442371</c:v>
                </c:pt>
                <c:pt idx="8">
                  <c:v>31.317503803018809</c:v>
                </c:pt>
                <c:pt idx="14">
                  <c:v>30.895082075866465</c:v>
                </c:pt>
                <c:pt idx="15">
                  <c:v>29.126135634449113</c:v>
                </c:pt>
                <c:pt idx="28">
                  <c:v>30.485470553646067</c:v>
                </c:pt>
                <c:pt idx="29">
                  <c:v>32.51722166001155</c:v>
                </c:pt>
                <c:pt idx="30">
                  <c:v>28.081257666866218</c:v>
                </c:pt>
                <c:pt idx="31">
                  <c:v>28.092086186884014</c:v>
                </c:pt>
                <c:pt idx="33">
                  <c:v>28.303015354398802</c:v>
                </c:pt>
                <c:pt idx="34">
                  <c:v>28.03328929928929</c:v>
                </c:pt>
                <c:pt idx="35">
                  <c:v>28.803811582746047</c:v>
                </c:pt>
                <c:pt idx="36">
                  <c:v>26.533379329984612</c:v>
                </c:pt>
                <c:pt idx="37">
                  <c:v>29.878323457341192</c:v>
                </c:pt>
                <c:pt idx="40">
                  <c:v>30.001857889977149</c:v>
                </c:pt>
                <c:pt idx="41">
                  <c:v>28.856715225834105</c:v>
                </c:pt>
                <c:pt idx="43">
                  <c:v>20.258395487961774</c:v>
                </c:pt>
                <c:pt idx="44">
                  <c:v>30.103749801201442</c:v>
                </c:pt>
                <c:pt idx="45">
                  <c:v>29.907519083973103</c:v>
                </c:pt>
                <c:pt idx="47">
                  <c:v>30.821603820705448</c:v>
                </c:pt>
                <c:pt idx="48">
                  <c:v>29.957416071655103</c:v>
                </c:pt>
                <c:pt idx="51">
                  <c:v>30.842287856065248</c:v>
                </c:pt>
                <c:pt idx="52">
                  <c:v>30.837813503499746</c:v>
                </c:pt>
                <c:pt idx="53">
                  <c:v>30.813896008391879</c:v>
                </c:pt>
                <c:pt idx="54">
                  <c:v>30.81632573420039</c:v>
                </c:pt>
                <c:pt idx="55">
                  <c:v>30.870194814801838</c:v>
                </c:pt>
                <c:pt idx="56">
                  <c:v>30.88967916494606</c:v>
                </c:pt>
                <c:pt idx="57">
                  <c:v>30.887442510353942</c:v>
                </c:pt>
                <c:pt idx="58">
                  <c:v>31.159713438590838</c:v>
                </c:pt>
                <c:pt idx="59">
                  <c:v>30.882852210720475</c:v>
                </c:pt>
                <c:pt idx="60">
                  <c:v>30.90256207819326</c:v>
                </c:pt>
                <c:pt idx="61">
                  <c:v>30.856286968137191</c:v>
                </c:pt>
                <c:pt idx="62">
                  <c:v>30.222949961828135</c:v>
                </c:pt>
                <c:pt idx="63">
                  <c:v>29.969796729228513</c:v>
                </c:pt>
                <c:pt idx="64">
                  <c:v>30.8651054604771</c:v>
                </c:pt>
                <c:pt idx="65">
                  <c:v>30.900310206520849</c:v>
                </c:pt>
                <c:pt idx="66">
                  <c:v>30.853061006698951</c:v>
                </c:pt>
                <c:pt idx="67">
                  <c:v>30.879448339534441</c:v>
                </c:pt>
                <c:pt idx="68">
                  <c:v>30.898301408920631</c:v>
                </c:pt>
                <c:pt idx="69">
                  <c:v>29.496246962860116</c:v>
                </c:pt>
                <c:pt idx="70">
                  <c:v>28.733163359594691</c:v>
                </c:pt>
                <c:pt idx="73">
                  <c:v>30.217921336795339</c:v>
                </c:pt>
                <c:pt idx="74">
                  <c:v>30.799532478859508</c:v>
                </c:pt>
                <c:pt idx="77">
                  <c:v>27.706791260390595</c:v>
                </c:pt>
                <c:pt idx="78">
                  <c:v>25.653600126701441</c:v>
                </c:pt>
                <c:pt idx="79">
                  <c:v>29.841574110450203</c:v>
                </c:pt>
                <c:pt idx="80">
                  <c:v>30.901050032033393</c:v>
                </c:pt>
                <c:pt idx="81">
                  <c:v>30.869536382297145</c:v>
                </c:pt>
                <c:pt idx="82">
                  <c:v>29.124351353829041</c:v>
                </c:pt>
                <c:pt idx="83">
                  <c:v>29.152223672439803</c:v>
                </c:pt>
              </c:numCache>
            </c:numRef>
          </c:xVal>
          <c:yVal>
            <c:numRef>
              <c:f>'1-Media'!$AR$4:$AR$344</c:f>
              <c:numCache>
                <c:formatCode>0%</c:formatCode>
                <c:ptCount val="341"/>
                <c:pt idx="0">
                  <c:v>0.6013714804828223</c:v>
                </c:pt>
                <c:pt idx="6">
                  <c:v>0.90256896307822887</c:v>
                </c:pt>
                <c:pt idx="7">
                  <c:v>0.87921613599568271</c:v>
                </c:pt>
                <c:pt idx="8">
                  <c:v>0.87321020958705131</c:v>
                </c:pt>
                <c:pt idx="14">
                  <c:v>0.96376424933300997</c:v>
                </c:pt>
                <c:pt idx="15">
                  <c:v>0.96181586444744338</c:v>
                </c:pt>
                <c:pt idx="28">
                  <c:v>0.95983865489130427</c:v>
                </c:pt>
                <c:pt idx="29">
                  <c:v>0.96912706043040342</c:v>
                </c:pt>
                <c:pt idx="30">
                  <c:v>0.95362189600768288</c:v>
                </c:pt>
                <c:pt idx="31">
                  <c:v>0.93252553575005015</c:v>
                </c:pt>
                <c:pt idx="33">
                  <c:v>0.9419352690463505</c:v>
                </c:pt>
                <c:pt idx="34">
                  <c:v>0.79574172362681306</c:v>
                </c:pt>
                <c:pt idx="35">
                  <c:v>0.79515348240763006</c:v>
                </c:pt>
                <c:pt idx="36">
                  <c:v>0.41806289109119804</c:v>
                </c:pt>
                <c:pt idx="37">
                  <c:v>0.20748389247472515</c:v>
                </c:pt>
                <c:pt idx="40">
                  <c:v>0.42307678584299152</c:v>
                </c:pt>
                <c:pt idx="41">
                  <c:v>0.3858888428038158</c:v>
                </c:pt>
                <c:pt idx="43">
                  <c:v>0.44800790837196613</c:v>
                </c:pt>
                <c:pt idx="44">
                  <c:v>0.3045596344729794</c:v>
                </c:pt>
                <c:pt idx="45">
                  <c:v>0.49826492394710692</c:v>
                </c:pt>
                <c:pt idx="47">
                  <c:v>0.54124669343593168</c:v>
                </c:pt>
                <c:pt idx="48">
                  <c:v>0.55495210022107588</c:v>
                </c:pt>
                <c:pt idx="51">
                  <c:v>0.79465667429071973</c:v>
                </c:pt>
                <c:pt idx="52">
                  <c:v>0.79435799284347175</c:v>
                </c:pt>
                <c:pt idx="53">
                  <c:v>0.76542582310158758</c:v>
                </c:pt>
                <c:pt idx="54">
                  <c:v>0.69221748938995642</c:v>
                </c:pt>
                <c:pt idx="55">
                  <c:v>0.52616062609224223</c:v>
                </c:pt>
                <c:pt idx="56">
                  <c:v>0.37631378522467634</c:v>
                </c:pt>
                <c:pt idx="57">
                  <c:v>0.25673955369177776</c:v>
                </c:pt>
                <c:pt idx="60">
                  <c:v>0.28028463650420005</c:v>
                </c:pt>
                <c:pt idx="61">
                  <c:v>0.26092459264873052</c:v>
                </c:pt>
                <c:pt idx="62">
                  <c:v>0.38820707906053592</c:v>
                </c:pt>
                <c:pt idx="63">
                  <c:v>0.59122014223740915</c:v>
                </c:pt>
                <c:pt idx="64">
                  <c:v>0.57489195139851579</c:v>
                </c:pt>
                <c:pt idx="65">
                  <c:v>0.55322031122031123</c:v>
                </c:pt>
                <c:pt idx="66">
                  <c:v>0.52700931299988307</c:v>
                </c:pt>
                <c:pt idx="67">
                  <c:v>0.49469591552754355</c:v>
                </c:pt>
                <c:pt idx="68">
                  <c:v>0.50342071611253203</c:v>
                </c:pt>
                <c:pt idx="69">
                  <c:v>0.37000647668393782</c:v>
                </c:pt>
                <c:pt idx="70">
                  <c:v>0.37620776760341013</c:v>
                </c:pt>
                <c:pt idx="73">
                  <c:v>0.41331001166083631</c:v>
                </c:pt>
                <c:pt idx="74">
                  <c:v>0.43752558172643685</c:v>
                </c:pt>
                <c:pt idx="77">
                  <c:v>0.50631795269484292</c:v>
                </c:pt>
                <c:pt idx="78">
                  <c:v>0.36115850507253044</c:v>
                </c:pt>
                <c:pt idx="79">
                  <c:v>0.32289278536281102</c:v>
                </c:pt>
                <c:pt idx="80">
                  <c:v>0.41331627940026999</c:v>
                </c:pt>
                <c:pt idx="81">
                  <c:v>0.41438445996242596</c:v>
                </c:pt>
                <c:pt idx="82">
                  <c:v>0.3616370885779065</c:v>
                </c:pt>
                <c:pt idx="83">
                  <c:v>0.36091093940626262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14-4F25-BFBD-004D48BF3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Reactor temperature</a:t>
                </a:r>
                <a:r>
                  <a:rPr lang="en-GB" baseline="0"/>
                  <a:t> (°C)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 (kg N m-3 d-1)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 NRR/C/N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'1-Influent'!$T$4:$T$83</c:f>
              <c:numCache>
                <c:formatCode>0.0</c:formatCode>
                <c:ptCount val="80"/>
                <c:pt idx="6">
                  <c:v>2.5272315744801244</c:v>
                </c:pt>
                <c:pt idx="7">
                  <c:v>2.3920669185105234</c:v>
                </c:pt>
                <c:pt idx="8">
                  <c:v>2.3936501348827557</c:v>
                </c:pt>
                <c:pt idx="9">
                  <c:v>3.1483087597571551</c:v>
                </c:pt>
                <c:pt idx="10">
                  <c:v>2.4365375149426902</c:v>
                </c:pt>
                <c:pt idx="11">
                  <c:v>2.113093139674258</c:v>
                </c:pt>
                <c:pt idx="12">
                  <c:v>2.1359223300970873</c:v>
                </c:pt>
                <c:pt idx="13">
                  <c:v>2.4430209513023784</c:v>
                </c:pt>
                <c:pt idx="15">
                  <c:v>2.260458839406208</c:v>
                </c:pt>
                <c:pt idx="27">
                  <c:v>2.145352369380316</c:v>
                </c:pt>
                <c:pt idx="28">
                  <c:v>2.0100203804347823</c:v>
                </c:pt>
                <c:pt idx="29">
                  <c:v>1.8732195525901387</c:v>
                </c:pt>
                <c:pt idx="30">
                  <c:v>1.7008505967896832</c:v>
                </c:pt>
                <c:pt idx="31">
                  <c:v>1.694372120969357</c:v>
                </c:pt>
                <c:pt idx="32">
                  <c:v>1.7174401962788797</c:v>
                </c:pt>
                <c:pt idx="33">
                  <c:v>1.7111747469366008</c:v>
                </c:pt>
                <c:pt idx="34">
                  <c:v>1.9686271809070948</c:v>
                </c:pt>
                <c:pt idx="35">
                  <c:v>2.0197162779514306</c:v>
                </c:pt>
                <c:pt idx="36">
                  <c:v>1.7358020295531424</c:v>
                </c:pt>
                <c:pt idx="37">
                  <c:v>1.862208096007173</c:v>
                </c:pt>
                <c:pt idx="38">
                  <c:v>1.8201741250585761</c:v>
                </c:pt>
                <c:pt idx="39">
                  <c:v>1.7931447915932011</c:v>
                </c:pt>
                <c:pt idx="40">
                  <c:v>1.798313438896235</c:v>
                </c:pt>
                <c:pt idx="41">
                  <c:v>1.7133969307341352</c:v>
                </c:pt>
                <c:pt idx="42">
                  <c:v>1.71990850406471</c:v>
                </c:pt>
                <c:pt idx="43">
                  <c:v>1.7241614398691028</c:v>
                </c:pt>
                <c:pt idx="44">
                  <c:v>1.8504805419883408</c:v>
                </c:pt>
                <c:pt idx="45">
                  <c:v>2.0018344416418254</c:v>
                </c:pt>
                <c:pt idx="46">
                  <c:v>1.936114732724902</c:v>
                </c:pt>
                <c:pt idx="47">
                  <c:v>1.9623919082272396</c:v>
                </c:pt>
                <c:pt idx="48">
                  <c:v>1.9432571849668385</c:v>
                </c:pt>
                <c:pt idx="49">
                  <c:v>1.9187160651549025</c:v>
                </c:pt>
                <c:pt idx="50">
                  <c:v>1.9428187661901564</c:v>
                </c:pt>
                <c:pt idx="51">
                  <c:v>1.5898583872694534</c:v>
                </c:pt>
                <c:pt idx="52">
                  <c:v>1.6663892818507113</c:v>
                </c:pt>
                <c:pt idx="53">
                  <c:v>1.5730820364432627</c:v>
                </c:pt>
                <c:pt idx="54">
                  <c:v>1.6878996967449591</c:v>
                </c:pt>
                <c:pt idx="55">
                  <c:v>1.6583086391611579</c:v>
                </c:pt>
                <c:pt idx="56">
                  <c:v>1.675932977913176</c:v>
                </c:pt>
                <c:pt idx="57">
                  <c:v>1.6444511007937694</c:v>
                </c:pt>
                <c:pt idx="58">
                  <c:v>1.5933736093903668</c:v>
                </c:pt>
                <c:pt idx="59">
                  <c:v>1.5864032874342151</c:v>
                </c:pt>
                <c:pt idx="60">
                  <c:v>1.7689579103635498</c:v>
                </c:pt>
                <c:pt idx="61">
                  <c:v>1.9234558544903373</c:v>
                </c:pt>
                <c:pt idx="62">
                  <c:v>2.0282004631161099</c:v>
                </c:pt>
                <c:pt idx="63">
                  <c:v>2.0668644493614141</c:v>
                </c:pt>
                <c:pt idx="64">
                  <c:v>2.1246840088069803</c:v>
                </c:pt>
                <c:pt idx="65">
                  <c:v>2.0343980343980346</c:v>
                </c:pt>
                <c:pt idx="66">
                  <c:v>2.0763674057104136</c:v>
                </c:pt>
                <c:pt idx="67">
                  <c:v>1.9927150691659163</c:v>
                </c:pt>
                <c:pt idx="68">
                  <c:v>1.6328324808184143</c:v>
                </c:pt>
                <c:pt idx="69">
                  <c:v>1.599336139896373</c:v>
                </c:pt>
                <c:pt idx="70">
                  <c:v>1.4493211240922008</c:v>
                </c:pt>
                <c:pt idx="71">
                  <c:v>0.82417582417582413</c:v>
                </c:pt>
                <c:pt idx="72">
                  <c:v>0.79175207650022228</c:v>
                </c:pt>
                <c:pt idx="73">
                  <c:v>1.6716641679160418</c:v>
                </c:pt>
                <c:pt idx="74">
                  <c:v>1.6890006260950599</c:v>
                </c:pt>
                <c:pt idx="75">
                  <c:v>1.5974643423137875</c:v>
                </c:pt>
                <c:pt idx="76">
                  <c:v>1.7751819226350058</c:v>
                </c:pt>
                <c:pt idx="77">
                  <c:v>1.7029856533540131</c:v>
                </c:pt>
                <c:pt idx="78">
                  <c:v>1.8796327105648809</c:v>
                </c:pt>
                <c:pt idx="79">
                  <c:v>1.8431630743641276</c:v>
                </c:pt>
              </c:numCache>
            </c:numRef>
          </c:xVal>
          <c:yVal>
            <c:numRef>
              <c:f>'1-Media'!$AR$4:$AR$344</c:f>
              <c:numCache>
                <c:formatCode>0%</c:formatCode>
                <c:ptCount val="341"/>
                <c:pt idx="0">
                  <c:v>0.6013714804828223</c:v>
                </c:pt>
                <c:pt idx="6">
                  <c:v>0.90256896307822887</c:v>
                </c:pt>
                <c:pt idx="7">
                  <c:v>0.87921613599568271</c:v>
                </c:pt>
                <c:pt idx="8">
                  <c:v>0.87321020958705131</c:v>
                </c:pt>
                <c:pt idx="14">
                  <c:v>0.96376424933300997</c:v>
                </c:pt>
                <c:pt idx="15">
                  <c:v>0.96181586444744338</c:v>
                </c:pt>
                <c:pt idx="28">
                  <c:v>0.95983865489130427</c:v>
                </c:pt>
                <c:pt idx="29">
                  <c:v>0.96912706043040342</c:v>
                </c:pt>
                <c:pt idx="30">
                  <c:v>0.95362189600768288</c:v>
                </c:pt>
                <c:pt idx="31">
                  <c:v>0.93252553575005015</c:v>
                </c:pt>
                <c:pt idx="33">
                  <c:v>0.9419352690463505</c:v>
                </c:pt>
                <c:pt idx="34">
                  <c:v>0.79574172362681306</c:v>
                </c:pt>
                <c:pt idx="35">
                  <c:v>0.79515348240763006</c:v>
                </c:pt>
                <c:pt idx="36">
                  <c:v>0.41806289109119804</c:v>
                </c:pt>
                <c:pt idx="37">
                  <c:v>0.20748389247472515</c:v>
                </c:pt>
                <c:pt idx="40">
                  <c:v>0.42307678584299152</c:v>
                </c:pt>
                <c:pt idx="41">
                  <c:v>0.3858888428038158</c:v>
                </c:pt>
                <c:pt idx="43">
                  <c:v>0.44800790837196613</c:v>
                </c:pt>
                <c:pt idx="44">
                  <c:v>0.3045596344729794</c:v>
                </c:pt>
                <c:pt idx="45">
                  <c:v>0.49826492394710692</c:v>
                </c:pt>
                <c:pt idx="47">
                  <c:v>0.54124669343593168</c:v>
                </c:pt>
                <c:pt idx="48">
                  <c:v>0.55495210022107588</c:v>
                </c:pt>
                <c:pt idx="51">
                  <c:v>0.79465667429071973</c:v>
                </c:pt>
                <c:pt idx="52">
                  <c:v>0.79435799284347175</c:v>
                </c:pt>
                <c:pt idx="53">
                  <c:v>0.76542582310158758</c:v>
                </c:pt>
                <c:pt idx="54">
                  <c:v>0.69221748938995642</c:v>
                </c:pt>
                <c:pt idx="55">
                  <c:v>0.52616062609224223</c:v>
                </c:pt>
                <c:pt idx="56">
                  <c:v>0.37631378522467634</c:v>
                </c:pt>
                <c:pt idx="57">
                  <c:v>0.25673955369177776</c:v>
                </c:pt>
                <c:pt idx="60">
                  <c:v>0.28028463650420005</c:v>
                </c:pt>
                <c:pt idx="61">
                  <c:v>0.26092459264873052</c:v>
                </c:pt>
                <c:pt idx="62">
                  <c:v>0.38820707906053592</c:v>
                </c:pt>
                <c:pt idx="63">
                  <c:v>0.59122014223740915</c:v>
                </c:pt>
                <c:pt idx="64">
                  <c:v>0.57489195139851579</c:v>
                </c:pt>
                <c:pt idx="65">
                  <c:v>0.55322031122031123</c:v>
                </c:pt>
                <c:pt idx="66">
                  <c:v>0.52700931299988307</c:v>
                </c:pt>
                <c:pt idx="67">
                  <c:v>0.49469591552754355</c:v>
                </c:pt>
                <c:pt idx="68">
                  <c:v>0.50342071611253203</c:v>
                </c:pt>
                <c:pt idx="69">
                  <c:v>0.37000647668393782</c:v>
                </c:pt>
                <c:pt idx="70">
                  <c:v>0.37620776760341013</c:v>
                </c:pt>
                <c:pt idx="73">
                  <c:v>0.41331001166083631</c:v>
                </c:pt>
                <c:pt idx="74">
                  <c:v>0.43752558172643685</c:v>
                </c:pt>
                <c:pt idx="77">
                  <c:v>0.50631795269484292</c:v>
                </c:pt>
                <c:pt idx="78">
                  <c:v>0.36115850507253044</c:v>
                </c:pt>
                <c:pt idx="79">
                  <c:v>0.32289278536281102</c:v>
                </c:pt>
                <c:pt idx="80">
                  <c:v>0.41331627940026999</c:v>
                </c:pt>
                <c:pt idx="81">
                  <c:v>0.41438445996242596</c:v>
                </c:pt>
                <c:pt idx="82">
                  <c:v>0.3616370885779065</c:v>
                </c:pt>
                <c:pt idx="83">
                  <c:v>0.36091093940626262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F7-4C96-99F6-CA970AA2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C/N ratio 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 (kg N m-3 d-1)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 k/Treactor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'1-Media'!$G$4:$G$66</c:f>
              <c:numCache>
                <c:formatCode>0.0</c:formatCode>
                <c:ptCount val="63"/>
                <c:pt idx="0">
                  <c:v>0.18035838741864732</c:v>
                </c:pt>
                <c:pt idx="6">
                  <c:v>5.4614717239712479E-2</c:v>
                </c:pt>
                <c:pt idx="7">
                  <c:v>7.8844151467715895E-2</c:v>
                </c:pt>
                <c:pt idx="8">
                  <c:v>0.54048247173485431</c:v>
                </c:pt>
                <c:pt idx="14">
                  <c:v>0.75967979860963697</c:v>
                </c:pt>
                <c:pt idx="15">
                  <c:v>0.39360812223648617</c:v>
                </c:pt>
                <c:pt idx="28">
                  <c:v>0.51188562934812842</c:v>
                </c:pt>
                <c:pt idx="29">
                  <c:v>0.78811567128532178</c:v>
                </c:pt>
                <c:pt idx="30">
                  <c:v>0.67350789719687609</c:v>
                </c:pt>
                <c:pt idx="31">
                  <c:v>0.98758070041573909</c:v>
                </c:pt>
                <c:pt idx="33">
                  <c:v>0.69430970165753103</c:v>
                </c:pt>
                <c:pt idx="34">
                  <c:v>1.2784940126619997</c:v>
                </c:pt>
                <c:pt idx="35">
                  <c:v>0.62792172844378491</c:v>
                </c:pt>
                <c:pt idx="36">
                  <c:v>1.0936228732750757</c:v>
                </c:pt>
                <c:pt idx="37">
                  <c:v>0.76170296868757426</c:v>
                </c:pt>
                <c:pt idx="40">
                  <c:v>0.85797943474827687</c:v>
                </c:pt>
                <c:pt idx="41">
                  <c:v>1.2032818468090396</c:v>
                </c:pt>
                <c:pt idx="43">
                  <c:v>2.4593396381304027</c:v>
                </c:pt>
                <c:pt idx="44">
                  <c:v>0.88628427488280026</c:v>
                </c:pt>
                <c:pt idx="45">
                  <c:v>0.91132289045016746</c:v>
                </c:pt>
                <c:pt idx="47">
                  <c:v>0.40535057256181223</c:v>
                </c:pt>
                <c:pt idx="48">
                  <c:v>1.1796342397379569</c:v>
                </c:pt>
                <c:pt idx="51">
                  <c:v>0.54771607038679737</c:v>
                </c:pt>
                <c:pt idx="52">
                  <c:v>0.62387669181107896</c:v>
                </c:pt>
                <c:pt idx="53">
                  <c:v>0.73639751744742032</c:v>
                </c:pt>
                <c:pt idx="54">
                  <c:v>0.8440385284791263</c:v>
                </c:pt>
                <c:pt idx="55">
                  <c:v>0.7946541999123734</c:v>
                </c:pt>
                <c:pt idx="56">
                  <c:v>0.80251171523934639</c:v>
                </c:pt>
                <c:pt idx="57">
                  <c:v>0.68774947951037368</c:v>
                </c:pt>
                <c:pt idx="58">
                  <c:v>0.79410968508334756</c:v>
                </c:pt>
                <c:pt idx="59">
                  <c:v>0.86344758781944864</c:v>
                </c:pt>
                <c:pt idx="60">
                  <c:v>0.9397401076478703</c:v>
                </c:pt>
                <c:pt idx="61">
                  <c:v>0.96557054803918441</c:v>
                </c:pt>
                <c:pt idx="62">
                  <c:v>1.3452906964430169</c:v>
                </c:pt>
              </c:numCache>
            </c:numRef>
          </c:xVal>
          <c:yVal>
            <c:numRef>
              <c:f>'1-Media'!#REF!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43-4E4D-8C0D-C0E815A97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Reactor temperature (°C)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  <c:majorUnit val="10"/>
      </c:valAx>
      <c:valAx>
        <c:axId val="55694809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rate</a:t>
                </a:r>
                <a:r>
                  <a:rPr lang="en-GB" baseline="0"/>
                  <a:t> k (d-1)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2.5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 k/NRR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'1-Media'!$AP$4:$AP$66</c:f>
              <c:numCache>
                <c:formatCode>0.00</c:formatCode>
                <c:ptCount val="63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28">
                  <c:v>8.7728429474033712E-2</c:v>
                </c:pt>
                <c:pt idx="29">
                  <c:v>0.24318898785013118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36">
                  <c:v>0.15107948972187452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4">
                  <c:v>4.8370031847860824E-2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0">
                  <c:v>0.17960219000307931</c:v>
                </c:pt>
                <c:pt idx="61">
                  <c:v>0.12819424836279361</c:v>
                </c:pt>
                <c:pt idx="62">
                  <c:v>0.22189351829957502</c:v>
                </c:pt>
              </c:numCache>
            </c:numRef>
          </c:xVal>
          <c:yVal>
            <c:numRef>
              <c:f>'1-Media'!#REF!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97-40DE-A402-191C714EE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NRR (kg N m-3 d-1)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rate</a:t>
                </a:r>
                <a:r>
                  <a:rPr lang="en-GB" baseline="0"/>
                  <a:t> k (d-1)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Ammonia removal efficiency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84827717327428"/>
          <c:y val="0.11530787785608809"/>
          <c:w val="0.82100227937055514"/>
          <c:h val="0.73645740740740739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6350">
                <a:solidFill>
                  <a:schemeClr val="tx1"/>
                </a:solidFill>
              </a:ln>
            </c:spPr>
          </c:marker>
          <c:xVal>
            <c:numRef>
              <c:f>'S-SBR'!$B$4:$B$74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'S-SBR'!$AN$4:$AN$74</c:f>
              <c:numCache>
                <c:formatCode>0%</c:formatCode>
                <c:ptCount val="71"/>
                <c:pt idx="0">
                  <c:v>0.47978026572516952</c:v>
                </c:pt>
                <c:pt idx="6">
                  <c:v>0.84886813808715345</c:v>
                </c:pt>
                <c:pt idx="7">
                  <c:v>0.84137093509647809</c:v>
                </c:pt>
                <c:pt idx="8">
                  <c:v>0.84703562781044617</c:v>
                </c:pt>
                <c:pt idx="10">
                  <c:v>0.9119206695266896</c:v>
                </c:pt>
                <c:pt idx="11">
                  <c:v>0.9105638275351069</c:v>
                </c:pt>
                <c:pt idx="14">
                  <c:v>0.90735829222932007</c:v>
                </c:pt>
                <c:pt idx="15">
                  <c:v>0.9082408518296341</c:v>
                </c:pt>
                <c:pt idx="27">
                  <c:v>0.87244792563263895</c:v>
                </c:pt>
                <c:pt idx="28">
                  <c:v>0.87665194496347887</c:v>
                </c:pt>
                <c:pt idx="29">
                  <c:v>0.88275656768623956</c:v>
                </c:pt>
                <c:pt idx="30">
                  <c:v>0.89667947310647644</c:v>
                </c:pt>
                <c:pt idx="31">
                  <c:v>0.89773652934499559</c:v>
                </c:pt>
                <c:pt idx="32">
                  <c:v>0.88926453547815421</c:v>
                </c:pt>
                <c:pt idx="33">
                  <c:v>0.89374583721859602</c:v>
                </c:pt>
                <c:pt idx="34">
                  <c:v>0.8810085752497836</c:v>
                </c:pt>
                <c:pt idx="35">
                  <c:v>0.87642484969939871</c:v>
                </c:pt>
                <c:pt idx="36">
                  <c:v>0.89068097953706804</c:v>
                </c:pt>
                <c:pt idx="37">
                  <c:v>0.84893900184842885</c:v>
                </c:pt>
                <c:pt idx="38">
                  <c:v>0.89506590794496865</c:v>
                </c:pt>
                <c:pt idx="39">
                  <c:v>0.87510051491853003</c:v>
                </c:pt>
                <c:pt idx="41">
                  <c:v>0.8744876794159131</c:v>
                </c:pt>
                <c:pt idx="42">
                  <c:v>0.88762174734699817</c:v>
                </c:pt>
                <c:pt idx="43">
                  <c:v>0.90745261148234013</c:v>
                </c:pt>
                <c:pt idx="44">
                  <c:v>0.88453356445004727</c:v>
                </c:pt>
                <c:pt idx="45">
                  <c:v>0.8858759654354974</c:v>
                </c:pt>
                <c:pt idx="46">
                  <c:v>0.88956824108953925</c:v>
                </c:pt>
                <c:pt idx="47">
                  <c:v>0.87930294509397655</c:v>
                </c:pt>
                <c:pt idx="48">
                  <c:v>0.88676297169811313</c:v>
                </c:pt>
                <c:pt idx="50">
                  <c:v>0.91505613664715479</c:v>
                </c:pt>
                <c:pt idx="51">
                  <c:v>0.84812923499950899</c:v>
                </c:pt>
                <c:pt idx="52">
                  <c:v>0.87412401165210152</c:v>
                </c:pt>
                <c:pt idx="53">
                  <c:v>0.87980739116818041</c:v>
                </c:pt>
                <c:pt idx="54">
                  <c:v>0.8707910271546635</c:v>
                </c:pt>
                <c:pt idx="55">
                  <c:v>0.87217873698609316</c:v>
                </c:pt>
                <c:pt idx="56">
                  <c:v>0.88069012797074964</c:v>
                </c:pt>
                <c:pt idx="57">
                  <c:v>0.8798868778280543</c:v>
                </c:pt>
                <c:pt idx="58">
                  <c:v>0.89130558926404457</c:v>
                </c:pt>
                <c:pt idx="59">
                  <c:v>0.89103035546903153</c:v>
                </c:pt>
                <c:pt idx="60">
                  <c:v>0.88468419834965684</c:v>
                </c:pt>
                <c:pt idx="61">
                  <c:v>0.88777381944970823</c:v>
                </c:pt>
                <c:pt idx="62">
                  <c:v>0.85599669148056257</c:v>
                </c:pt>
                <c:pt idx="63">
                  <c:v>0.85898167006109982</c:v>
                </c:pt>
                <c:pt idx="69">
                  <c:v>0.87944129554655881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E8-497D-BCC1-EE8404D6FF6C}"/>
            </c:ext>
          </c:extLst>
        </c:ser>
        <c:ser>
          <c:idx val="2"/>
          <c:order val="1"/>
          <c:tx>
            <c:v>Media</c:v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6350"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'1-Media'!$AQ$4:$AQ$87</c:f>
              <c:numCache>
                <c:formatCode>0%</c:formatCode>
                <c:ptCount val="84"/>
                <c:pt idx="0">
                  <c:v>0.60069218619344056</c:v>
                </c:pt>
                <c:pt idx="6">
                  <c:v>0.90580079230333888</c:v>
                </c:pt>
                <c:pt idx="7">
                  <c:v>0.88324787478073141</c:v>
                </c:pt>
                <c:pt idx="8">
                  <c:v>0.87333102732618473</c:v>
                </c:pt>
                <c:pt idx="14">
                  <c:v>0.96561817740761702</c:v>
                </c:pt>
                <c:pt idx="15">
                  <c:v>0.96390971805638859</c:v>
                </c:pt>
                <c:pt idx="28">
                  <c:v>0.98232546288432143</c:v>
                </c:pt>
                <c:pt idx="29">
                  <c:v>0.98561434844087226</c:v>
                </c:pt>
                <c:pt idx="30">
                  <c:v>0.95375274423710199</c:v>
                </c:pt>
                <c:pt idx="31">
                  <c:v>0.93265006343059353</c:v>
                </c:pt>
                <c:pt idx="33">
                  <c:v>0.94206074330624745</c:v>
                </c:pt>
                <c:pt idx="34">
                  <c:v>0.80261191094327744</c:v>
                </c:pt>
                <c:pt idx="35">
                  <c:v>0.81280961923847694</c:v>
                </c:pt>
                <c:pt idx="36">
                  <c:v>0.41814156323381418</c:v>
                </c:pt>
                <c:pt idx="37">
                  <c:v>0.21345656192236603</c:v>
                </c:pt>
                <c:pt idx="40">
                  <c:v>0.41471902703494762</c:v>
                </c:pt>
                <c:pt idx="41">
                  <c:v>0.38706546088110844</c:v>
                </c:pt>
                <c:pt idx="43">
                  <c:v>0.44914087003954722</c:v>
                </c:pt>
                <c:pt idx="44">
                  <c:v>0.57741096753860699</c:v>
                </c:pt>
                <c:pt idx="45">
                  <c:v>0.64761030817465781</c:v>
                </c:pt>
                <c:pt idx="47">
                  <c:v>0.65364066893591832</c:v>
                </c:pt>
                <c:pt idx="48">
                  <c:v>0.65379569575471697</c:v>
                </c:pt>
                <c:pt idx="51">
                  <c:v>0.85566139644505546</c:v>
                </c:pt>
                <c:pt idx="52">
                  <c:v>0.84709113607990005</c:v>
                </c:pt>
                <c:pt idx="53">
                  <c:v>0.82606482931412462</c:v>
                </c:pt>
                <c:pt idx="54">
                  <c:v>0.77439590712317985</c:v>
                </c:pt>
                <c:pt idx="55">
                  <c:v>0.57138080401246305</c:v>
                </c:pt>
                <c:pt idx="56">
                  <c:v>0.41148689823278484</c:v>
                </c:pt>
                <c:pt idx="57">
                  <c:v>0.28367269984917043</c:v>
                </c:pt>
                <c:pt idx="58">
                  <c:v>0.46991219930044975</c:v>
                </c:pt>
                <c:pt idx="59">
                  <c:v>0.47497296128055383</c:v>
                </c:pt>
                <c:pt idx="60">
                  <c:v>0.44548469191023371</c:v>
                </c:pt>
                <c:pt idx="61">
                  <c:v>0.44181763056166151</c:v>
                </c:pt>
                <c:pt idx="62">
                  <c:v>0.51250620347394538</c:v>
                </c:pt>
                <c:pt idx="63">
                  <c:v>0.63913645621181259</c:v>
                </c:pt>
                <c:pt idx="64">
                  <c:v>0.59358127395807847</c:v>
                </c:pt>
                <c:pt idx="65">
                  <c:v>0.56589941022280466</c:v>
                </c:pt>
                <c:pt idx="66">
                  <c:v>0.52907968483470069</c:v>
                </c:pt>
                <c:pt idx="67">
                  <c:v>0.49911584117887842</c:v>
                </c:pt>
                <c:pt idx="68">
                  <c:v>0.51309352517985607</c:v>
                </c:pt>
                <c:pt idx="69">
                  <c:v>0.38937651821862346</c:v>
                </c:pt>
                <c:pt idx="70">
                  <c:v>0.37285714285714289</c:v>
                </c:pt>
                <c:pt idx="73">
                  <c:v>0.46252915694768421</c:v>
                </c:pt>
                <c:pt idx="74">
                  <c:v>0.47595009439382741</c:v>
                </c:pt>
                <c:pt idx="77">
                  <c:v>0.56684247265958265</c:v>
                </c:pt>
                <c:pt idx="78">
                  <c:v>0.3980995673754345</c:v>
                </c:pt>
                <c:pt idx="79">
                  <c:v>0.36442087752131419</c:v>
                </c:pt>
                <c:pt idx="80">
                  <c:v>0.4197711605429606</c:v>
                </c:pt>
                <c:pt idx="81">
                  <c:v>0.42110823554436833</c:v>
                </c:pt>
                <c:pt idx="82">
                  <c:v>0.36826178747361021</c:v>
                </c:pt>
                <c:pt idx="83">
                  <c:v>0.37658830228585372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E8-497D-BCC1-EE8404D6FF6C}"/>
            </c:ext>
          </c:extLst>
        </c:ser>
        <c:ser>
          <c:idx val="4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'G-SBR'!$B$4:$B$93</c:f>
              <c:numCache>
                <c:formatCode>General</c:formatCod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'G-SBR'!$AN$4:$AN$93</c:f>
              <c:numCache>
                <c:formatCode>0%</c:formatCode>
                <c:ptCount val="90"/>
                <c:pt idx="0">
                  <c:v>0.91914429062529035</c:v>
                </c:pt>
                <c:pt idx="14">
                  <c:v>0.89086277997897634</c:v>
                </c:pt>
                <c:pt idx="15">
                  <c:v>0.84829034193161368</c:v>
                </c:pt>
                <c:pt idx="27">
                  <c:v>0.61965054226200722</c:v>
                </c:pt>
                <c:pt idx="28">
                  <c:v>0.5882113130626806</c:v>
                </c:pt>
                <c:pt idx="29">
                  <c:v>0.87966808067276914</c:v>
                </c:pt>
                <c:pt idx="30">
                  <c:v>0.18564763995609215</c:v>
                </c:pt>
                <c:pt idx="31">
                  <c:v>0.69041864191760693</c:v>
                </c:pt>
                <c:pt idx="32">
                  <c:v>0.64573648694703834</c:v>
                </c:pt>
                <c:pt idx="33">
                  <c:v>0.85089916078326888</c:v>
                </c:pt>
                <c:pt idx="34">
                  <c:v>0.86542364880811895</c:v>
                </c:pt>
                <c:pt idx="35">
                  <c:v>0.3773547094188377</c:v>
                </c:pt>
                <c:pt idx="36">
                  <c:v>0.89169406239516935</c:v>
                </c:pt>
                <c:pt idx="37">
                  <c:v>0.70167097966728276</c:v>
                </c:pt>
                <c:pt idx="38">
                  <c:v>0.61991644457249873</c:v>
                </c:pt>
                <c:pt idx="39">
                  <c:v>0.69482259998589269</c:v>
                </c:pt>
                <c:pt idx="40">
                  <c:v>0.84669206535277308</c:v>
                </c:pt>
                <c:pt idx="56">
                  <c:v>0.11921084704448508</c:v>
                </c:pt>
                <c:pt idx="57">
                  <c:v>0.10618401206636498</c:v>
                </c:pt>
                <c:pt idx="72">
                  <c:v>0.95973534971644625</c:v>
                </c:pt>
                <c:pt idx="73">
                  <c:v>0.94474341886037994</c:v>
                </c:pt>
                <c:pt idx="77">
                  <c:v>0.79240673233537584</c:v>
                </c:pt>
                <c:pt idx="78">
                  <c:v>0.80510652760371304</c:v>
                </c:pt>
                <c:pt idx="79">
                  <c:v>0.81323213419283291</c:v>
                </c:pt>
                <c:pt idx="80">
                  <c:v>0.81208869305664122</c:v>
                </c:pt>
                <c:pt idx="85">
                  <c:v>0.90687597301504919</c:v>
                </c:pt>
                <c:pt idx="86">
                  <c:v>0.89862716202590553</c:v>
                </c:pt>
                <c:pt idx="87">
                  <c:v>0.9108374384236454</c:v>
                </c:pt>
                <c:pt idx="88">
                  <c:v>0.90461464508892808</c:v>
                </c:pt>
                <c:pt idx="89">
                  <c:v>0.89379363187468075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E8-497D-BCC1-EE8404D6FF6C}"/>
            </c:ext>
          </c:extLst>
        </c:ser>
        <c:ser>
          <c:idx val="3"/>
          <c:order val="3"/>
          <c:tx>
            <c:v>LTP</c:v>
          </c:tx>
          <c:spPr>
            <a:ln>
              <a:noFill/>
            </a:ln>
          </c:spPr>
          <c:marker>
            <c:symbol val="x"/>
            <c:size val="5"/>
            <c:spPr>
              <a:noFill/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'1-LTP'!$B$4:$B$93</c:f>
              <c:numCache>
                <c:formatCode>General</c:formatCod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'1-LTP'!$AK$4:$AK$93</c:f>
              <c:numCache>
                <c:formatCode>0%</c:formatCode>
                <c:ptCount val="90"/>
                <c:pt idx="0">
                  <c:v>0.9738688098113909</c:v>
                </c:pt>
                <c:pt idx="1">
                  <c:v>0.97056379821958461</c:v>
                </c:pt>
                <c:pt idx="12">
                  <c:v>0.87625692296626623</c:v>
                </c:pt>
                <c:pt idx="13">
                  <c:v>0.86749256689791876</c:v>
                </c:pt>
                <c:pt idx="14">
                  <c:v>0.91474084256489041</c:v>
                </c:pt>
                <c:pt idx="15">
                  <c:v>0.95554889022195555</c:v>
                </c:pt>
                <c:pt idx="27">
                  <c:v>0.97523670166982268</c:v>
                </c:pt>
                <c:pt idx="28">
                  <c:v>0.97673687786648544</c:v>
                </c:pt>
                <c:pt idx="29">
                  <c:v>0.88102999181364883</c:v>
                </c:pt>
                <c:pt idx="33">
                  <c:v>0.95507526308778479</c:v>
                </c:pt>
                <c:pt idx="34">
                  <c:v>0.98811265832743289</c:v>
                </c:pt>
                <c:pt idx="35">
                  <c:v>0.91052505010020035</c:v>
                </c:pt>
                <c:pt idx="36">
                  <c:v>0.8678564240187856</c:v>
                </c:pt>
                <c:pt idx="37">
                  <c:v>0.92231423290203329</c:v>
                </c:pt>
                <c:pt idx="38">
                  <c:v>0.91515522581574582</c:v>
                </c:pt>
                <c:pt idx="39">
                  <c:v>0.93607251181491147</c:v>
                </c:pt>
                <c:pt idx="40">
                  <c:v>0.8984101399369917</c:v>
                </c:pt>
                <c:pt idx="41">
                  <c:v>0.94856052435078408</c:v>
                </c:pt>
                <c:pt idx="42">
                  <c:v>0.89928768716383201</c:v>
                </c:pt>
                <c:pt idx="43">
                  <c:v>0.88613800627301242</c:v>
                </c:pt>
                <c:pt idx="44">
                  <c:v>0.93734635991175541</c:v>
                </c:pt>
                <c:pt idx="45">
                  <c:v>0.95008029364533153</c:v>
                </c:pt>
                <c:pt idx="46">
                  <c:v>0.91813966966096783</c:v>
                </c:pt>
                <c:pt idx="47">
                  <c:v>0.91885452123723543</c:v>
                </c:pt>
                <c:pt idx="48">
                  <c:v>0.98277564858490563</c:v>
                </c:pt>
                <c:pt idx="49">
                  <c:v>0.97951605174892187</c:v>
                </c:pt>
                <c:pt idx="50">
                  <c:v>0.97483926686498412</c:v>
                </c:pt>
                <c:pt idx="51">
                  <c:v>0.9072571933614848</c:v>
                </c:pt>
                <c:pt idx="52">
                  <c:v>0.88394506866416978</c:v>
                </c:pt>
                <c:pt idx="54">
                  <c:v>0.84965761511216054</c:v>
                </c:pt>
                <c:pt idx="55">
                  <c:v>0.89725663044304282</c:v>
                </c:pt>
                <c:pt idx="56">
                  <c:v>0.9010892748324193</c:v>
                </c:pt>
                <c:pt idx="57">
                  <c:v>0.90763197586726996</c:v>
                </c:pt>
                <c:pt idx="58">
                  <c:v>0.91010778785066737</c:v>
                </c:pt>
                <c:pt idx="59">
                  <c:v>0.92835820895522392</c:v>
                </c:pt>
                <c:pt idx="60">
                  <c:v>0.93401712038250939</c:v>
                </c:pt>
                <c:pt idx="61">
                  <c:v>0.93814901841885845</c:v>
                </c:pt>
                <c:pt idx="62">
                  <c:v>0.91023159636062867</c:v>
                </c:pt>
                <c:pt idx="65">
                  <c:v>0.96645642201834858</c:v>
                </c:pt>
                <c:pt idx="66">
                  <c:v>0.90526358541142071</c:v>
                </c:pt>
                <c:pt idx="67">
                  <c:v>0.98222677036430617</c:v>
                </c:pt>
                <c:pt idx="68">
                  <c:v>0.95953637090327737</c:v>
                </c:pt>
                <c:pt idx="69">
                  <c:v>0.93392712550607282</c:v>
                </c:pt>
                <c:pt idx="70">
                  <c:v>0.89481540930979131</c:v>
                </c:pt>
                <c:pt idx="71">
                  <c:v>0.93464840024278162</c:v>
                </c:pt>
                <c:pt idx="72">
                  <c:v>0.85895557655954624</c:v>
                </c:pt>
                <c:pt idx="73">
                  <c:v>0.84787570809730095</c:v>
                </c:pt>
                <c:pt idx="74">
                  <c:v>0.89030616432734133</c:v>
                </c:pt>
                <c:pt idx="75">
                  <c:v>0.93383494757063956</c:v>
                </c:pt>
                <c:pt idx="76">
                  <c:v>0.90035240940779904</c:v>
                </c:pt>
                <c:pt idx="77">
                  <c:v>0.9045295896998371</c:v>
                </c:pt>
                <c:pt idx="81">
                  <c:v>0.81642854610557669</c:v>
                </c:pt>
                <c:pt idx="82">
                  <c:v>0.70698256314019869</c:v>
                </c:pt>
                <c:pt idx="83">
                  <c:v>0.74904417147970381</c:v>
                </c:pt>
                <c:pt idx="84">
                  <c:v>0.85942156705656148</c:v>
                </c:pt>
                <c:pt idx="85">
                  <c:v>0.91004151530877009</c:v>
                </c:pt>
                <c:pt idx="86">
                  <c:v>0.94997285348638794</c:v>
                </c:pt>
                <c:pt idx="87">
                  <c:v>0.88967081085307687</c:v>
                </c:pt>
                <c:pt idx="88">
                  <c:v>0.88618009934305397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F-4637-8B6B-C8A33490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308480"/>
        <c:axId val="464311040"/>
      </c:scatterChart>
      <c:valAx>
        <c:axId val="4643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  <a:r>
                  <a:rPr lang="en-GB" baseline="0"/>
                  <a:t> (d)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8871434893564919"/>
              <c:y val="0.92023903706423094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64311040"/>
        <c:crosses val="autoZero"/>
        <c:crossBetween val="midCat"/>
      </c:valAx>
      <c:valAx>
        <c:axId val="464311040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ARE (%)</a:t>
                </a:r>
              </a:p>
            </c:rich>
          </c:tx>
          <c:overlay val="0"/>
        </c:title>
        <c:numFmt formatCode="0%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64308480"/>
        <c:crosses val="autoZero"/>
        <c:crossBetween val="midCat"/>
        <c:majorUnit val="0.25"/>
      </c:valAx>
    </c:plotArea>
    <c:legend>
      <c:legendPos val="b"/>
      <c:layout>
        <c:manualLayout>
          <c:xMode val="edge"/>
          <c:yMode val="edge"/>
          <c:x val="3.7197968438267741E-6"/>
          <c:y val="0.96257372962842258"/>
          <c:w val="0.37842283328898546"/>
          <c:h val="3.742627837925658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 NRR</a:t>
            </a:r>
            <a:r>
              <a:rPr lang="en-GB" sz="1000" baseline="0"/>
              <a:t> &amp; ORR/DO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Nitrogen removal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Media!#REF!</c:f>
            </c:numRef>
          </c:xVal>
          <c:yVal>
            <c:numRef>
              <c:f>'1-Media'!$AP$4:$AP$66</c:f>
              <c:numCache>
                <c:formatCode>0.00</c:formatCode>
                <c:ptCount val="63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28">
                  <c:v>8.7728429474033712E-2</c:v>
                </c:pt>
                <c:pt idx="29">
                  <c:v>0.24318898785013118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36">
                  <c:v>0.15107948972187452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4">
                  <c:v>4.8370031847860824E-2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0">
                  <c:v>0.17960219000307931</c:v>
                </c:pt>
                <c:pt idx="61">
                  <c:v>0.12819424836279361</c:v>
                </c:pt>
                <c:pt idx="62">
                  <c:v>0.22189351829957502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36-4D4E-AB7F-B3E97D1C47AF}"/>
            </c:ext>
          </c:extLst>
        </c:ser>
        <c:ser>
          <c:idx val="0"/>
          <c:order val="1"/>
          <c:tx>
            <c:v>Organic removal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Media!#REF!</c:f>
            </c:numRef>
          </c:xVal>
          <c:yVal>
            <c:numRef>
              <c:f>'1-Media'!$AM$4:$AM$66</c:f>
              <c:numCache>
                <c:formatCode>0.00</c:formatCode>
                <c:ptCount val="63"/>
                <c:pt idx="0">
                  <c:v>0</c:v>
                </c:pt>
                <c:pt idx="8">
                  <c:v>3.2650870990720074E-2</c:v>
                </c:pt>
                <c:pt idx="14">
                  <c:v>0</c:v>
                </c:pt>
                <c:pt idx="15">
                  <c:v>0.16918356820548422</c:v>
                </c:pt>
                <c:pt idx="28">
                  <c:v>6.9077136838953349E-2</c:v>
                </c:pt>
                <c:pt idx="34">
                  <c:v>0.38528964008800026</c:v>
                </c:pt>
                <c:pt idx="35">
                  <c:v>7.8070337539932366E-2</c:v>
                </c:pt>
                <c:pt idx="36">
                  <c:v>0.2120731603433092</c:v>
                </c:pt>
                <c:pt idx="37">
                  <c:v>1.046327558859286</c:v>
                </c:pt>
                <c:pt idx="40">
                  <c:v>0.10646010499363016</c:v>
                </c:pt>
                <c:pt idx="41">
                  <c:v>0.19591082842072774</c:v>
                </c:pt>
                <c:pt idx="43">
                  <c:v>9.805948023877184E-2</c:v>
                </c:pt>
                <c:pt idx="44">
                  <c:v>8.2575169214263888E-2</c:v>
                </c:pt>
                <c:pt idx="45">
                  <c:v>0.77544673292874378</c:v>
                </c:pt>
                <c:pt idx="47">
                  <c:v>0.19095483343198211</c:v>
                </c:pt>
                <c:pt idx="48">
                  <c:v>9.732374176123372E-2</c:v>
                </c:pt>
                <c:pt idx="51">
                  <c:v>0.21787901119238301</c:v>
                </c:pt>
                <c:pt idx="52">
                  <c:v>0.33687843306591764</c:v>
                </c:pt>
                <c:pt idx="53">
                  <c:v>0.34571636323516219</c:v>
                </c:pt>
                <c:pt idx="54">
                  <c:v>0.46888226306409481</c:v>
                </c:pt>
                <c:pt idx="55">
                  <c:v>0.40411228744539274</c:v>
                </c:pt>
                <c:pt idx="56">
                  <c:v>0.55288333373131815</c:v>
                </c:pt>
                <c:pt idx="57">
                  <c:v>0.57524683810664079</c:v>
                </c:pt>
                <c:pt idx="58">
                  <c:v>0.37657006022411266</c:v>
                </c:pt>
                <c:pt idx="59">
                  <c:v>0.21200997921494472</c:v>
                </c:pt>
                <c:pt idx="60">
                  <c:v>0.23213733947168655</c:v>
                </c:pt>
                <c:pt idx="61">
                  <c:v>0.38909927543384759</c:v>
                </c:pt>
                <c:pt idx="62">
                  <c:v>0.6665030480218157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36-4D4E-AB7F-B3E97D1C4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DO (mg/L)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  <c:majorUnit val="0.5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NRR, ORR (kg </a:t>
                </a:r>
                <a:r>
                  <a:rPr lang="en-GB" baseline="0"/>
                  <a:t> N &amp; COD m-3 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 NRR</a:t>
            </a:r>
            <a:r>
              <a:rPr lang="en-GB" sz="1000" baseline="0"/>
              <a:t> &amp; ORR/pH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Nitrogen removal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'1-Media'!$F$4:$F$66</c:f>
              <c:numCache>
                <c:formatCode>0.0</c:formatCode>
                <c:ptCount val="63"/>
                <c:pt idx="0">
                  <c:v>7.6885653477251346</c:v>
                </c:pt>
                <c:pt idx="6">
                  <c:v>7.2039114492959921</c:v>
                </c:pt>
                <c:pt idx="7">
                  <c:v>7.2620058581051996</c:v>
                </c:pt>
                <c:pt idx="8">
                  <c:v>6.9244787864327551</c:v>
                </c:pt>
                <c:pt idx="14">
                  <c:v>6.6422534705615215</c:v>
                </c:pt>
                <c:pt idx="15">
                  <c:v>6.898019221126102</c:v>
                </c:pt>
                <c:pt idx="28">
                  <c:v>6.3786664806857205</c:v>
                </c:pt>
                <c:pt idx="29">
                  <c:v>6.3551720771802795</c:v>
                </c:pt>
                <c:pt idx="30">
                  <c:v>6.7381538952526556</c:v>
                </c:pt>
                <c:pt idx="31">
                  <c:v>6.7457239673353655</c:v>
                </c:pt>
                <c:pt idx="33">
                  <c:v>6.5494141821975473</c:v>
                </c:pt>
                <c:pt idx="34">
                  <c:v>6.8861673951604141</c:v>
                </c:pt>
                <c:pt idx="35">
                  <c:v>7.4289829544787684</c:v>
                </c:pt>
                <c:pt idx="36">
                  <c:v>8.2946048665071519</c:v>
                </c:pt>
                <c:pt idx="37">
                  <c:v>7.641298160500015</c:v>
                </c:pt>
                <c:pt idx="40">
                  <c:v>7.5788563915690963</c:v>
                </c:pt>
                <c:pt idx="41">
                  <c:v>7.7121315475802836</c:v>
                </c:pt>
                <c:pt idx="43">
                  <c:v>8.5212951618447477</c:v>
                </c:pt>
                <c:pt idx="44">
                  <c:v>7.5708413688476943</c:v>
                </c:pt>
                <c:pt idx="45">
                  <c:v>7.3374633118742993</c:v>
                </c:pt>
                <c:pt idx="47">
                  <c:v>7.4423096273475871</c:v>
                </c:pt>
                <c:pt idx="48">
                  <c:v>7.3725459018708603</c:v>
                </c:pt>
                <c:pt idx="51">
                  <c:v>6.7863970494692376</c:v>
                </c:pt>
                <c:pt idx="52">
                  <c:v>6.8037625062552562</c:v>
                </c:pt>
                <c:pt idx="53">
                  <c:v>6.8947369781727179</c:v>
                </c:pt>
                <c:pt idx="54">
                  <c:v>7.0157302639956942</c:v>
                </c:pt>
                <c:pt idx="55">
                  <c:v>7.2471351199827021</c:v>
                </c:pt>
                <c:pt idx="56">
                  <c:v>7.5224342362742505</c:v>
                </c:pt>
                <c:pt idx="57">
                  <c:v>7.7347576374065872</c:v>
                </c:pt>
                <c:pt idx="58">
                  <c:v>7.722689855847662</c:v>
                </c:pt>
                <c:pt idx="59">
                  <c:v>7.502317733129086</c:v>
                </c:pt>
                <c:pt idx="60">
                  <c:v>7.4317069616387261</c:v>
                </c:pt>
                <c:pt idx="61">
                  <c:v>7.4288723775803405</c:v>
                </c:pt>
                <c:pt idx="62">
                  <c:v>7.4565674602385403</c:v>
                </c:pt>
              </c:numCache>
            </c:numRef>
          </c:xVal>
          <c:yVal>
            <c:numRef>
              <c:f>'1-Media'!$AP$4:$AP$66</c:f>
              <c:numCache>
                <c:formatCode>0.00</c:formatCode>
                <c:ptCount val="63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28">
                  <c:v>8.7728429474033712E-2</c:v>
                </c:pt>
                <c:pt idx="29">
                  <c:v>0.24318898785013118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36">
                  <c:v>0.15107948972187452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4">
                  <c:v>4.8370031847860824E-2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0">
                  <c:v>0.17960219000307931</c:v>
                </c:pt>
                <c:pt idx="61">
                  <c:v>0.12819424836279361</c:v>
                </c:pt>
                <c:pt idx="62">
                  <c:v>0.22189351829957502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7F-492B-B79C-83924E855D61}"/>
            </c:ext>
          </c:extLst>
        </c:ser>
        <c:ser>
          <c:idx val="0"/>
          <c:order val="1"/>
          <c:tx>
            <c:v>Organic removal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'1-Media'!$F$4:$F$66</c:f>
              <c:numCache>
                <c:formatCode>0.0</c:formatCode>
                <c:ptCount val="63"/>
                <c:pt idx="0">
                  <c:v>7.6885653477251346</c:v>
                </c:pt>
                <c:pt idx="6">
                  <c:v>7.2039114492959921</c:v>
                </c:pt>
                <c:pt idx="7">
                  <c:v>7.2620058581051996</c:v>
                </c:pt>
                <c:pt idx="8">
                  <c:v>6.9244787864327551</c:v>
                </c:pt>
                <c:pt idx="14">
                  <c:v>6.6422534705615215</c:v>
                </c:pt>
                <c:pt idx="15">
                  <c:v>6.898019221126102</c:v>
                </c:pt>
                <c:pt idx="28">
                  <c:v>6.3786664806857205</c:v>
                </c:pt>
                <c:pt idx="29">
                  <c:v>6.3551720771802795</c:v>
                </c:pt>
                <c:pt idx="30">
                  <c:v>6.7381538952526556</c:v>
                </c:pt>
                <c:pt idx="31">
                  <c:v>6.7457239673353655</c:v>
                </c:pt>
                <c:pt idx="33">
                  <c:v>6.5494141821975473</c:v>
                </c:pt>
                <c:pt idx="34">
                  <c:v>6.8861673951604141</c:v>
                </c:pt>
                <c:pt idx="35">
                  <c:v>7.4289829544787684</c:v>
                </c:pt>
                <c:pt idx="36">
                  <c:v>8.2946048665071519</c:v>
                </c:pt>
                <c:pt idx="37">
                  <c:v>7.641298160500015</c:v>
                </c:pt>
                <c:pt idx="40">
                  <c:v>7.5788563915690963</c:v>
                </c:pt>
                <c:pt idx="41">
                  <c:v>7.7121315475802836</c:v>
                </c:pt>
                <c:pt idx="43">
                  <c:v>8.5212951618447477</c:v>
                </c:pt>
                <c:pt idx="44">
                  <c:v>7.5708413688476943</c:v>
                </c:pt>
                <c:pt idx="45">
                  <c:v>7.3374633118742993</c:v>
                </c:pt>
                <c:pt idx="47">
                  <c:v>7.4423096273475871</c:v>
                </c:pt>
                <c:pt idx="48">
                  <c:v>7.3725459018708603</c:v>
                </c:pt>
                <c:pt idx="51">
                  <c:v>6.7863970494692376</c:v>
                </c:pt>
                <c:pt idx="52">
                  <c:v>6.8037625062552562</c:v>
                </c:pt>
                <c:pt idx="53">
                  <c:v>6.8947369781727179</c:v>
                </c:pt>
                <c:pt idx="54">
                  <c:v>7.0157302639956942</c:v>
                </c:pt>
                <c:pt idx="55">
                  <c:v>7.2471351199827021</c:v>
                </c:pt>
                <c:pt idx="56">
                  <c:v>7.5224342362742505</c:v>
                </c:pt>
                <c:pt idx="57">
                  <c:v>7.7347576374065872</c:v>
                </c:pt>
                <c:pt idx="58">
                  <c:v>7.722689855847662</c:v>
                </c:pt>
                <c:pt idx="59">
                  <c:v>7.502317733129086</c:v>
                </c:pt>
                <c:pt idx="60">
                  <c:v>7.4317069616387261</c:v>
                </c:pt>
                <c:pt idx="61">
                  <c:v>7.4288723775803405</c:v>
                </c:pt>
                <c:pt idx="62">
                  <c:v>7.4565674602385403</c:v>
                </c:pt>
              </c:numCache>
            </c:numRef>
          </c:xVal>
          <c:yVal>
            <c:numRef>
              <c:f>'1-Media'!$AM$4:$AM$66</c:f>
              <c:numCache>
                <c:formatCode>0.00</c:formatCode>
                <c:ptCount val="63"/>
                <c:pt idx="0">
                  <c:v>0</c:v>
                </c:pt>
                <c:pt idx="8">
                  <c:v>3.2650870990720074E-2</c:v>
                </c:pt>
                <c:pt idx="14">
                  <c:v>0</c:v>
                </c:pt>
                <c:pt idx="15">
                  <c:v>0.16918356820548422</c:v>
                </c:pt>
                <c:pt idx="28">
                  <c:v>6.9077136838953349E-2</c:v>
                </c:pt>
                <c:pt idx="34">
                  <c:v>0.38528964008800026</c:v>
                </c:pt>
                <c:pt idx="35">
                  <c:v>7.8070337539932366E-2</c:v>
                </c:pt>
                <c:pt idx="36">
                  <c:v>0.2120731603433092</c:v>
                </c:pt>
                <c:pt idx="37">
                  <c:v>1.046327558859286</c:v>
                </c:pt>
                <c:pt idx="40">
                  <c:v>0.10646010499363016</c:v>
                </c:pt>
                <c:pt idx="41">
                  <c:v>0.19591082842072774</c:v>
                </c:pt>
                <c:pt idx="43">
                  <c:v>9.805948023877184E-2</c:v>
                </c:pt>
                <c:pt idx="44">
                  <c:v>8.2575169214263888E-2</c:v>
                </c:pt>
                <c:pt idx="45">
                  <c:v>0.77544673292874378</c:v>
                </c:pt>
                <c:pt idx="47">
                  <c:v>0.19095483343198211</c:v>
                </c:pt>
                <c:pt idx="48">
                  <c:v>9.732374176123372E-2</c:v>
                </c:pt>
                <c:pt idx="51">
                  <c:v>0.21787901119238301</c:v>
                </c:pt>
                <c:pt idx="52">
                  <c:v>0.33687843306591764</c:v>
                </c:pt>
                <c:pt idx="53">
                  <c:v>0.34571636323516219</c:v>
                </c:pt>
                <c:pt idx="54">
                  <c:v>0.46888226306409481</c:v>
                </c:pt>
                <c:pt idx="55">
                  <c:v>0.40411228744539274</c:v>
                </c:pt>
                <c:pt idx="56">
                  <c:v>0.55288333373131815</c:v>
                </c:pt>
                <c:pt idx="57">
                  <c:v>0.57524683810664079</c:v>
                </c:pt>
                <c:pt idx="58">
                  <c:v>0.37657006022411266</c:v>
                </c:pt>
                <c:pt idx="59">
                  <c:v>0.21200997921494472</c:v>
                </c:pt>
                <c:pt idx="60">
                  <c:v>0.23213733947168655</c:v>
                </c:pt>
                <c:pt idx="61">
                  <c:v>0.38909927543384759</c:v>
                </c:pt>
                <c:pt idx="62">
                  <c:v>0.6665030480218157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7F-492B-B79C-83924E855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in val="5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pH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NRR, ORR (kg </a:t>
                </a:r>
                <a:r>
                  <a:rPr lang="en-GB" baseline="0"/>
                  <a:t> N &amp; COD m-3 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 DO</a:t>
            </a:r>
            <a:r>
              <a:rPr lang="en-GB" sz="1000" baseline="0"/>
              <a:t>/pH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'1-Media'!$F$4:$F$66</c:f>
              <c:numCache>
                <c:formatCode>0.0</c:formatCode>
                <c:ptCount val="63"/>
                <c:pt idx="0">
                  <c:v>7.6885653477251346</c:v>
                </c:pt>
                <c:pt idx="6">
                  <c:v>7.2039114492959921</c:v>
                </c:pt>
                <c:pt idx="7">
                  <c:v>7.2620058581051996</c:v>
                </c:pt>
                <c:pt idx="8">
                  <c:v>6.9244787864327551</c:v>
                </c:pt>
                <c:pt idx="14">
                  <c:v>6.6422534705615215</c:v>
                </c:pt>
                <c:pt idx="15">
                  <c:v>6.898019221126102</c:v>
                </c:pt>
                <c:pt idx="28">
                  <c:v>6.3786664806857205</c:v>
                </c:pt>
                <c:pt idx="29">
                  <c:v>6.3551720771802795</c:v>
                </c:pt>
                <c:pt idx="30">
                  <c:v>6.7381538952526556</c:v>
                </c:pt>
                <c:pt idx="31">
                  <c:v>6.7457239673353655</c:v>
                </c:pt>
                <c:pt idx="33">
                  <c:v>6.5494141821975473</c:v>
                </c:pt>
                <c:pt idx="34">
                  <c:v>6.8861673951604141</c:v>
                </c:pt>
                <c:pt idx="35">
                  <c:v>7.4289829544787684</c:v>
                </c:pt>
                <c:pt idx="36">
                  <c:v>8.2946048665071519</c:v>
                </c:pt>
                <c:pt idx="37">
                  <c:v>7.641298160500015</c:v>
                </c:pt>
                <c:pt idx="40">
                  <c:v>7.5788563915690963</c:v>
                </c:pt>
                <c:pt idx="41">
                  <c:v>7.7121315475802836</c:v>
                </c:pt>
                <c:pt idx="43">
                  <c:v>8.5212951618447477</c:v>
                </c:pt>
                <c:pt idx="44">
                  <c:v>7.5708413688476943</c:v>
                </c:pt>
                <c:pt idx="45">
                  <c:v>7.3374633118742993</c:v>
                </c:pt>
                <c:pt idx="47">
                  <c:v>7.4423096273475871</c:v>
                </c:pt>
                <c:pt idx="48">
                  <c:v>7.3725459018708603</c:v>
                </c:pt>
                <c:pt idx="51">
                  <c:v>6.7863970494692376</c:v>
                </c:pt>
                <c:pt idx="52">
                  <c:v>6.8037625062552562</c:v>
                </c:pt>
                <c:pt idx="53">
                  <c:v>6.8947369781727179</c:v>
                </c:pt>
                <c:pt idx="54">
                  <c:v>7.0157302639956942</c:v>
                </c:pt>
                <c:pt idx="55">
                  <c:v>7.2471351199827021</c:v>
                </c:pt>
                <c:pt idx="56">
                  <c:v>7.5224342362742505</c:v>
                </c:pt>
                <c:pt idx="57">
                  <c:v>7.7347576374065872</c:v>
                </c:pt>
                <c:pt idx="58">
                  <c:v>7.722689855847662</c:v>
                </c:pt>
                <c:pt idx="59">
                  <c:v>7.502317733129086</c:v>
                </c:pt>
                <c:pt idx="60">
                  <c:v>7.4317069616387261</c:v>
                </c:pt>
                <c:pt idx="61">
                  <c:v>7.4288723775803405</c:v>
                </c:pt>
                <c:pt idx="62">
                  <c:v>7.4565674602385403</c:v>
                </c:pt>
              </c:numCache>
            </c:numRef>
          </c:xVal>
          <c:yVal>
            <c:numRef>
              <c:f>Media!#REF!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88-414B-A9CF-20CB402B2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in val="5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pH 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DO (mg/L)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0.2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 SAA/T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'1-Media'!$G$4:$G$66</c:f>
              <c:numCache>
                <c:formatCode>0.0</c:formatCode>
                <c:ptCount val="63"/>
                <c:pt idx="0">
                  <c:v>0.18035838741864732</c:v>
                </c:pt>
                <c:pt idx="6">
                  <c:v>5.4614717239712479E-2</c:v>
                </c:pt>
                <c:pt idx="7">
                  <c:v>7.8844151467715895E-2</c:v>
                </c:pt>
                <c:pt idx="8">
                  <c:v>0.54048247173485431</c:v>
                </c:pt>
                <c:pt idx="14">
                  <c:v>0.75967979860963697</c:v>
                </c:pt>
                <c:pt idx="15">
                  <c:v>0.39360812223648617</c:v>
                </c:pt>
                <c:pt idx="28">
                  <c:v>0.51188562934812842</c:v>
                </c:pt>
                <c:pt idx="29">
                  <c:v>0.78811567128532178</c:v>
                </c:pt>
                <c:pt idx="30">
                  <c:v>0.67350789719687609</c:v>
                </c:pt>
                <c:pt idx="31">
                  <c:v>0.98758070041573909</c:v>
                </c:pt>
                <c:pt idx="33">
                  <c:v>0.69430970165753103</c:v>
                </c:pt>
                <c:pt idx="34">
                  <c:v>1.2784940126619997</c:v>
                </c:pt>
                <c:pt idx="35">
                  <c:v>0.62792172844378491</c:v>
                </c:pt>
                <c:pt idx="36">
                  <c:v>1.0936228732750757</c:v>
                </c:pt>
                <c:pt idx="37">
                  <c:v>0.76170296868757426</c:v>
                </c:pt>
                <c:pt idx="40">
                  <c:v>0.85797943474827687</c:v>
                </c:pt>
                <c:pt idx="41">
                  <c:v>1.2032818468090396</c:v>
                </c:pt>
                <c:pt idx="43">
                  <c:v>2.4593396381304027</c:v>
                </c:pt>
                <c:pt idx="44">
                  <c:v>0.88628427488280026</c:v>
                </c:pt>
                <c:pt idx="45">
                  <c:v>0.91132289045016746</c:v>
                </c:pt>
                <c:pt idx="47">
                  <c:v>0.40535057256181223</c:v>
                </c:pt>
                <c:pt idx="48">
                  <c:v>1.1796342397379569</c:v>
                </c:pt>
                <c:pt idx="51">
                  <c:v>0.54771607038679737</c:v>
                </c:pt>
                <c:pt idx="52">
                  <c:v>0.62387669181107896</c:v>
                </c:pt>
                <c:pt idx="53">
                  <c:v>0.73639751744742032</c:v>
                </c:pt>
                <c:pt idx="54">
                  <c:v>0.8440385284791263</c:v>
                </c:pt>
                <c:pt idx="55">
                  <c:v>0.7946541999123734</c:v>
                </c:pt>
                <c:pt idx="56">
                  <c:v>0.80251171523934639</c:v>
                </c:pt>
                <c:pt idx="57">
                  <c:v>0.68774947951037368</c:v>
                </c:pt>
                <c:pt idx="58">
                  <c:v>0.79410968508334756</c:v>
                </c:pt>
                <c:pt idx="59">
                  <c:v>0.86344758781944864</c:v>
                </c:pt>
                <c:pt idx="60">
                  <c:v>0.9397401076478703</c:v>
                </c:pt>
                <c:pt idx="61">
                  <c:v>0.96557054803918441</c:v>
                </c:pt>
                <c:pt idx="62">
                  <c:v>1.3452906964430169</c:v>
                </c:pt>
              </c:numCache>
            </c:numRef>
          </c:xVal>
          <c:yVal>
            <c:numRef>
              <c:f>'1-Media'!$AV$4:$AV$66</c:f>
              <c:numCache>
                <c:formatCode>0.00</c:formatCode>
                <c:ptCount val="63"/>
                <c:pt idx="6">
                  <c:v>0.158</c:v>
                </c:pt>
                <c:pt idx="30">
                  <c:v>0.16600000000000001</c:v>
                </c:pt>
                <c:pt idx="37">
                  <c:v>0.46799999999999997</c:v>
                </c:pt>
                <c:pt idx="44">
                  <c:v>0.73599999999999999</c:v>
                </c:pt>
                <c:pt idx="50">
                  <c:v>1.214</c:v>
                </c:pt>
                <c:pt idx="58">
                  <c:v>1.214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50-4265-8B2C-7ECDED60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 (°C)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  <c:majorUnit val="2"/>
      </c:valAx>
      <c:valAx>
        <c:axId val="55694809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SAA (mgN/gVSS/d)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 SAA/NRR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'1-Media'!$AP$4:$AP$66</c:f>
              <c:numCache>
                <c:formatCode>0.00</c:formatCode>
                <c:ptCount val="63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28">
                  <c:v>8.7728429474033712E-2</c:v>
                </c:pt>
                <c:pt idx="29">
                  <c:v>0.24318898785013118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36">
                  <c:v>0.15107948972187452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4">
                  <c:v>4.8370031847860824E-2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0">
                  <c:v>0.17960219000307931</c:v>
                </c:pt>
                <c:pt idx="61">
                  <c:v>0.12819424836279361</c:v>
                </c:pt>
                <c:pt idx="62">
                  <c:v>0.22189351829957502</c:v>
                </c:pt>
              </c:numCache>
            </c:numRef>
          </c:xVal>
          <c:yVal>
            <c:numRef>
              <c:f>'1-Media'!$AV$4:$AV$66</c:f>
              <c:numCache>
                <c:formatCode>0.00</c:formatCode>
                <c:ptCount val="63"/>
                <c:pt idx="6">
                  <c:v>0.158</c:v>
                </c:pt>
                <c:pt idx="30">
                  <c:v>0.16600000000000001</c:v>
                </c:pt>
                <c:pt idx="37">
                  <c:v>0.46799999999999997</c:v>
                </c:pt>
                <c:pt idx="44">
                  <c:v>0.73599999999999999</c:v>
                </c:pt>
                <c:pt idx="50">
                  <c:v>1.214</c:v>
                </c:pt>
                <c:pt idx="58">
                  <c:v>1.214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CE-4417-ADF1-37955F315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1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NRR (kgN/m3/d)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  <c:majorUnit val="0.25"/>
      </c:valAx>
      <c:valAx>
        <c:axId val="556948096"/>
        <c:scaling>
          <c:orientation val="minMax"/>
          <c:max val="3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SAA (mgN/gVSS/d)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MEDIA: SAA/C/N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'1-Influent'!$T$4:$T$83</c:f>
              <c:numCache>
                <c:formatCode>0.0</c:formatCode>
                <c:ptCount val="80"/>
                <c:pt idx="6">
                  <c:v>2.5272315744801244</c:v>
                </c:pt>
                <c:pt idx="7">
                  <c:v>2.3920669185105234</c:v>
                </c:pt>
                <c:pt idx="8">
                  <c:v>2.3936501348827557</c:v>
                </c:pt>
                <c:pt idx="9">
                  <c:v>3.1483087597571551</c:v>
                </c:pt>
                <c:pt idx="10">
                  <c:v>2.4365375149426902</c:v>
                </c:pt>
                <c:pt idx="11">
                  <c:v>2.113093139674258</c:v>
                </c:pt>
                <c:pt idx="12">
                  <c:v>2.1359223300970873</c:v>
                </c:pt>
                <c:pt idx="13">
                  <c:v>2.4430209513023784</c:v>
                </c:pt>
                <c:pt idx="15">
                  <c:v>2.260458839406208</c:v>
                </c:pt>
                <c:pt idx="27">
                  <c:v>2.145352369380316</c:v>
                </c:pt>
                <c:pt idx="28">
                  <c:v>2.0100203804347823</c:v>
                </c:pt>
                <c:pt idx="29">
                  <c:v>1.8732195525901387</c:v>
                </c:pt>
                <c:pt idx="30">
                  <c:v>1.7008505967896832</c:v>
                </c:pt>
                <c:pt idx="31">
                  <c:v>1.694372120969357</c:v>
                </c:pt>
                <c:pt idx="32">
                  <c:v>1.7174401962788797</c:v>
                </c:pt>
                <c:pt idx="33">
                  <c:v>1.7111747469366008</c:v>
                </c:pt>
                <c:pt idx="34">
                  <c:v>1.9686271809070948</c:v>
                </c:pt>
                <c:pt idx="35">
                  <c:v>2.0197162779514306</c:v>
                </c:pt>
                <c:pt idx="36">
                  <c:v>1.7358020295531424</c:v>
                </c:pt>
                <c:pt idx="37">
                  <c:v>1.862208096007173</c:v>
                </c:pt>
                <c:pt idx="38">
                  <c:v>1.8201741250585761</c:v>
                </c:pt>
                <c:pt idx="39">
                  <c:v>1.7931447915932011</c:v>
                </c:pt>
                <c:pt idx="40">
                  <c:v>1.798313438896235</c:v>
                </c:pt>
                <c:pt idx="41">
                  <c:v>1.7133969307341352</c:v>
                </c:pt>
                <c:pt idx="42">
                  <c:v>1.71990850406471</c:v>
                </c:pt>
                <c:pt idx="43">
                  <c:v>1.7241614398691028</c:v>
                </c:pt>
                <c:pt idx="44">
                  <c:v>1.8504805419883408</c:v>
                </c:pt>
                <c:pt idx="45">
                  <c:v>2.0018344416418254</c:v>
                </c:pt>
                <c:pt idx="46">
                  <c:v>1.936114732724902</c:v>
                </c:pt>
                <c:pt idx="47">
                  <c:v>1.9623919082272396</c:v>
                </c:pt>
                <c:pt idx="48">
                  <c:v>1.9432571849668385</c:v>
                </c:pt>
                <c:pt idx="49">
                  <c:v>1.9187160651549025</c:v>
                </c:pt>
                <c:pt idx="50">
                  <c:v>1.9428187661901564</c:v>
                </c:pt>
                <c:pt idx="51">
                  <c:v>1.5898583872694534</c:v>
                </c:pt>
                <c:pt idx="52">
                  <c:v>1.6663892818507113</c:v>
                </c:pt>
                <c:pt idx="53">
                  <c:v>1.5730820364432627</c:v>
                </c:pt>
                <c:pt idx="54">
                  <c:v>1.6878996967449591</c:v>
                </c:pt>
                <c:pt idx="55">
                  <c:v>1.6583086391611579</c:v>
                </c:pt>
                <c:pt idx="56">
                  <c:v>1.675932977913176</c:v>
                </c:pt>
                <c:pt idx="57">
                  <c:v>1.6444511007937694</c:v>
                </c:pt>
                <c:pt idx="58">
                  <c:v>1.5933736093903668</c:v>
                </c:pt>
                <c:pt idx="59">
                  <c:v>1.5864032874342151</c:v>
                </c:pt>
                <c:pt idx="60">
                  <c:v>1.7689579103635498</c:v>
                </c:pt>
                <c:pt idx="61">
                  <c:v>1.9234558544903373</c:v>
                </c:pt>
                <c:pt idx="62">
                  <c:v>2.0282004631161099</c:v>
                </c:pt>
                <c:pt idx="63">
                  <c:v>2.0668644493614141</c:v>
                </c:pt>
                <c:pt idx="64">
                  <c:v>2.1246840088069803</c:v>
                </c:pt>
                <c:pt idx="65">
                  <c:v>2.0343980343980346</c:v>
                </c:pt>
                <c:pt idx="66">
                  <c:v>2.0763674057104136</c:v>
                </c:pt>
                <c:pt idx="67">
                  <c:v>1.9927150691659163</c:v>
                </c:pt>
                <c:pt idx="68">
                  <c:v>1.6328324808184143</c:v>
                </c:pt>
                <c:pt idx="69">
                  <c:v>1.599336139896373</c:v>
                </c:pt>
                <c:pt idx="70">
                  <c:v>1.4493211240922008</c:v>
                </c:pt>
                <c:pt idx="71">
                  <c:v>0.82417582417582413</c:v>
                </c:pt>
                <c:pt idx="72">
                  <c:v>0.79175207650022228</c:v>
                </c:pt>
                <c:pt idx="73">
                  <c:v>1.6716641679160418</c:v>
                </c:pt>
                <c:pt idx="74">
                  <c:v>1.6890006260950599</c:v>
                </c:pt>
                <c:pt idx="75">
                  <c:v>1.5974643423137875</c:v>
                </c:pt>
                <c:pt idx="76">
                  <c:v>1.7751819226350058</c:v>
                </c:pt>
                <c:pt idx="77">
                  <c:v>1.7029856533540131</c:v>
                </c:pt>
                <c:pt idx="78">
                  <c:v>1.8796327105648809</c:v>
                </c:pt>
                <c:pt idx="79">
                  <c:v>1.8431630743641276</c:v>
                </c:pt>
              </c:numCache>
            </c:numRef>
          </c:xVal>
          <c:yVal>
            <c:numRef>
              <c:f>'1-Media'!$AV$4:$AV$66</c:f>
              <c:numCache>
                <c:formatCode>0.00</c:formatCode>
                <c:ptCount val="63"/>
                <c:pt idx="6">
                  <c:v>0.158</c:v>
                </c:pt>
                <c:pt idx="30">
                  <c:v>0.16600000000000001</c:v>
                </c:pt>
                <c:pt idx="37">
                  <c:v>0.46799999999999997</c:v>
                </c:pt>
                <c:pt idx="44">
                  <c:v>0.73599999999999999</c:v>
                </c:pt>
                <c:pt idx="50">
                  <c:v>1.214</c:v>
                </c:pt>
                <c:pt idx="58">
                  <c:v>1.214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0F-49CC-A587-A7929F988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C/N ratio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SAA (mgN/gVSS/d)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G-SBR:</a:t>
            </a:r>
            <a:r>
              <a:rPr lang="en-GB" sz="1000" baseline="0"/>
              <a:t> NRR/Treactor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'G-SBR'!$E$4:$E$574</c:f>
              <c:numCache>
                <c:formatCode>0.0</c:formatCode>
                <c:ptCount val="571"/>
                <c:pt idx="0">
                  <c:v>25.477589999999999</c:v>
                </c:pt>
                <c:pt idx="14">
                  <c:v>17.549936249999998</c:v>
                </c:pt>
                <c:pt idx="15">
                  <c:v>18.962759375000001</c:v>
                </c:pt>
                <c:pt idx="27">
                  <c:v>30.359635624999999</c:v>
                </c:pt>
                <c:pt idx="28">
                  <c:v>27.316898125000002</c:v>
                </c:pt>
                <c:pt idx="29">
                  <c:v>33.499074374999999</c:v>
                </c:pt>
                <c:pt idx="30">
                  <c:v>27.716984374999999</c:v>
                </c:pt>
                <c:pt idx="31">
                  <c:v>29.057996875000001</c:v>
                </c:pt>
                <c:pt idx="32">
                  <c:v>29.3640975</c:v>
                </c:pt>
                <c:pt idx="33">
                  <c:v>30.756553125</c:v>
                </c:pt>
                <c:pt idx="34">
                  <c:v>28.562416249999998</c:v>
                </c:pt>
                <c:pt idx="35">
                  <c:v>31.664441875000001</c:v>
                </c:pt>
                <c:pt idx="36">
                  <c:v>29.244463124999999</c:v>
                </c:pt>
                <c:pt idx="37">
                  <c:v>27.8776525</c:v>
                </c:pt>
                <c:pt idx="38">
                  <c:v>28.459829375000002</c:v>
                </c:pt>
                <c:pt idx="39">
                  <c:v>27.250819374999999</c:v>
                </c:pt>
                <c:pt idx="40">
                  <c:v>26.701079374999999</c:v>
                </c:pt>
                <c:pt idx="56">
                  <c:v>27</c:v>
                </c:pt>
                <c:pt idx="57">
                  <c:v>27</c:v>
                </c:pt>
                <c:pt idx="72">
                  <c:v>32.299999999999997</c:v>
                </c:pt>
                <c:pt idx="73">
                  <c:v>29.2</c:v>
                </c:pt>
                <c:pt idx="77">
                  <c:v>28.1</c:v>
                </c:pt>
                <c:pt idx="78">
                  <c:v>30.4</c:v>
                </c:pt>
                <c:pt idx="79">
                  <c:v>28.9</c:v>
                </c:pt>
                <c:pt idx="80">
                  <c:v>29.2</c:v>
                </c:pt>
                <c:pt idx="85">
                  <c:v>33.299999999999997</c:v>
                </c:pt>
                <c:pt idx="86">
                  <c:v>32.9</c:v>
                </c:pt>
                <c:pt idx="87">
                  <c:v>28.1</c:v>
                </c:pt>
                <c:pt idx="88">
                  <c:v>25.7</c:v>
                </c:pt>
                <c:pt idx="89">
                  <c:v>24.4</c:v>
                </c:pt>
              </c:numCache>
            </c:numRef>
          </c:xVal>
          <c:yVal>
            <c:numRef>
              <c:f>'G-SBR'!$AO$4:$AO$574</c:f>
              <c:numCache>
                <c:formatCode>0%</c:formatCode>
                <c:ptCount val="571"/>
                <c:pt idx="0">
                  <c:v>0.89580641685080931</c:v>
                </c:pt>
                <c:pt idx="14">
                  <c:v>0.74980192416525182</c:v>
                </c:pt>
                <c:pt idx="15">
                  <c:v>0.73141400509821564</c:v>
                </c:pt>
                <c:pt idx="27">
                  <c:v>0.158659038747131</c:v>
                </c:pt>
                <c:pt idx="28">
                  <c:v>0.2452955163043479</c:v>
                </c:pt>
                <c:pt idx="29">
                  <c:v>0.75039293909555127</c:v>
                </c:pt>
                <c:pt idx="30">
                  <c:v>0.15214707092879678</c:v>
                </c:pt>
                <c:pt idx="31">
                  <c:v>0.66475732692436074</c:v>
                </c:pt>
                <c:pt idx="32">
                  <c:v>0.61436652354665022</c:v>
                </c:pt>
                <c:pt idx="33">
                  <c:v>0.78212573255194451</c:v>
                </c:pt>
                <c:pt idx="34">
                  <c:v>0.54776748051720381</c:v>
                </c:pt>
                <c:pt idx="35">
                  <c:v>3.153802997515439E-2</c:v>
                </c:pt>
                <c:pt idx="36">
                  <c:v>0.60877363031537857</c:v>
                </c:pt>
                <c:pt idx="37">
                  <c:v>0.36245955157569243</c:v>
                </c:pt>
                <c:pt idx="38">
                  <c:v>0.22093305944986072</c:v>
                </c:pt>
                <c:pt idx="39">
                  <c:v>0.2693067212074195</c:v>
                </c:pt>
                <c:pt idx="40">
                  <c:v>0.42100729815537286</c:v>
                </c:pt>
                <c:pt idx="56">
                  <c:v>0.11751713632901749</c:v>
                </c:pt>
                <c:pt idx="57">
                  <c:v>0.11090310019469832</c:v>
                </c:pt>
                <c:pt idx="72">
                  <c:v>0.93824800913667883</c:v>
                </c:pt>
                <c:pt idx="73">
                  <c:v>0.92168082625353998</c:v>
                </c:pt>
                <c:pt idx="77">
                  <c:v>0.59197363319115937</c:v>
                </c:pt>
                <c:pt idx="78">
                  <c:v>0.62297612052304052</c:v>
                </c:pt>
                <c:pt idx="79">
                  <c:v>0.64207498787164741</c:v>
                </c:pt>
                <c:pt idx="80">
                  <c:v>0.64520002842322177</c:v>
                </c:pt>
                <c:pt idx="85">
                  <c:v>0.8802607719540626</c:v>
                </c:pt>
                <c:pt idx="86">
                  <c:v>0.87732230161714941</c:v>
                </c:pt>
                <c:pt idx="87">
                  <c:v>0.88147200248177449</c:v>
                </c:pt>
                <c:pt idx="88">
                  <c:v>0.83505057633498003</c:v>
                </c:pt>
                <c:pt idx="89">
                  <c:v>0.81106775157754896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20-4911-9686-CBFE9B725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Reactor temperature</a:t>
                </a:r>
                <a:r>
                  <a:rPr lang="en-GB" baseline="0"/>
                  <a:t> (°C)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 (kg N m-3 d-1)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G-SBR: NRR/C/N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'1-Influent'!$T$4:$T$83</c:f>
              <c:numCache>
                <c:formatCode>0.0</c:formatCode>
                <c:ptCount val="80"/>
                <c:pt idx="6">
                  <c:v>2.5272315744801244</c:v>
                </c:pt>
                <c:pt idx="7">
                  <c:v>2.3920669185105234</c:v>
                </c:pt>
                <c:pt idx="8">
                  <c:v>2.3936501348827557</c:v>
                </c:pt>
                <c:pt idx="9">
                  <c:v>3.1483087597571551</c:v>
                </c:pt>
                <c:pt idx="10">
                  <c:v>2.4365375149426902</c:v>
                </c:pt>
                <c:pt idx="11">
                  <c:v>2.113093139674258</c:v>
                </c:pt>
                <c:pt idx="12">
                  <c:v>2.1359223300970873</c:v>
                </c:pt>
                <c:pt idx="13">
                  <c:v>2.4430209513023784</c:v>
                </c:pt>
                <c:pt idx="15">
                  <c:v>2.260458839406208</c:v>
                </c:pt>
                <c:pt idx="27">
                  <c:v>2.145352369380316</c:v>
                </c:pt>
                <c:pt idx="28">
                  <c:v>2.0100203804347823</c:v>
                </c:pt>
                <c:pt idx="29">
                  <c:v>1.8732195525901387</c:v>
                </c:pt>
                <c:pt idx="30">
                  <c:v>1.7008505967896832</c:v>
                </c:pt>
                <c:pt idx="31">
                  <c:v>1.694372120969357</c:v>
                </c:pt>
                <c:pt idx="32">
                  <c:v>1.7174401962788797</c:v>
                </c:pt>
                <c:pt idx="33">
                  <c:v>1.7111747469366008</c:v>
                </c:pt>
                <c:pt idx="34">
                  <c:v>1.9686271809070948</c:v>
                </c:pt>
                <c:pt idx="35">
                  <c:v>2.0197162779514306</c:v>
                </c:pt>
                <c:pt idx="36">
                  <c:v>1.7358020295531424</c:v>
                </c:pt>
                <c:pt idx="37">
                  <c:v>1.862208096007173</c:v>
                </c:pt>
                <c:pt idx="38">
                  <c:v>1.8201741250585761</c:v>
                </c:pt>
                <c:pt idx="39">
                  <c:v>1.7931447915932011</c:v>
                </c:pt>
                <c:pt idx="40">
                  <c:v>1.798313438896235</c:v>
                </c:pt>
                <c:pt idx="41">
                  <c:v>1.7133969307341352</c:v>
                </c:pt>
                <c:pt idx="42">
                  <c:v>1.71990850406471</c:v>
                </c:pt>
                <c:pt idx="43">
                  <c:v>1.7241614398691028</c:v>
                </c:pt>
                <c:pt idx="44">
                  <c:v>1.8504805419883408</c:v>
                </c:pt>
                <c:pt idx="45">
                  <c:v>2.0018344416418254</c:v>
                </c:pt>
                <c:pt idx="46">
                  <c:v>1.936114732724902</c:v>
                </c:pt>
                <c:pt idx="47">
                  <c:v>1.9623919082272396</c:v>
                </c:pt>
                <c:pt idx="48">
                  <c:v>1.9432571849668385</c:v>
                </c:pt>
                <c:pt idx="49">
                  <c:v>1.9187160651549025</c:v>
                </c:pt>
                <c:pt idx="50">
                  <c:v>1.9428187661901564</c:v>
                </c:pt>
                <c:pt idx="51">
                  <c:v>1.5898583872694534</c:v>
                </c:pt>
                <c:pt idx="52">
                  <c:v>1.6663892818507113</c:v>
                </c:pt>
                <c:pt idx="53">
                  <c:v>1.5730820364432627</c:v>
                </c:pt>
                <c:pt idx="54">
                  <c:v>1.6878996967449591</c:v>
                </c:pt>
                <c:pt idx="55">
                  <c:v>1.6583086391611579</c:v>
                </c:pt>
                <c:pt idx="56">
                  <c:v>1.675932977913176</c:v>
                </c:pt>
                <c:pt idx="57">
                  <c:v>1.6444511007937694</c:v>
                </c:pt>
                <c:pt idx="58">
                  <c:v>1.5933736093903668</c:v>
                </c:pt>
                <c:pt idx="59">
                  <c:v>1.5864032874342151</c:v>
                </c:pt>
                <c:pt idx="60">
                  <c:v>1.7689579103635498</c:v>
                </c:pt>
                <c:pt idx="61">
                  <c:v>1.9234558544903373</c:v>
                </c:pt>
                <c:pt idx="62">
                  <c:v>2.0282004631161099</c:v>
                </c:pt>
                <c:pt idx="63">
                  <c:v>2.0668644493614141</c:v>
                </c:pt>
                <c:pt idx="64">
                  <c:v>2.1246840088069803</c:v>
                </c:pt>
                <c:pt idx="65">
                  <c:v>2.0343980343980346</c:v>
                </c:pt>
                <c:pt idx="66">
                  <c:v>2.0763674057104136</c:v>
                </c:pt>
                <c:pt idx="67">
                  <c:v>1.9927150691659163</c:v>
                </c:pt>
                <c:pt idx="68">
                  <c:v>1.6328324808184143</c:v>
                </c:pt>
                <c:pt idx="69">
                  <c:v>1.599336139896373</c:v>
                </c:pt>
                <c:pt idx="70">
                  <c:v>1.4493211240922008</c:v>
                </c:pt>
                <c:pt idx="71">
                  <c:v>0.82417582417582413</c:v>
                </c:pt>
                <c:pt idx="72">
                  <c:v>0.79175207650022228</c:v>
                </c:pt>
                <c:pt idx="73">
                  <c:v>1.6716641679160418</c:v>
                </c:pt>
                <c:pt idx="74">
                  <c:v>1.6890006260950599</c:v>
                </c:pt>
                <c:pt idx="75">
                  <c:v>1.5974643423137875</c:v>
                </c:pt>
                <c:pt idx="76">
                  <c:v>1.7751819226350058</c:v>
                </c:pt>
                <c:pt idx="77">
                  <c:v>1.7029856533540131</c:v>
                </c:pt>
                <c:pt idx="78">
                  <c:v>1.8796327105648809</c:v>
                </c:pt>
                <c:pt idx="79">
                  <c:v>1.8431630743641276</c:v>
                </c:pt>
              </c:numCache>
            </c:numRef>
          </c:xVal>
          <c:yVal>
            <c:numRef>
              <c:f>'G-SBR'!$AO$4:$AO$574</c:f>
              <c:numCache>
                <c:formatCode>0%</c:formatCode>
                <c:ptCount val="571"/>
                <c:pt idx="0">
                  <c:v>0.89580641685080931</c:v>
                </c:pt>
                <c:pt idx="14">
                  <c:v>0.74980192416525182</c:v>
                </c:pt>
                <c:pt idx="15">
                  <c:v>0.73141400509821564</c:v>
                </c:pt>
                <c:pt idx="27">
                  <c:v>0.158659038747131</c:v>
                </c:pt>
                <c:pt idx="28">
                  <c:v>0.2452955163043479</c:v>
                </c:pt>
                <c:pt idx="29">
                  <c:v>0.75039293909555127</c:v>
                </c:pt>
                <c:pt idx="30">
                  <c:v>0.15214707092879678</c:v>
                </c:pt>
                <c:pt idx="31">
                  <c:v>0.66475732692436074</c:v>
                </c:pt>
                <c:pt idx="32">
                  <c:v>0.61436652354665022</c:v>
                </c:pt>
                <c:pt idx="33">
                  <c:v>0.78212573255194451</c:v>
                </c:pt>
                <c:pt idx="34">
                  <c:v>0.54776748051720381</c:v>
                </c:pt>
                <c:pt idx="35">
                  <c:v>3.153802997515439E-2</c:v>
                </c:pt>
                <c:pt idx="36">
                  <c:v>0.60877363031537857</c:v>
                </c:pt>
                <c:pt idx="37">
                  <c:v>0.36245955157569243</c:v>
                </c:pt>
                <c:pt idx="38">
                  <c:v>0.22093305944986072</c:v>
                </c:pt>
                <c:pt idx="39">
                  <c:v>0.2693067212074195</c:v>
                </c:pt>
                <c:pt idx="40">
                  <c:v>0.42100729815537286</c:v>
                </c:pt>
                <c:pt idx="56">
                  <c:v>0.11751713632901749</c:v>
                </c:pt>
                <c:pt idx="57">
                  <c:v>0.11090310019469832</c:v>
                </c:pt>
                <c:pt idx="72">
                  <c:v>0.93824800913667883</c:v>
                </c:pt>
                <c:pt idx="73">
                  <c:v>0.92168082625353998</c:v>
                </c:pt>
                <c:pt idx="77">
                  <c:v>0.59197363319115937</c:v>
                </c:pt>
                <c:pt idx="78">
                  <c:v>0.62297612052304052</c:v>
                </c:pt>
                <c:pt idx="79">
                  <c:v>0.64207498787164741</c:v>
                </c:pt>
                <c:pt idx="80">
                  <c:v>0.64520002842322177</c:v>
                </c:pt>
                <c:pt idx="85">
                  <c:v>0.8802607719540626</c:v>
                </c:pt>
                <c:pt idx="86">
                  <c:v>0.87732230161714941</c:v>
                </c:pt>
                <c:pt idx="87">
                  <c:v>0.88147200248177449</c:v>
                </c:pt>
                <c:pt idx="88">
                  <c:v>0.83505057633498003</c:v>
                </c:pt>
                <c:pt idx="89">
                  <c:v>0.81106775157754896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DD-4C04-A2CC-B5303154D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C/N ratio 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 (kg N m-3 d-1)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G-SBR: k/Treactor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577857142857142"/>
          <c:y val="0.12535134536411621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'G-SBR'!$E$4:$E$41</c:f>
              <c:numCache>
                <c:formatCode>0.0</c:formatCode>
                <c:ptCount val="38"/>
                <c:pt idx="0">
                  <c:v>25.477589999999999</c:v>
                </c:pt>
                <c:pt idx="14">
                  <c:v>17.549936249999998</c:v>
                </c:pt>
                <c:pt idx="15">
                  <c:v>18.962759375000001</c:v>
                </c:pt>
                <c:pt idx="27">
                  <c:v>30.359635624999999</c:v>
                </c:pt>
                <c:pt idx="28">
                  <c:v>27.316898125000002</c:v>
                </c:pt>
                <c:pt idx="29">
                  <c:v>33.499074374999999</c:v>
                </c:pt>
                <c:pt idx="30">
                  <c:v>27.716984374999999</c:v>
                </c:pt>
                <c:pt idx="31">
                  <c:v>29.057996875000001</c:v>
                </c:pt>
                <c:pt idx="32">
                  <c:v>29.3640975</c:v>
                </c:pt>
                <c:pt idx="33">
                  <c:v>30.756553125</c:v>
                </c:pt>
                <c:pt idx="34">
                  <c:v>28.562416249999998</c:v>
                </c:pt>
                <c:pt idx="35">
                  <c:v>31.664441875000001</c:v>
                </c:pt>
                <c:pt idx="36">
                  <c:v>29.244463124999999</c:v>
                </c:pt>
                <c:pt idx="37">
                  <c:v>27.8776525</c:v>
                </c:pt>
              </c:numCache>
            </c:numRef>
          </c:xVal>
          <c:yVal>
            <c:numRef>
              <c:f>'G-SBR'!#REF!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D9-410F-8957-10BA06E36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Reactor temperature (°C)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  <c:majorUnit val="10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rate</a:t>
                </a:r>
                <a:r>
                  <a:rPr lang="en-GB" baseline="0"/>
                  <a:t> k (d-1)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G-SBR: k/NRR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'G-SBR'!$AM$4:$AM$41</c:f>
              <c:numCache>
                <c:formatCode>0.00</c:formatCode>
                <c:ptCount val="38"/>
                <c:pt idx="0">
                  <c:v>0.38379048345580186</c:v>
                </c:pt>
                <c:pt idx="14">
                  <c:v>0.46041116620649664</c:v>
                </c:pt>
                <c:pt idx="15">
                  <c:v>0.19675159663865543</c:v>
                </c:pt>
                <c:pt idx="27">
                  <c:v>6.7290796588757737E-2</c:v>
                </c:pt>
                <c:pt idx="28">
                  <c:v>0.39093819889541415</c:v>
                </c:pt>
                <c:pt idx="29">
                  <c:v>1.3137553012550109</c:v>
                </c:pt>
                <c:pt idx="30">
                  <c:v>0.28438145750839267</c:v>
                </c:pt>
                <c:pt idx="31">
                  <c:v>0.34759442836810933</c:v>
                </c:pt>
                <c:pt idx="32">
                  <c:v>0.2475404751097855</c:v>
                </c:pt>
                <c:pt idx="33">
                  <c:v>0.27192510583123342</c:v>
                </c:pt>
                <c:pt idx="34">
                  <c:v>0.16751879279361928</c:v>
                </c:pt>
                <c:pt idx="35">
                  <c:v>9.0617308827127922E-3</c:v>
                </c:pt>
                <c:pt idx="36">
                  <c:v>0.21261330761812922</c:v>
                </c:pt>
                <c:pt idx="37">
                  <c:v>0.10608086335549018</c:v>
                </c:pt>
              </c:numCache>
            </c:numRef>
          </c:xVal>
          <c:yVal>
            <c:numRef>
              <c:f>'G-SBR'!#REF!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5C-4834-831D-9C1A54B92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NRR (kg N m-3 d-1)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rate</a:t>
                </a:r>
                <a:r>
                  <a:rPr lang="en-GB" baseline="0"/>
                  <a:t> k (d-1)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S-SBR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12934027777778"/>
          <c:y val="0.12415625"/>
          <c:w val="0.78708697916666681"/>
          <c:h val="0.64885937500000002"/>
        </c:manualLayout>
      </c:layout>
      <c:scatterChart>
        <c:scatterStyle val="lineMarker"/>
        <c:varyColors val="0"/>
        <c:ser>
          <c:idx val="2"/>
          <c:order val="0"/>
          <c:tx>
            <c:v>NH4-N in</c:v>
          </c:tx>
          <c:spPr>
            <a:ln w="22225">
              <a:noFill/>
            </a:ln>
          </c:spPr>
          <c:marker>
            <c:symbol val="plus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'1-Influent'!$B$4:$B$83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'1-Influent'!$M$4:$M$79</c:f>
            </c:numRef>
          </c:yVal>
          <c:smooth val="0"/>
          <c:extLst>
            <c:ext xmlns:c16="http://schemas.microsoft.com/office/drawing/2014/chart" uri="{C3380CC4-5D6E-409C-BE32-E72D297353CC}">
              <c16:uniqueId val="{00000000-EB5E-44BB-B23E-0739F43FCD5A}"/>
            </c:ext>
          </c:extLst>
        </c:ser>
        <c:ser>
          <c:idx val="0"/>
          <c:order val="1"/>
          <c:tx>
            <c:v>NH4-N out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'S-SBR'!$B$4:$B$474</c:f>
              <c:numCache>
                <c:formatCode>General</c:formatCode>
                <c:ptCount val="4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'S-SBR'!$X$4:$X$474</c:f>
              <c:numCache>
                <c:formatCode>General</c:formatCode>
                <c:ptCount val="471"/>
                <c:pt idx="0">
                  <c:v>447.93</c:v>
                </c:pt>
                <c:pt idx="6">
                  <c:v>213.64</c:v>
                </c:pt>
                <c:pt idx="7">
                  <c:v>235.12</c:v>
                </c:pt>
                <c:pt idx="8">
                  <c:v>221.11</c:v>
                </c:pt>
                <c:pt idx="10">
                  <c:v>125.24</c:v>
                </c:pt>
                <c:pt idx="11">
                  <c:v>126.74</c:v>
                </c:pt>
                <c:pt idx="14">
                  <c:v>114.57</c:v>
                </c:pt>
                <c:pt idx="15">
                  <c:v>122.37</c:v>
                </c:pt>
                <c:pt idx="27">
                  <c:v>148.19</c:v>
                </c:pt>
                <c:pt idx="28">
                  <c:v>145.22999999999999</c:v>
                </c:pt>
                <c:pt idx="29">
                  <c:v>157.54</c:v>
                </c:pt>
                <c:pt idx="30">
                  <c:v>150.6</c:v>
                </c:pt>
                <c:pt idx="31">
                  <c:v>153.16</c:v>
                </c:pt>
                <c:pt idx="32">
                  <c:v>162.46</c:v>
                </c:pt>
                <c:pt idx="33">
                  <c:v>159.53</c:v>
                </c:pt>
                <c:pt idx="34">
                  <c:v>151.25</c:v>
                </c:pt>
                <c:pt idx="35">
                  <c:v>154.16</c:v>
                </c:pt>
                <c:pt idx="36">
                  <c:v>162.94</c:v>
                </c:pt>
                <c:pt idx="37">
                  <c:v>204.31</c:v>
                </c:pt>
                <c:pt idx="38">
                  <c:v>145.68</c:v>
                </c:pt>
                <c:pt idx="39">
                  <c:v>177.07</c:v>
                </c:pt>
                <c:pt idx="41">
                  <c:v>151.28</c:v>
                </c:pt>
                <c:pt idx="42">
                  <c:v>154.61000000000001</c:v>
                </c:pt>
                <c:pt idx="43">
                  <c:v>135.72999999999999</c:v>
                </c:pt>
                <c:pt idx="44">
                  <c:v>146.55000000000001</c:v>
                </c:pt>
                <c:pt idx="45">
                  <c:v>149.24</c:v>
                </c:pt>
                <c:pt idx="46">
                  <c:v>152.44</c:v>
                </c:pt>
                <c:pt idx="47">
                  <c:v>163.11000000000001</c:v>
                </c:pt>
                <c:pt idx="48">
                  <c:v>153.63999999999999</c:v>
                </c:pt>
                <c:pt idx="50">
                  <c:v>88.52</c:v>
                </c:pt>
                <c:pt idx="51">
                  <c:v>154.65</c:v>
                </c:pt>
                <c:pt idx="52">
                  <c:v>151.24</c:v>
                </c:pt>
                <c:pt idx="53">
                  <c:v>153.51</c:v>
                </c:pt>
                <c:pt idx="54">
                  <c:v>164.16</c:v>
                </c:pt>
                <c:pt idx="55">
                  <c:v>168.2</c:v>
                </c:pt>
                <c:pt idx="56">
                  <c:v>156.63</c:v>
                </c:pt>
                <c:pt idx="57">
                  <c:v>159.27000000000001</c:v>
                </c:pt>
                <c:pt idx="58">
                  <c:v>152.27000000000001</c:v>
                </c:pt>
                <c:pt idx="59">
                  <c:v>151.13</c:v>
                </c:pt>
                <c:pt idx="60">
                  <c:v>149.53</c:v>
                </c:pt>
                <c:pt idx="61">
                  <c:v>148.06</c:v>
                </c:pt>
                <c:pt idx="62">
                  <c:v>174.1</c:v>
                </c:pt>
                <c:pt idx="63">
                  <c:v>173.1</c:v>
                </c:pt>
                <c:pt idx="69">
                  <c:v>148.88999999999999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A7-4EC3-910A-747B80A13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591936"/>
        <c:axId val="493610496"/>
      </c:scatterChart>
      <c:scatterChart>
        <c:scatterStyle val="lineMarker"/>
        <c:varyColors val="0"/>
        <c:ser>
          <c:idx val="4"/>
          <c:order val="2"/>
          <c:tx>
            <c:v>NO3-N out</c:v>
          </c:tx>
          <c:spPr>
            <a:ln w="22225">
              <a:noFill/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'S-SBR'!$B$4:$B$474</c:f>
              <c:numCache>
                <c:formatCode>General</c:formatCode>
                <c:ptCount val="4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'S-SBR'!$Z$4:$Z$474</c:f>
              <c:numCache>
                <c:formatCode>0.00</c:formatCode>
                <c:ptCount val="471"/>
                <c:pt idx="0">
                  <c:v>0.192</c:v>
                </c:pt>
                <c:pt idx="6">
                  <c:v>2.7810000000000001</c:v>
                </c:pt>
                <c:pt idx="7">
                  <c:v>2.9119999999999999</c:v>
                </c:pt>
                <c:pt idx="8">
                  <c:v>4.077</c:v>
                </c:pt>
                <c:pt idx="10">
                  <c:v>11.245000000000001</c:v>
                </c:pt>
                <c:pt idx="11">
                  <c:v>10.669</c:v>
                </c:pt>
                <c:pt idx="14">
                  <c:v>0.72500000000000009</c:v>
                </c:pt>
                <c:pt idx="15">
                  <c:v>0.19</c:v>
                </c:pt>
                <c:pt idx="27">
                  <c:v>1.5960000000000001</c:v>
                </c:pt>
                <c:pt idx="28">
                  <c:v>1.6920000000000002</c:v>
                </c:pt>
                <c:pt idx="29">
                  <c:v>0.19</c:v>
                </c:pt>
                <c:pt idx="30">
                  <c:v>13.025999999999996</c:v>
                </c:pt>
                <c:pt idx="31">
                  <c:v>7.3939999999999984</c:v>
                </c:pt>
                <c:pt idx="32">
                  <c:v>10.368000000000002</c:v>
                </c:pt>
                <c:pt idx="33">
                  <c:v>12.639000000000003</c:v>
                </c:pt>
                <c:pt idx="34">
                  <c:v>13.420000000000002</c:v>
                </c:pt>
                <c:pt idx="35">
                  <c:v>11.731000000000002</c:v>
                </c:pt>
                <c:pt idx="36">
                  <c:v>0.19</c:v>
                </c:pt>
                <c:pt idx="37">
                  <c:v>18.821999999999999</c:v>
                </c:pt>
                <c:pt idx="38">
                  <c:v>2.7209999999999965</c:v>
                </c:pt>
                <c:pt idx="39">
                  <c:v>19.233000000000001</c:v>
                </c:pt>
                <c:pt idx="41">
                  <c:v>13.474999999999998</c:v>
                </c:pt>
                <c:pt idx="42">
                  <c:v>15.186</c:v>
                </c:pt>
                <c:pt idx="43">
                  <c:v>13.243000000000002</c:v>
                </c:pt>
                <c:pt idx="44">
                  <c:v>13.395000000000003</c:v>
                </c:pt>
                <c:pt idx="45">
                  <c:v>0.19</c:v>
                </c:pt>
                <c:pt idx="46">
                  <c:v>17.738000000000003</c:v>
                </c:pt>
                <c:pt idx="47">
                  <c:v>10.119</c:v>
                </c:pt>
                <c:pt idx="48">
                  <c:v>7.963000000000001</c:v>
                </c:pt>
                <c:pt idx="50">
                  <c:v>7.8040000000000003</c:v>
                </c:pt>
                <c:pt idx="51">
                  <c:v>2.9089999999999989</c:v>
                </c:pt>
                <c:pt idx="52">
                  <c:v>15.481000000000002</c:v>
                </c:pt>
                <c:pt idx="53">
                  <c:v>16.474000000000004</c:v>
                </c:pt>
                <c:pt idx="54">
                  <c:v>4.4500000000000028</c:v>
                </c:pt>
                <c:pt idx="55">
                  <c:v>23.247999999999998</c:v>
                </c:pt>
                <c:pt idx="56">
                  <c:v>26.342999999999996</c:v>
                </c:pt>
                <c:pt idx="57">
                  <c:v>69.591999999999999</c:v>
                </c:pt>
                <c:pt idx="58">
                  <c:v>46.192</c:v>
                </c:pt>
                <c:pt idx="59">
                  <c:v>47.491999999999997</c:v>
                </c:pt>
                <c:pt idx="60">
                  <c:v>21.252000000000002</c:v>
                </c:pt>
                <c:pt idx="61">
                  <c:v>23.984999999999996</c:v>
                </c:pt>
                <c:pt idx="62">
                  <c:v>15.394000000000002</c:v>
                </c:pt>
                <c:pt idx="63">
                  <c:v>8.4600000000000044</c:v>
                </c:pt>
                <c:pt idx="69">
                  <c:v>10.449000000000002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5E-44BB-B23E-0739F43FCD5A}"/>
            </c:ext>
          </c:extLst>
        </c:ser>
        <c:ser>
          <c:idx val="5"/>
          <c:order val="3"/>
          <c:tx>
            <c:v>NO2-N out</c:v>
          </c:tx>
          <c:spPr>
            <a:ln w="22225">
              <a:noFill/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'S-SBR'!$B$4:$B$474</c:f>
              <c:numCache>
                <c:formatCode>General</c:formatCode>
                <c:ptCount val="4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'S-SBR'!$Y$4:$Y$474</c:f>
              <c:numCache>
                <c:formatCode>General</c:formatCode>
                <c:ptCount val="471"/>
                <c:pt idx="0">
                  <c:v>8.0000000000000002E-3</c:v>
                </c:pt>
                <c:pt idx="6">
                  <c:v>0.71899999999999997</c:v>
                </c:pt>
                <c:pt idx="7">
                  <c:v>0.98799999999999999</c:v>
                </c:pt>
                <c:pt idx="8">
                  <c:v>6.423</c:v>
                </c:pt>
                <c:pt idx="10">
                  <c:v>11.355</c:v>
                </c:pt>
                <c:pt idx="11">
                  <c:v>10.831</c:v>
                </c:pt>
                <c:pt idx="14">
                  <c:v>0.875</c:v>
                </c:pt>
                <c:pt idx="15">
                  <c:v>0.51200000000000001</c:v>
                </c:pt>
                <c:pt idx="27">
                  <c:v>2.3039999999999998</c:v>
                </c:pt>
                <c:pt idx="28">
                  <c:v>2.3079999999999998</c:v>
                </c:pt>
                <c:pt idx="29">
                  <c:v>1.204</c:v>
                </c:pt>
                <c:pt idx="30">
                  <c:v>20.274000000000001</c:v>
                </c:pt>
                <c:pt idx="31">
                  <c:v>31.905999999999999</c:v>
                </c:pt>
                <c:pt idx="32">
                  <c:v>35.631999999999998</c:v>
                </c:pt>
                <c:pt idx="33">
                  <c:v>37.561</c:v>
                </c:pt>
                <c:pt idx="34">
                  <c:v>53.78</c:v>
                </c:pt>
                <c:pt idx="35">
                  <c:v>42.869</c:v>
                </c:pt>
                <c:pt idx="36">
                  <c:v>57.64</c:v>
                </c:pt>
                <c:pt idx="37">
                  <c:v>22.577999999999999</c:v>
                </c:pt>
                <c:pt idx="38">
                  <c:v>50.079000000000001</c:v>
                </c:pt>
                <c:pt idx="39">
                  <c:v>20.367000000000001</c:v>
                </c:pt>
                <c:pt idx="41">
                  <c:v>30.824999999999999</c:v>
                </c:pt>
                <c:pt idx="42">
                  <c:v>24.213999999999999</c:v>
                </c:pt>
                <c:pt idx="43">
                  <c:v>17.056999999999999</c:v>
                </c:pt>
                <c:pt idx="44">
                  <c:v>24.204999999999998</c:v>
                </c:pt>
                <c:pt idx="45">
                  <c:v>52.222999999999999</c:v>
                </c:pt>
                <c:pt idx="46">
                  <c:v>31.462</c:v>
                </c:pt>
                <c:pt idx="47">
                  <c:v>33.481000000000002</c:v>
                </c:pt>
                <c:pt idx="48">
                  <c:v>37.936999999999998</c:v>
                </c:pt>
                <c:pt idx="50">
                  <c:v>5.9960000000000004</c:v>
                </c:pt>
                <c:pt idx="51">
                  <c:v>39.191000000000003</c:v>
                </c:pt>
                <c:pt idx="52">
                  <c:v>32.219000000000001</c:v>
                </c:pt>
                <c:pt idx="53">
                  <c:v>36.125999999999998</c:v>
                </c:pt>
                <c:pt idx="54">
                  <c:v>56.25</c:v>
                </c:pt>
                <c:pt idx="55">
                  <c:v>55.052</c:v>
                </c:pt>
                <c:pt idx="56">
                  <c:v>48.957000000000001</c:v>
                </c:pt>
                <c:pt idx="57">
                  <c:v>8.0000000000000002E-3</c:v>
                </c:pt>
                <c:pt idx="58">
                  <c:v>8.0000000000000002E-3</c:v>
                </c:pt>
                <c:pt idx="59">
                  <c:v>8.0000000000000002E-3</c:v>
                </c:pt>
                <c:pt idx="60">
                  <c:v>25.948</c:v>
                </c:pt>
                <c:pt idx="61">
                  <c:v>25.315000000000001</c:v>
                </c:pt>
                <c:pt idx="62">
                  <c:v>12.706</c:v>
                </c:pt>
                <c:pt idx="63">
                  <c:v>29.74</c:v>
                </c:pt>
                <c:pt idx="69">
                  <c:v>16.550999999999998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5E-44BB-B23E-0739F43FC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14592"/>
        <c:axId val="493612416"/>
        <c:extLst/>
      </c:scatterChart>
      <c:valAx>
        <c:axId val="49359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5921218763463506"/>
              <c:y val="0.86510241145221289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3610496"/>
        <c:crosses val="autoZero"/>
        <c:crossBetween val="midCat"/>
      </c:valAx>
      <c:valAx>
        <c:axId val="493610496"/>
        <c:scaling>
          <c:orientation val="minMax"/>
          <c:max val="16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NH</a:t>
                </a:r>
                <a:r>
                  <a:rPr lang="en-GB" baseline="-25000"/>
                  <a:t>4</a:t>
                </a:r>
                <a:r>
                  <a:rPr lang="en-GB"/>
                  <a:t>-N in</a:t>
                </a:r>
                <a:r>
                  <a:rPr lang="en-GB" baseline="0"/>
                  <a:t> and out (mg L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3591936"/>
        <c:crosses val="autoZero"/>
        <c:crossBetween val="midCat"/>
        <c:majorUnit val="400"/>
      </c:valAx>
      <c:valAx>
        <c:axId val="493612416"/>
        <c:scaling>
          <c:orientation val="minMax"/>
          <c:max val="5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NO</a:t>
                </a:r>
                <a:r>
                  <a:rPr lang="en-GB" baseline="-25000"/>
                  <a:t>3</a:t>
                </a:r>
                <a:r>
                  <a:rPr lang="en-GB"/>
                  <a:t>-N</a:t>
                </a:r>
                <a:r>
                  <a:rPr lang="en-GB" baseline="0"/>
                  <a:t>, NO</a:t>
                </a:r>
                <a:r>
                  <a:rPr lang="en-GB" baseline="-25000"/>
                  <a:t>2</a:t>
                </a:r>
                <a:r>
                  <a:rPr lang="en-GB" baseline="0"/>
                  <a:t>-N out (mg L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</a:ln>
        </c:spPr>
        <c:crossAx val="493614592"/>
        <c:crosses val="max"/>
        <c:crossBetween val="midCat"/>
        <c:majorUnit val="125"/>
      </c:valAx>
      <c:valAx>
        <c:axId val="49361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61241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425099263861012"/>
          <c:w val="1"/>
          <c:h val="5.7415439131935017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G-SBR: NRR</a:t>
            </a:r>
            <a:r>
              <a:rPr lang="en-GB" sz="1000" baseline="0"/>
              <a:t> &amp; ORR/DO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Nitrogen removal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'G-SBR'!$G$4:$G$41</c:f>
              <c:numCache>
                <c:formatCode>0.0</c:formatCode>
                <c:ptCount val="38"/>
                <c:pt idx="0">
                  <c:v>0.39491530000000002</c:v>
                </c:pt>
                <c:pt idx="14">
                  <c:v>0.16673729125</c:v>
                </c:pt>
                <c:pt idx="15">
                  <c:v>0.3784957625</c:v>
                </c:pt>
                <c:pt idx="27">
                  <c:v>0.47050848750000002</c:v>
                </c:pt>
                <c:pt idx="28">
                  <c:v>0.48629238749999998</c:v>
                </c:pt>
                <c:pt idx="29">
                  <c:v>0.45743643750000001</c:v>
                </c:pt>
                <c:pt idx="30">
                  <c:v>0.45012712500000002</c:v>
                </c:pt>
                <c:pt idx="31">
                  <c:v>0.4255508375</c:v>
                </c:pt>
                <c:pt idx="32">
                  <c:v>0.32362288750000001</c:v>
                </c:pt>
                <c:pt idx="33">
                  <c:v>0.33663135625000001</c:v>
                </c:pt>
                <c:pt idx="34">
                  <c:v>0.34082628124999997</c:v>
                </c:pt>
                <c:pt idx="35">
                  <c:v>0.33063559375000001</c:v>
                </c:pt>
                <c:pt idx="36">
                  <c:v>0.39512711875000001</c:v>
                </c:pt>
                <c:pt idx="37">
                  <c:v>0.39239406874999999</c:v>
                </c:pt>
              </c:numCache>
            </c:numRef>
          </c:xVal>
          <c:yVal>
            <c:numRef>
              <c:f>'G-SBR'!$AM$4:$AM$41</c:f>
              <c:numCache>
                <c:formatCode>0.00</c:formatCode>
                <c:ptCount val="38"/>
                <c:pt idx="0">
                  <c:v>0.38379048345580186</c:v>
                </c:pt>
                <c:pt idx="14">
                  <c:v>0.46041116620649664</c:v>
                </c:pt>
                <c:pt idx="15">
                  <c:v>0.19675159663865543</c:v>
                </c:pt>
                <c:pt idx="27">
                  <c:v>6.7290796588757737E-2</c:v>
                </c:pt>
                <c:pt idx="28">
                  <c:v>0.39093819889541415</c:v>
                </c:pt>
                <c:pt idx="29">
                  <c:v>1.3137553012550109</c:v>
                </c:pt>
                <c:pt idx="30">
                  <c:v>0.28438145750839267</c:v>
                </c:pt>
                <c:pt idx="31">
                  <c:v>0.34759442836810933</c:v>
                </c:pt>
                <c:pt idx="32">
                  <c:v>0.2475404751097855</c:v>
                </c:pt>
                <c:pt idx="33">
                  <c:v>0.27192510583123342</c:v>
                </c:pt>
                <c:pt idx="34">
                  <c:v>0.16751879279361928</c:v>
                </c:pt>
                <c:pt idx="35">
                  <c:v>9.0617308827127922E-3</c:v>
                </c:pt>
                <c:pt idx="36">
                  <c:v>0.21261330761812922</c:v>
                </c:pt>
                <c:pt idx="37">
                  <c:v>0.10608086335549018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3-4721-8AF9-C47321C00A9B}"/>
            </c:ext>
          </c:extLst>
        </c:ser>
        <c:ser>
          <c:idx val="0"/>
          <c:order val="1"/>
          <c:tx>
            <c:v>Organic removal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'G-SBR'!$G$4:$G$41</c:f>
              <c:numCache>
                <c:formatCode>0.0</c:formatCode>
                <c:ptCount val="38"/>
                <c:pt idx="0">
                  <c:v>0.39491530000000002</c:v>
                </c:pt>
                <c:pt idx="14">
                  <c:v>0.16673729125</c:v>
                </c:pt>
                <c:pt idx="15">
                  <c:v>0.3784957625</c:v>
                </c:pt>
                <c:pt idx="27">
                  <c:v>0.47050848750000002</c:v>
                </c:pt>
                <c:pt idx="28">
                  <c:v>0.48629238749999998</c:v>
                </c:pt>
                <c:pt idx="29">
                  <c:v>0.45743643750000001</c:v>
                </c:pt>
                <c:pt idx="30">
                  <c:v>0.45012712500000002</c:v>
                </c:pt>
                <c:pt idx="31">
                  <c:v>0.4255508375</c:v>
                </c:pt>
                <c:pt idx="32">
                  <c:v>0.32362288750000001</c:v>
                </c:pt>
                <c:pt idx="33">
                  <c:v>0.33663135625000001</c:v>
                </c:pt>
                <c:pt idx="34">
                  <c:v>0.34082628124999997</c:v>
                </c:pt>
                <c:pt idx="35">
                  <c:v>0.33063559375000001</c:v>
                </c:pt>
                <c:pt idx="36">
                  <c:v>0.39512711875000001</c:v>
                </c:pt>
                <c:pt idx="37">
                  <c:v>0.39239406874999999</c:v>
                </c:pt>
              </c:numCache>
            </c:numRef>
          </c:xVal>
          <c:yVal>
            <c:numRef>
              <c:f>'G-SBR'!$AJ$4:$AJ$41</c:f>
              <c:numCache>
                <c:formatCode>0.00</c:formatCode>
                <c:ptCount val="38"/>
                <c:pt idx="0">
                  <c:v>0</c:v>
                </c:pt>
                <c:pt idx="14">
                  <c:v>0</c:v>
                </c:pt>
                <c:pt idx="15">
                  <c:v>0.501781512605042</c:v>
                </c:pt>
                <c:pt idx="27">
                  <c:v>1.0109902694423269</c:v>
                </c:pt>
                <c:pt idx="28">
                  <c:v>1.2045108253718704</c:v>
                </c:pt>
                <c:pt idx="32">
                  <c:v>0.7688786305630857</c:v>
                </c:pt>
                <c:pt idx="34">
                  <c:v>0.19745147978914573</c:v>
                </c:pt>
                <c:pt idx="35">
                  <c:v>0.28647505001511248</c:v>
                </c:pt>
                <c:pt idx="36">
                  <c:v>0.20495401488219464</c:v>
                </c:pt>
                <c:pt idx="37">
                  <c:v>0.12510874736180871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3-4721-8AF9-C47321C0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DO (mg/L)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NRR, ORR (kg </a:t>
                </a:r>
                <a:r>
                  <a:rPr lang="en-GB" baseline="0"/>
                  <a:t> N &amp; COD m-3 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NRR</a:t>
            </a:r>
            <a:r>
              <a:rPr lang="en-GB" sz="1000" baseline="0"/>
              <a:t> &amp; ORR/pH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Nitrogen removal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'S-SBR'!$I$4:$I$60</c:f>
              <c:numCache>
                <c:formatCode>0.00</c:formatCode>
                <c:ptCount val="57"/>
                <c:pt idx="0">
                  <c:v>6.7837522553782064</c:v>
                </c:pt>
                <c:pt idx="6">
                  <c:v>7.2713740458015463</c:v>
                </c:pt>
                <c:pt idx="7">
                  <c:v>7.1040922970159821</c:v>
                </c:pt>
                <c:pt idx="8">
                  <c:v>6.8370596807772053</c:v>
                </c:pt>
                <c:pt idx="10">
                  <c:v>6.7906217904233026</c:v>
                </c:pt>
                <c:pt idx="11">
                  <c:v>6.7852906815020857</c:v>
                </c:pt>
                <c:pt idx="14">
                  <c:v>7.1040922970159821</c:v>
                </c:pt>
                <c:pt idx="15">
                  <c:v>6.8370596807772053</c:v>
                </c:pt>
                <c:pt idx="27">
                  <c:v>6.9010458015267444</c:v>
                </c:pt>
                <c:pt idx="28">
                  <c:v>6.8834240111034077</c:v>
                </c:pt>
                <c:pt idx="29">
                  <c:v>6.8702421929215536</c:v>
                </c:pt>
                <c:pt idx="30">
                  <c:v>6.8312519083969274</c:v>
                </c:pt>
                <c:pt idx="31">
                  <c:v>6.8776606523247494</c:v>
                </c:pt>
                <c:pt idx="32">
                  <c:v>6.8572774687065339</c:v>
                </c:pt>
                <c:pt idx="33">
                  <c:v>6.7975170020818707</c:v>
                </c:pt>
                <c:pt idx="34">
                  <c:v>6.8135093684940768</c:v>
                </c:pt>
                <c:pt idx="35">
                  <c:v>6.8346897987508601</c:v>
                </c:pt>
                <c:pt idx="36">
                  <c:v>6.801646773074272</c:v>
                </c:pt>
                <c:pt idx="37">
                  <c:v>6.8070319222762352</c:v>
                </c:pt>
                <c:pt idx="38">
                  <c:v>6.8070687022900849</c:v>
                </c:pt>
                <c:pt idx="39">
                  <c:v>6.8356502086230844</c:v>
                </c:pt>
                <c:pt idx="41">
                  <c:v>6.7924198473282722</c:v>
                </c:pt>
                <c:pt idx="42">
                  <c:v>6.7995079805690377</c:v>
                </c:pt>
                <c:pt idx="43">
                  <c:v>6.8499264399722168</c:v>
                </c:pt>
                <c:pt idx="44">
                  <c:v>6.8308868841082386</c:v>
                </c:pt>
                <c:pt idx="45">
                  <c:v>6.8106335877862403</c:v>
                </c:pt>
                <c:pt idx="46">
                  <c:v>6.8108929068150008</c:v>
                </c:pt>
                <c:pt idx="47">
                  <c:v>6.8027196391394744</c:v>
                </c:pt>
                <c:pt idx="48">
                  <c:v>6.7861672449687864</c:v>
                </c:pt>
                <c:pt idx="50">
                  <c:v>6.8129618320610748</c:v>
                </c:pt>
                <c:pt idx="51">
                  <c:v>6.8145211658570819</c:v>
                </c:pt>
                <c:pt idx="52">
                  <c:v>6.8169604441360523</c:v>
                </c:pt>
                <c:pt idx="53">
                  <c:v>6.811801112656501</c:v>
                </c:pt>
                <c:pt idx="54">
                  <c:v>6.8281561415683978</c:v>
                </c:pt>
                <c:pt idx="55">
                  <c:v>6.8095801526717858</c:v>
                </c:pt>
                <c:pt idx="56">
                  <c:v>6.7956766134628843</c:v>
                </c:pt>
              </c:numCache>
            </c:numRef>
          </c:xVal>
          <c:yVal>
            <c:numRef>
              <c:f>'S-SBR'!$AM$4:$AM$60</c:f>
              <c:numCache>
                <c:formatCode>0.000</c:formatCode>
                <c:ptCount val="57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74-4FCC-8D7B-ADD06DC489DF}"/>
            </c:ext>
          </c:extLst>
        </c:ser>
        <c:ser>
          <c:idx val="0"/>
          <c:order val="1"/>
          <c:tx>
            <c:v>Organic removal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'S-SBR'!$I$4:$I$60</c:f>
              <c:numCache>
                <c:formatCode>0.00</c:formatCode>
                <c:ptCount val="57"/>
                <c:pt idx="0">
                  <c:v>6.7837522553782064</c:v>
                </c:pt>
                <c:pt idx="6">
                  <c:v>7.2713740458015463</c:v>
                </c:pt>
                <c:pt idx="7">
                  <c:v>7.1040922970159821</c:v>
                </c:pt>
                <c:pt idx="8">
                  <c:v>6.8370596807772053</c:v>
                </c:pt>
                <c:pt idx="10">
                  <c:v>6.7906217904233026</c:v>
                </c:pt>
                <c:pt idx="11">
                  <c:v>6.7852906815020857</c:v>
                </c:pt>
                <c:pt idx="14">
                  <c:v>7.1040922970159821</c:v>
                </c:pt>
                <c:pt idx="15">
                  <c:v>6.8370596807772053</c:v>
                </c:pt>
                <c:pt idx="27">
                  <c:v>6.9010458015267444</c:v>
                </c:pt>
                <c:pt idx="28">
                  <c:v>6.8834240111034077</c:v>
                </c:pt>
                <c:pt idx="29">
                  <c:v>6.8702421929215536</c:v>
                </c:pt>
                <c:pt idx="30">
                  <c:v>6.8312519083969274</c:v>
                </c:pt>
                <c:pt idx="31">
                  <c:v>6.8776606523247494</c:v>
                </c:pt>
                <c:pt idx="32">
                  <c:v>6.8572774687065339</c:v>
                </c:pt>
                <c:pt idx="33">
                  <c:v>6.7975170020818707</c:v>
                </c:pt>
                <c:pt idx="34">
                  <c:v>6.8135093684940768</c:v>
                </c:pt>
                <c:pt idx="35">
                  <c:v>6.8346897987508601</c:v>
                </c:pt>
                <c:pt idx="36">
                  <c:v>6.801646773074272</c:v>
                </c:pt>
                <c:pt idx="37">
                  <c:v>6.8070319222762352</c:v>
                </c:pt>
                <c:pt idx="38">
                  <c:v>6.8070687022900849</c:v>
                </c:pt>
                <c:pt idx="39">
                  <c:v>6.8356502086230844</c:v>
                </c:pt>
                <c:pt idx="41">
                  <c:v>6.7924198473282722</c:v>
                </c:pt>
                <c:pt idx="42">
                  <c:v>6.7995079805690377</c:v>
                </c:pt>
                <c:pt idx="43">
                  <c:v>6.8499264399722168</c:v>
                </c:pt>
                <c:pt idx="44">
                  <c:v>6.8308868841082386</c:v>
                </c:pt>
                <c:pt idx="45">
                  <c:v>6.8106335877862403</c:v>
                </c:pt>
                <c:pt idx="46">
                  <c:v>6.8108929068150008</c:v>
                </c:pt>
                <c:pt idx="47">
                  <c:v>6.8027196391394744</c:v>
                </c:pt>
                <c:pt idx="48">
                  <c:v>6.7861672449687864</c:v>
                </c:pt>
                <c:pt idx="50">
                  <c:v>6.8129618320610748</c:v>
                </c:pt>
                <c:pt idx="51">
                  <c:v>6.8145211658570819</c:v>
                </c:pt>
                <c:pt idx="52">
                  <c:v>6.8169604441360523</c:v>
                </c:pt>
                <c:pt idx="53">
                  <c:v>6.811801112656501</c:v>
                </c:pt>
                <c:pt idx="54">
                  <c:v>6.8281561415683978</c:v>
                </c:pt>
                <c:pt idx="55">
                  <c:v>6.8095801526717858</c:v>
                </c:pt>
                <c:pt idx="56">
                  <c:v>6.7956766134628843</c:v>
                </c:pt>
              </c:numCache>
            </c:numRef>
          </c:xVal>
          <c:yVal>
            <c:numRef>
              <c:f>'S-SBR'!$AJ$4:$AJ$60</c:f>
              <c:numCache>
                <c:formatCode>0.000</c:formatCode>
                <c:ptCount val="57"/>
                <c:pt idx="0">
                  <c:v>0</c:v>
                </c:pt>
                <c:pt idx="6">
                  <c:v>1.7290875000000001</c:v>
                </c:pt>
                <c:pt idx="7">
                  <c:v>1.7044109999999999</c:v>
                </c:pt>
                <c:pt idx="8">
                  <c:v>1.9571299999999996</c:v>
                </c:pt>
                <c:pt idx="10">
                  <c:v>2.0502720000000001</c:v>
                </c:pt>
                <c:pt idx="11">
                  <c:v>3.1972500000000001E-2</c:v>
                </c:pt>
                <c:pt idx="14">
                  <c:v>0</c:v>
                </c:pt>
                <c:pt idx="15">
                  <c:v>0</c:v>
                </c:pt>
                <c:pt idx="27">
                  <c:v>1.0655432999999999</c:v>
                </c:pt>
                <c:pt idx="28">
                  <c:v>0.80509649999999999</c:v>
                </c:pt>
                <c:pt idx="29">
                  <c:v>0.98908399999999996</c:v>
                </c:pt>
                <c:pt idx="30">
                  <c:v>0.9609859999999999</c:v>
                </c:pt>
                <c:pt idx="31">
                  <c:v>0.97584199999999988</c:v>
                </c:pt>
                <c:pt idx="32">
                  <c:v>0.96254000000000006</c:v>
                </c:pt>
                <c:pt idx="33">
                  <c:v>1.0346970000000002</c:v>
                </c:pt>
                <c:pt idx="34">
                  <c:v>0.91490909999999981</c:v>
                </c:pt>
                <c:pt idx="35">
                  <c:v>0.96807319999999997</c:v>
                </c:pt>
                <c:pt idx="36">
                  <c:v>1.1170116000000001</c:v>
                </c:pt>
                <c:pt idx="37">
                  <c:v>0.9755410000000001</c:v>
                </c:pt>
                <c:pt idx="38">
                  <c:v>0.97335199999999988</c:v>
                </c:pt>
                <c:pt idx="39">
                  <c:v>0.89525399999999999</c:v>
                </c:pt>
                <c:pt idx="41">
                  <c:v>0.4956029999999999</c:v>
                </c:pt>
                <c:pt idx="42">
                  <c:v>0.72298800000000019</c:v>
                </c:pt>
                <c:pt idx="43">
                  <c:v>0.84640999999999988</c:v>
                </c:pt>
                <c:pt idx="44">
                  <c:v>0.30624999999999997</c:v>
                </c:pt>
                <c:pt idx="45">
                  <c:v>0.29655999999999993</c:v>
                </c:pt>
                <c:pt idx="46">
                  <c:v>0.52257600000000004</c:v>
                </c:pt>
                <c:pt idx="47">
                  <c:v>0.50834000000000001</c:v>
                </c:pt>
                <c:pt idx="48">
                  <c:v>0.41096650000000012</c:v>
                </c:pt>
                <c:pt idx="50">
                  <c:v>0.19027500000000003</c:v>
                </c:pt>
                <c:pt idx="51">
                  <c:v>6.2918499999999988E-2</c:v>
                </c:pt>
                <c:pt idx="52">
                  <c:v>0.23247249999999997</c:v>
                </c:pt>
                <c:pt idx="53">
                  <c:v>0.25608725000000004</c:v>
                </c:pt>
                <c:pt idx="54">
                  <c:v>0.30031125000000003</c:v>
                </c:pt>
                <c:pt idx="55">
                  <c:v>0.33104899999999998</c:v>
                </c:pt>
                <c:pt idx="56">
                  <c:v>0.26698125000000006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74-4FCC-8D7B-ADD06DC48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in val="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pH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NRR, ORR (kg </a:t>
                </a:r>
                <a:r>
                  <a:rPr lang="en-GB" baseline="0"/>
                  <a:t> N &amp; COD m-3 d-1)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DO</a:t>
            </a:r>
            <a:r>
              <a:rPr lang="en-GB" sz="1000" baseline="0"/>
              <a:t>/pH</a:t>
            </a:r>
            <a:endParaRPr lang="en-GB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'S-SBR'!$I$4:$I$60</c:f>
              <c:numCache>
                <c:formatCode>0.00</c:formatCode>
                <c:ptCount val="57"/>
                <c:pt idx="0">
                  <c:v>6.7837522553782064</c:v>
                </c:pt>
                <c:pt idx="6">
                  <c:v>7.2713740458015463</c:v>
                </c:pt>
                <c:pt idx="7">
                  <c:v>7.1040922970159821</c:v>
                </c:pt>
                <c:pt idx="8">
                  <c:v>6.8370596807772053</c:v>
                </c:pt>
                <c:pt idx="10">
                  <c:v>6.7906217904233026</c:v>
                </c:pt>
                <c:pt idx="11">
                  <c:v>6.7852906815020857</c:v>
                </c:pt>
                <c:pt idx="14">
                  <c:v>7.1040922970159821</c:v>
                </c:pt>
                <c:pt idx="15">
                  <c:v>6.8370596807772053</c:v>
                </c:pt>
                <c:pt idx="27">
                  <c:v>6.9010458015267444</c:v>
                </c:pt>
                <c:pt idx="28">
                  <c:v>6.8834240111034077</c:v>
                </c:pt>
                <c:pt idx="29">
                  <c:v>6.8702421929215536</c:v>
                </c:pt>
                <c:pt idx="30">
                  <c:v>6.8312519083969274</c:v>
                </c:pt>
                <c:pt idx="31">
                  <c:v>6.8776606523247494</c:v>
                </c:pt>
                <c:pt idx="32">
                  <c:v>6.8572774687065339</c:v>
                </c:pt>
                <c:pt idx="33">
                  <c:v>6.7975170020818707</c:v>
                </c:pt>
                <c:pt idx="34">
                  <c:v>6.8135093684940768</c:v>
                </c:pt>
                <c:pt idx="35">
                  <c:v>6.8346897987508601</c:v>
                </c:pt>
                <c:pt idx="36">
                  <c:v>6.801646773074272</c:v>
                </c:pt>
                <c:pt idx="37">
                  <c:v>6.8070319222762352</c:v>
                </c:pt>
                <c:pt idx="38">
                  <c:v>6.8070687022900849</c:v>
                </c:pt>
                <c:pt idx="39">
                  <c:v>6.8356502086230844</c:v>
                </c:pt>
                <c:pt idx="41">
                  <c:v>6.7924198473282722</c:v>
                </c:pt>
                <c:pt idx="42">
                  <c:v>6.7995079805690377</c:v>
                </c:pt>
                <c:pt idx="43">
                  <c:v>6.8499264399722168</c:v>
                </c:pt>
                <c:pt idx="44">
                  <c:v>6.8308868841082386</c:v>
                </c:pt>
                <c:pt idx="45">
                  <c:v>6.8106335877862403</c:v>
                </c:pt>
                <c:pt idx="46">
                  <c:v>6.8108929068150008</c:v>
                </c:pt>
                <c:pt idx="47">
                  <c:v>6.8027196391394744</c:v>
                </c:pt>
                <c:pt idx="48">
                  <c:v>6.7861672449687864</c:v>
                </c:pt>
                <c:pt idx="50">
                  <c:v>6.8129618320610748</c:v>
                </c:pt>
                <c:pt idx="51">
                  <c:v>6.8145211658570819</c:v>
                </c:pt>
                <c:pt idx="52">
                  <c:v>6.8169604441360523</c:v>
                </c:pt>
                <c:pt idx="53">
                  <c:v>6.811801112656501</c:v>
                </c:pt>
                <c:pt idx="54">
                  <c:v>6.8281561415683978</c:v>
                </c:pt>
                <c:pt idx="55">
                  <c:v>6.8095801526717858</c:v>
                </c:pt>
                <c:pt idx="56">
                  <c:v>6.7956766134628843</c:v>
                </c:pt>
              </c:numCache>
            </c:numRef>
          </c:xVal>
          <c:yVal>
            <c:numRef>
              <c:f>'S-SBR'!$H$4:$H$60</c:f>
              <c:numCache>
                <c:formatCode>0.00</c:formatCode>
                <c:ptCount val="57"/>
                <c:pt idx="0">
                  <c:v>0.26</c:v>
                </c:pt>
                <c:pt idx="6">
                  <c:v>0.2129701596113808</c:v>
                </c:pt>
                <c:pt idx="7">
                  <c:v>0.22548230395558641</c:v>
                </c:pt>
                <c:pt idx="8">
                  <c:v>0.1413185287994462</c:v>
                </c:pt>
                <c:pt idx="10">
                  <c:v>9.8979875086745633E-2</c:v>
                </c:pt>
                <c:pt idx="11">
                  <c:v>6.3908205841446838E-2</c:v>
                </c:pt>
                <c:pt idx="14">
                  <c:v>0.22548230395558641</c:v>
                </c:pt>
                <c:pt idx="15">
                  <c:v>0.1413185287994462</c:v>
                </c:pt>
                <c:pt idx="27">
                  <c:v>0.12858431644691329</c:v>
                </c:pt>
                <c:pt idx="28">
                  <c:v>0.20159611380985409</c:v>
                </c:pt>
                <c:pt idx="29">
                  <c:v>0.2291880638445522</c:v>
                </c:pt>
                <c:pt idx="30">
                  <c:v>0.20868147120055491</c:v>
                </c:pt>
                <c:pt idx="31">
                  <c:v>0.20270645385149219</c:v>
                </c:pt>
                <c:pt idx="32">
                  <c:v>0.18540333796940209</c:v>
                </c:pt>
                <c:pt idx="33">
                  <c:v>0.15982650936849441</c:v>
                </c:pt>
                <c:pt idx="34">
                  <c:v>0.16191533657182561</c:v>
                </c:pt>
                <c:pt idx="35">
                  <c:v>0.19148507980569091</c:v>
                </c:pt>
                <c:pt idx="36">
                  <c:v>0.14692574600971589</c:v>
                </c:pt>
                <c:pt idx="37">
                  <c:v>0.16725884802220739</c:v>
                </c:pt>
                <c:pt idx="38">
                  <c:v>0.17746009715475389</c:v>
                </c:pt>
                <c:pt idx="39">
                  <c:v>0.20008344923504959</c:v>
                </c:pt>
                <c:pt idx="41">
                  <c:v>0.15274809160305419</c:v>
                </c:pt>
                <c:pt idx="42">
                  <c:v>0.1049132546842473</c:v>
                </c:pt>
                <c:pt idx="43">
                  <c:v>0.22621096460791151</c:v>
                </c:pt>
                <c:pt idx="44">
                  <c:v>0.20128383067314409</c:v>
                </c:pt>
                <c:pt idx="45">
                  <c:v>0.16830673143650279</c:v>
                </c:pt>
                <c:pt idx="46">
                  <c:v>0.162809457579973</c:v>
                </c:pt>
                <c:pt idx="47">
                  <c:v>0.17459403192227649</c:v>
                </c:pt>
                <c:pt idx="48">
                  <c:v>0.11076335877862679</c:v>
                </c:pt>
                <c:pt idx="50">
                  <c:v>0.14396252602359519</c:v>
                </c:pt>
                <c:pt idx="51">
                  <c:v>0.17793893129771041</c:v>
                </c:pt>
                <c:pt idx="52">
                  <c:v>0.17337265787647529</c:v>
                </c:pt>
                <c:pt idx="53">
                  <c:v>0.14687065368567481</c:v>
                </c:pt>
                <c:pt idx="54">
                  <c:v>0.19396252602359529</c:v>
                </c:pt>
                <c:pt idx="55">
                  <c:v>0.16741845940319261</c:v>
                </c:pt>
                <c:pt idx="56">
                  <c:v>0.14072172102706509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70-4A31-827F-4F4E01E27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in val="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pH 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0.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DO (mg/L)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0.2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SAA/T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'S-SBR'!$J$4:$J$60</c:f>
              <c:numCache>
                <c:formatCode>0.00</c:formatCode>
                <c:ptCount val="57"/>
                <c:pt idx="0">
                  <c:v>27.744652777777791</c:v>
                </c:pt>
                <c:pt idx="6">
                  <c:v>29.483194444444461</c:v>
                </c:pt>
                <c:pt idx="7">
                  <c:v>28.499097222222229</c:v>
                </c:pt>
                <c:pt idx="8">
                  <c:v>26.52756944444446</c:v>
                </c:pt>
                <c:pt idx="10">
                  <c:v>24.466111111111111</c:v>
                </c:pt>
                <c:pt idx="11">
                  <c:v>24.490555555555581</c:v>
                </c:pt>
                <c:pt idx="14">
                  <c:v>28.499097222222229</c:v>
                </c:pt>
                <c:pt idx="15">
                  <c:v>26.52756944444446</c:v>
                </c:pt>
                <c:pt idx="27">
                  <c:v>23.310208333333321</c:v>
                </c:pt>
                <c:pt idx="28">
                  <c:v>23.544861111111128</c:v>
                </c:pt>
                <c:pt idx="29">
                  <c:v>23.76194444444441</c:v>
                </c:pt>
                <c:pt idx="30">
                  <c:v>23.896666666666668</c:v>
                </c:pt>
                <c:pt idx="31">
                  <c:v>24.136527777777768</c:v>
                </c:pt>
                <c:pt idx="32">
                  <c:v>24.795902777777759</c:v>
                </c:pt>
                <c:pt idx="33">
                  <c:v>25.985902777777781</c:v>
                </c:pt>
                <c:pt idx="34">
                  <c:v>25.75125000000001</c:v>
                </c:pt>
                <c:pt idx="35">
                  <c:v>25.572986111111131</c:v>
                </c:pt>
                <c:pt idx="36">
                  <c:v>24.929722222222239</c:v>
                </c:pt>
                <c:pt idx="37">
                  <c:v>22.88493055555556</c:v>
                </c:pt>
                <c:pt idx="38">
                  <c:v>22.29333333333334</c:v>
                </c:pt>
                <c:pt idx="39">
                  <c:v>21.368750000000009</c:v>
                </c:pt>
                <c:pt idx="41">
                  <c:v>21.566388888888881</c:v>
                </c:pt>
                <c:pt idx="42">
                  <c:v>22.588541666666689</c:v>
                </c:pt>
                <c:pt idx="43">
                  <c:v>23.60291666666668</c:v>
                </c:pt>
                <c:pt idx="44" formatCode="0">
                  <c:v>23.053402777777791</c:v>
                </c:pt>
                <c:pt idx="45" formatCode="0">
                  <c:v>22.570000000000011</c:v>
                </c:pt>
                <c:pt idx="46" formatCode="0">
                  <c:v>21.71083333333333</c:v>
                </c:pt>
                <c:pt idx="47" formatCode="0">
                  <c:v>21.26076388888891</c:v>
                </c:pt>
                <c:pt idx="48" formatCode="0">
                  <c:v>21.77097222222222</c:v>
                </c:pt>
                <c:pt idx="50" formatCode="0">
                  <c:v>23.578958333333318</c:v>
                </c:pt>
                <c:pt idx="51" formatCode="0">
                  <c:v>24.358819444444439</c:v>
                </c:pt>
                <c:pt idx="52" formatCode="0">
                  <c:v>22.216250000000009</c:v>
                </c:pt>
                <c:pt idx="53" formatCode="0">
                  <c:v>20.712430555555571</c:v>
                </c:pt>
                <c:pt idx="54" formatCode="0">
                  <c:v>21.635103448275871</c:v>
                </c:pt>
                <c:pt idx="55" formatCode="0">
                  <c:v>22.737999999999989</c:v>
                </c:pt>
                <c:pt idx="56" formatCode="0">
                  <c:v>23.836275862068959</c:v>
                </c:pt>
              </c:numCache>
            </c:numRef>
          </c:xVal>
          <c:yVal>
            <c:numRef>
              <c:f>'S-SBR'!$AP$4:$AP$60</c:f>
              <c:numCache>
                <c:formatCode>0.00</c:formatCode>
                <c:ptCount val="57"/>
                <c:pt idx="6">
                  <c:v>2.1000000000000001E-2</c:v>
                </c:pt>
                <c:pt idx="30">
                  <c:v>5.8000000000000003E-2</c:v>
                </c:pt>
                <c:pt idx="37">
                  <c:v>4.7E-2</c:v>
                </c:pt>
                <c:pt idx="44">
                  <c:v>2.7199999999999998E-2</c:v>
                </c:pt>
                <c:pt idx="50">
                  <c:v>4.5999999999999999E-2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A0-4DF3-83C5-332523AF9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in val="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 (°C)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SAA (mgN/gVSS/d)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4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SAA/NRR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'S-SBR'!$AM$4:$AM$60</c:f>
              <c:numCache>
                <c:formatCode>0.000</c:formatCode>
                <c:ptCount val="57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</c:numCache>
            </c:numRef>
          </c:xVal>
          <c:yVal>
            <c:numRef>
              <c:f>'S-SBR'!$AP$4:$AP$60</c:f>
              <c:numCache>
                <c:formatCode>0.00</c:formatCode>
                <c:ptCount val="57"/>
                <c:pt idx="6">
                  <c:v>2.1000000000000001E-2</c:v>
                </c:pt>
                <c:pt idx="30">
                  <c:v>5.8000000000000003E-2</c:v>
                </c:pt>
                <c:pt idx="37">
                  <c:v>4.7E-2</c:v>
                </c:pt>
                <c:pt idx="44">
                  <c:v>2.7199999999999998E-2</c:v>
                </c:pt>
                <c:pt idx="50">
                  <c:v>4.5999999999999999E-2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C7-46FE-81A6-0D9E29D3D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NRR (kgN/m3/d)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SAA (mgN/gVSS/d)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SAA/C/N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Ops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'1-Influent'!$T$4:$T$83</c:f>
              <c:numCache>
                <c:formatCode>0.0</c:formatCode>
                <c:ptCount val="80"/>
                <c:pt idx="6">
                  <c:v>2.5272315744801244</c:v>
                </c:pt>
                <c:pt idx="7">
                  <c:v>2.3920669185105234</c:v>
                </c:pt>
                <c:pt idx="8">
                  <c:v>2.3936501348827557</c:v>
                </c:pt>
                <c:pt idx="9">
                  <c:v>3.1483087597571551</c:v>
                </c:pt>
                <c:pt idx="10">
                  <c:v>2.4365375149426902</c:v>
                </c:pt>
                <c:pt idx="11">
                  <c:v>2.113093139674258</c:v>
                </c:pt>
                <c:pt idx="12">
                  <c:v>2.1359223300970873</c:v>
                </c:pt>
                <c:pt idx="13">
                  <c:v>2.4430209513023784</c:v>
                </c:pt>
                <c:pt idx="15">
                  <c:v>2.260458839406208</c:v>
                </c:pt>
                <c:pt idx="27">
                  <c:v>2.145352369380316</c:v>
                </c:pt>
                <c:pt idx="28">
                  <c:v>2.0100203804347823</c:v>
                </c:pt>
                <c:pt idx="29">
                  <c:v>1.8732195525901387</c:v>
                </c:pt>
                <c:pt idx="30">
                  <c:v>1.7008505967896832</c:v>
                </c:pt>
                <c:pt idx="31">
                  <c:v>1.694372120969357</c:v>
                </c:pt>
                <c:pt idx="32">
                  <c:v>1.7174401962788797</c:v>
                </c:pt>
                <c:pt idx="33">
                  <c:v>1.7111747469366008</c:v>
                </c:pt>
                <c:pt idx="34">
                  <c:v>1.9686271809070948</c:v>
                </c:pt>
                <c:pt idx="35">
                  <c:v>2.0197162779514306</c:v>
                </c:pt>
                <c:pt idx="36">
                  <c:v>1.7358020295531424</c:v>
                </c:pt>
                <c:pt idx="37">
                  <c:v>1.862208096007173</c:v>
                </c:pt>
                <c:pt idx="38">
                  <c:v>1.8201741250585761</c:v>
                </c:pt>
                <c:pt idx="39">
                  <c:v>1.7931447915932011</c:v>
                </c:pt>
                <c:pt idx="40">
                  <c:v>1.798313438896235</c:v>
                </c:pt>
                <c:pt idx="41">
                  <c:v>1.7133969307341352</c:v>
                </c:pt>
                <c:pt idx="42">
                  <c:v>1.71990850406471</c:v>
                </c:pt>
                <c:pt idx="43">
                  <c:v>1.7241614398691028</c:v>
                </c:pt>
                <c:pt idx="44">
                  <c:v>1.8504805419883408</c:v>
                </c:pt>
                <c:pt idx="45">
                  <c:v>2.0018344416418254</c:v>
                </c:pt>
                <c:pt idx="46">
                  <c:v>1.936114732724902</c:v>
                </c:pt>
                <c:pt idx="47">
                  <c:v>1.9623919082272396</c:v>
                </c:pt>
                <c:pt idx="48">
                  <c:v>1.9432571849668385</c:v>
                </c:pt>
                <c:pt idx="49">
                  <c:v>1.9187160651549025</c:v>
                </c:pt>
                <c:pt idx="50">
                  <c:v>1.9428187661901564</c:v>
                </c:pt>
                <c:pt idx="51">
                  <c:v>1.5898583872694534</c:v>
                </c:pt>
                <c:pt idx="52">
                  <c:v>1.6663892818507113</c:v>
                </c:pt>
                <c:pt idx="53">
                  <c:v>1.5730820364432627</c:v>
                </c:pt>
                <c:pt idx="54">
                  <c:v>1.6878996967449591</c:v>
                </c:pt>
                <c:pt idx="55">
                  <c:v>1.6583086391611579</c:v>
                </c:pt>
                <c:pt idx="56">
                  <c:v>1.675932977913176</c:v>
                </c:pt>
                <c:pt idx="57">
                  <c:v>1.6444511007937694</c:v>
                </c:pt>
                <c:pt idx="58">
                  <c:v>1.5933736093903668</c:v>
                </c:pt>
                <c:pt idx="59">
                  <c:v>1.5864032874342151</c:v>
                </c:pt>
                <c:pt idx="60">
                  <c:v>1.7689579103635498</c:v>
                </c:pt>
                <c:pt idx="61">
                  <c:v>1.9234558544903373</c:v>
                </c:pt>
                <c:pt idx="62">
                  <c:v>2.0282004631161099</c:v>
                </c:pt>
                <c:pt idx="63">
                  <c:v>2.0668644493614141</c:v>
                </c:pt>
                <c:pt idx="64">
                  <c:v>2.1246840088069803</c:v>
                </c:pt>
                <c:pt idx="65">
                  <c:v>2.0343980343980346</c:v>
                </c:pt>
                <c:pt idx="66">
                  <c:v>2.0763674057104136</c:v>
                </c:pt>
                <c:pt idx="67">
                  <c:v>1.9927150691659163</c:v>
                </c:pt>
                <c:pt idx="68">
                  <c:v>1.6328324808184143</c:v>
                </c:pt>
                <c:pt idx="69">
                  <c:v>1.599336139896373</c:v>
                </c:pt>
                <c:pt idx="70">
                  <c:v>1.4493211240922008</c:v>
                </c:pt>
                <c:pt idx="71">
                  <c:v>0.82417582417582413</c:v>
                </c:pt>
                <c:pt idx="72">
                  <c:v>0.79175207650022228</c:v>
                </c:pt>
                <c:pt idx="73">
                  <c:v>1.6716641679160418</c:v>
                </c:pt>
                <c:pt idx="74">
                  <c:v>1.6890006260950599</c:v>
                </c:pt>
                <c:pt idx="75">
                  <c:v>1.5974643423137875</c:v>
                </c:pt>
                <c:pt idx="76">
                  <c:v>1.7751819226350058</c:v>
                </c:pt>
                <c:pt idx="77">
                  <c:v>1.7029856533540131</c:v>
                </c:pt>
                <c:pt idx="78">
                  <c:v>1.8796327105648809</c:v>
                </c:pt>
                <c:pt idx="79">
                  <c:v>1.8431630743641276</c:v>
                </c:pt>
              </c:numCache>
            </c:numRef>
          </c:xVal>
          <c:yVal>
            <c:numRef>
              <c:f>'S-SBR'!$AP$4:$AP$60</c:f>
              <c:numCache>
                <c:formatCode>0.00</c:formatCode>
                <c:ptCount val="57"/>
                <c:pt idx="6">
                  <c:v>2.1000000000000001E-2</c:v>
                </c:pt>
                <c:pt idx="30">
                  <c:v>5.8000000000000003E-2</c:v>
                </c:pt>
                <c:pt idx="37">
                  <c:v>4.7E-2</c:v>
                </c:pt>
                <c:pt idx="44">
                  <c:v>2.7199999999999998E-2</c:v>
                </c:pt>
                <c:pt idx="50">
                  <c:v>4.5999999999999999E-2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36-4D7F-8F93-BE9EECC81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  <c:max val="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C/N ratio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SAA (mgN/gVSS/d)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S-SBR: k/NRR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'S-SBR'!$G$4:$G$60</c:f>
              <c:numCache>
                <c:formatCode>0</c:formatCode>
                <c:ptCount val="57"/>
                <c:pt idx="0">
                  <c:v>38.872691933916428</c:v>
                </c:pt>
                <c:pt idx="6">
                  <c:v>36.435403066646423</c:v>
                </c:pt>
                <c:pt idx="7">
                  <c:v>37.765538945712038</c:v>
                </c:pt>
                <c:pt idx="8">
                  <c:v>31.331592689295043</c:v>
                </c:pt>
                <c:pt idx="10">
                  <c:v>31.746031746031747</c:v>
                </c:pt>
                <c:pt idx="11">
                  <c:v>1655.1724137931033</c:v>
                </c:pt>
                <c:pt idx="14">
                  <c:v>37.765538945712038</c:v>
                </c:pt>
                <c:pt idx="15">
                  <c:v>31.331592689295043</c:v>
                </c:pt>
                <c:pt idx="27">
                  <c:v>31.82601776952659</c:v>
                </c:pt>
                <c:pt idx="28">
                  <c:v>36.815462494247583</c:v>
                </c:pt>
                <c:pt idx="29">
                  <c:v>35.91201556187341</c:v>
                </c:pt>
                <c:pt idx="30">
                  <c:v>37.336652146857503</c:v>
                </c:pt>
                <c:pt idx="31">
                  <c:v>37.014188772362743</c:v>
                </c:pt>
                <c:pt idx="32">
                  <c:v>37.151702786377705</c:v>
                </c:pt>
                <c:pt idx="33">
                  <c:v>36.068530207394048</c:v>
                </c:pt>
                <c:pt idx="34">
                  <c:v>35.072336694432273</c:v>
                </c:pt>
                <c:pt idx="35">
                  <c:v>36.046860919194955</c:v>
                </c:pt>
                <c:pt idx="36">
                  <c:v>34.227039361095265</c:v>
                </c:pt>
                <c:pt idx="37">
                  <c:v>37.025609379821042</c:v>
                </c:pt>
                <c:pt idx="38">
                  <c:v>35.629453681710217</c:v>
                </c:pt>
                <c:pt idx="39">
                  <c:v>35.922766052986077</c:v>
                </c:pt>
                <c:pt idx="41">
                  <c:v>38.498556304138603</c:v>
                </c:pt>
                <c:pt idx="42">
                  <c:v>37.842951750236509</c:v>
                </c:pt>
                <c:pt idx="43">
                  <c:v>37.570444583594245</c:v>
                </c:pt>
                <c:pt idx="44">
                  <c:v>76.800000000000011</c:v>
                </c:pt>
                <c:pt idx="45">
                  <c:v>64.742379282438634</c:v>
                </c:pt>
                <c:pt idx="46">
                  <c:v>66.133921190410575</c:v>
                </c:pt>
                <c:pt idx="47">
                  <c:v>66.097493803359953</c:v>
                </c:pt>
                <c:pt idx="48">
                  <c:v>69.49471550600839</c:v>
                </c:pt>
                <c:pt idx="50">
                  <c:v>74.418604651162781</c:v>
                </c:pt>
                <c:pt idx="51">
                  <c:v>68.278805120910391</c:v>
                </c:pt>
                <c:pt idx="52">
                  <c:v>67.104711309939887</c:v>
                </c:pt>
                <c:pt idx="53">
                  <c:v>64.196870402567868</c:v>
                </c:pt>
                <c:pt idx="54">
                  <c:v>63.534083388484447</c:v>
                </c:pt>
                <c:pt idx="55">
                  <c:v>65.609622744669224</c:v>
                </c:pt>
                <c:pt idx="56">
                  <c:v>65.173116089613032</c:v>
                </c:pt>
              </c:numCache>
            </c:numRef>
          </c:xVal>
          <c:yVal>
            <c:numRef>
              <c:f>'S-SBR'!#REF!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69-43E1-86FF-B0F02D89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46176"/>
        <c:axId val="556948096"/>
      </c:scatterChart>
      <c:valAx>
        <c:axId val="5569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HRT (h)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6948096"/>
        <c:crosses val="autoZero"/>
        <c:crossBetween val="midCat"/>
      </c:valAx>
      <c:valAx>
        <c:axId val="55694809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-ln(CF/C0)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6946176"/>
        <c:crosses val="autoZero"/>
        <c:crossBetween val="midCat"/>
        <c:majorUnit val="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LTP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61277370979292"/>
          <c:y val="8.5221753858436222E-2"/>
          <c:w val="0.85755801055218361"/>
          <c:h val="0.7380634165167872"/>
        </c:manualLayout>
      </c:layout>
      <c:areaChart>
        <c:grouping val="standard"/>
        <c:varyColors val="0"/>
        <c:ser>
          <c:idx val="4"/>
          <c:order val="0"/>
          <c:tx>
            <c:v>NLR</c:v>
          </c:tx>
          <c:spPr>
            <a:solidFill>
              <a:schemeClr val="accent3">
                <a:lumMod val="60000"/>
                <a:lumOff val="40000"/>
              </a:schemeClr>
            </a:solidFill>
            <a:ln w="15875">
              <a:solidFill>
                <a:schemeClr val="accent3">
                  <a:lumMod val="50000"/>
                </a:schemeClr>
              </a:solidFill>
              <a:prstDash val="solid"/>
            </a:ln>
          </c:spPr>
          <c:cat>
            <c:numRef>
              <c:f>'G-SBR'!$B$4:$B$93</c:f>
              <c:numCache>
                <c:formatCode>General</c:formatCod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cat>
          <c:val>
            <c:numRef>
              <c:f>'1-LTP'!$AI$4:$AI$93</c:f>
              <c:numCache>
                <c:formatCode>0.00</c:formatCode>
                <c:ptCount val="90"/>
                <c:pt idx="0">
                  <c:v>0.26239165683701721</c:v>
                </c:pt>
                <c:pt idx="1">
                  <c:v>0.28132204276348421</c:v>
                </c:pt>
                <c:pt idx="12">
                  <c:v>0.46333698563428294</c:v>
                </c:pt>
                <c:pt idx="13">
                  <c:v>0.16817682547412277</c:v>
                </c:pt>
                <c:pt idx="14">
                  <c:v>0.2478507155804453</c:v>
                </c:pt>
                <c:pt idx="15">
                  <c:v>0.24766155344533725</c:v>
                </c:pt>
                <c:pt idx="27">
                  <c:v>7.6254914373833291E-2</c:v>
                </c:pt>
                <c:pt idx="28">
                  <c:v>0.1663564826087349</c:v>
                </c:pt>
                <c:pt idx="29">
                  <c:v>0.27059106358610863</c:v>
                </c:pt>
                <c:pt idx="33">
                  <c:v>0.21300731361992625</c:v>
                </c:pt>
                <c:pt idx="34">
                  <c:v>6.2052328815301781E-2</c:v>
                </c:pt>
                <c:pt idx="35">
                  <c:v>0.26171668966263567</c:v>
                </c:pt>
                <c:pt idx="36">
                  <c:v>0.51109639639639637</c:v>
                </c:pt>
                <c:pt idx="37">
                  <c:v>0.45150104266428587</c:v>
                </c:pt>
                <c:pt idx="38">
                  <c:v>0.38481893289686081</c:v>
                </c:pt>
                <c:pt idx="39">
                  <c:v>0.50232395909422956</c:v>
                </c:pt>
                <c:pt idx="40">
                  <c:v>0.13155198739279819</c:v>
                </c:pt>
                <c:pt idx="41">
                  <c:v>0.19454068933798663</c:v>
                </c:pt>
                <c:pt idx="42">
                  <c:v>0.43351390561732911</c:v>
                </c:pt>
                <c:pt idx="43">
                  <c:v>0.38155133511890266</c:v>
                </c:pt>
                <c:pt idx="44">
                  <c:v>0.28527128930732532</c:v>
                </c:pt>
                <c:pt idx="45">
                  <c:v>0.40161361361361347</c:v>
                </c:pt>
                <c:pt idx="46">
                  <c:v>0.20860457755052356</c:v>
                </c:pt>
                <c:pt idx="47">
                  <c:v>0.36947005437870306</c:v>
                </c:pt>
                <c:pt idx="48">
                  <c:v>0.34179233287341398</c:v>
                </c:pt>
                <c:pt idx="49">
                  <c:v>1.8522450378306233E-2</c:v>
                </c:pt>
                <c:pt idx="50">
                  <c:v>4.9112333053774507E-2</c:v>
                </c:pt>
                <c:pt idx="51">
                  <c:v>0.20740982649315984</c:v>
                </c:pt>
                <c:pt idx="52">
                  <c:v>0.3709492465438412</c:v>
                </c:pt>
                <c:pt idx="54">
                  <c:v>0.2571581110389668</c:v>
                </c:pt>
                <c:pt idx="55">
                  <c:v>0.23873739956172391</c:v>
                </c:pt>
                <c:pt idx="56">
                  <c:v>0.33047308569831096</c:v>
                </c:pt>
                <c:pt idx="57">
                  <c:v>0.32057596335073812</c:v>
                </c:pt>
                <c:pt idx="58">
                  <c:v>0.39111550604658712</c:v>
                </c:pt>
                <c:pt idx="59">
                  <c:v>0.41054227200173155</c:v>
                </c:pt>
                <c:pt idx="60">
                  <c:v>0.44219219516814118</c:v>
                </c:pt>
                <c:pt idx="61">
                  <c:v>0.30991692142593047</c:v>
                </c:pt>
                <c:pt idx="62">
                  <c:v>0.27528658388117849</c:v>
                </c:pt>
                <c:pt idx="65">
                  <c:v>0.35416916916916913</c:v>
                </c:pt>
                <c:pt idx="66">
                  <c:v>0.33314410807203598</c:v>
                </c:pt>
                <c:pt idx="67">
                  <c:v>0.26391998755512269</c:v>
                </c:pt>
                <c:pt idx="68">
                  <c:v>0.27514462209957702</c:v>
                </c:pt>
                <c:pt idx="69">
                  <c:v>0.36569556944331727</c:v>
                </c:pt>
                <c:pt idx="70">
                  <c:v>0.82664329194058928</c:v>
                </c:pt>
                <c:pt idx="71">
                  <c:v>0.25798868057246443</c:v>
                </c:pt>
                <c:pt idx="72">
                  <c:v>0.39575344123402673</c:v>
                </c:pt>
                <c:pt idx="73">
                  <c:v>0.27619787354922493</c:v>
                </c:pt>
                <c:pt idx="74">
                  <c:v>0.32525432594756915</c:v>
                </c:pt>
                <c:pt idx="75">
                  <c:v>0.3003948994039084</c:v>
                </c:pt>
                <c:pt idx="76">
                  <c:v>0.22515928090252413</c:v>
                </c:pt>
                <c:pt idx="77">
                  <c:v>0.2380404278152026</c:v>
                </c:pt>
                <c:pt idx="81">
                  <c:v>0.25631561741922104</c:v>
                </c:pt>
                <c:pt idx="82">
                  <c:v>0.23242941139337536</c:v>
                </c:pt>
                <c:pt idx="83">
                  <c:v>0.17978647566485406</c:v>
                </c:pt>
                <c:pt idx="84">
                  <c:v>0.16611333856378907</c:v>
                </c:pt>
                <c:pt idx="85">
                  <c:v>0.14741391391391395</c:v>
                </c:pt>
                <c:pt idx="86">
                  <c:v>0.26868395422449476</c:v>
                </c:pt>
                <c:pt idx="87">
                  <c:v>0.27337061385710032</c:v>
                </c:pt>
                <c:pt idx="88">
                  <c:v>0.31051862673484287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8-477D-BFE5-F639AB684672}"/>
            </c:ext>
          </c:extLst>
        </c:ser>
        <c:ser>
          <c:idx val="5"/>
          <c:order val="1"/>
          <c:tx>
            <c:v>NRR</c:v>
          </c:tx>
          <c:spPr>
            <a:solidFill>
              <a:schemeClr val="accent3">
                <a:lumMod val="75000"/>
              </a:schemeClr>
            </a:solidFill>
            <a:ln w="15875">
              <a:solidFill>
                <a:schemeClr val="accent3">
                  <a:lumMod val="50000"/>
                </a:schemeClr>
              </a:solidFill>
              <a:prstDash val="lgDash"/>
            </a:ln>
          </c:spPr>
          <c:cat>
            <c:numRef>
              <c:f>'G-SBR'!$B$4:$B$93</c:f>
              <c:numCache>
                <c:formatCode>General</c:formatCod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cat>
          <c:val>
            <c:numRef>
              <c:f>'1-LTP'!$AJ$4:$AJ$1048576</c:f>
              <c:numCache>
                <c:formatCode>0.00</c:formatCode>
                <c:ptCount val="1048573"/>
                <c:pt idx="0">
                  <c:v>0.22571113884366678</c:v>
                </c:pt>
                <c:pt idx="1">
                  <c:v>0.227293960324077</c:v>
                </c:pt>
                <c:pt idx="12">
                  <c:v>0.13701874219444932</c:v>
                </c:pt>
                <c:pt idx="13">
                  <c:v>4.5682680721797972E-2</c:v>
                </c:pt>
                <c:pt idx="27">
                  <c:v>3.5418023019419135E-3</c:v>
                </c:pt>
                <c:pt idx="29">
                  <c:v>1.8396279917676343E-2</c:v>
                </c:pt>
                <c:pt idx="33">
                  <c:v>3.0629197336666737E-2</c:v>
                </c:pt>
                <c:pt idx="34">
                  <c:v>3.1585488693240578E-3</c:v>
                </c:pt>
                <c:pt idx="36">
                  <c:v>5.4195266166453669E-2</c:v>
                </c:pt>
                <c:pt idx="37">
                  <c:v>7.1999253338919045E-2</c:v>
                </c:pt>
                <c:pt idx="38">
                  <c:v>4.9185632085794101E-2</c:v>
                </c:pt>
                <c:pt idx="39">
                  <c:v>5.1422584931130173E-2</c:v>
                </c:pt>
                <c:pt idx="40">
                  <c:v>8.9840831964971991E-3</c:v>
                </c:pt>
                <c:pt idx="41">
                  <c:v>0.1800513803242412</c:v>
                </c:pt>
                <c:pt idx="42">
                  <c:v>8.0014802586233891E-2</c:v>
                </c:pt>
                <c:pt idx="43">
                  <c:v>0.33029028423484624</c:v>
                </c:pt>
                <c:pt idx="44">
                  <c:v>3.918210947901022E-2</c:v>
                </c:pt>
                <c:pt idx="45">
                  <c:v>5.7322514718341343E-2</c:v>
                </c:pt>
                <c:pt idx="46">
                  <c:v>3.1604922297038152E-2</c:v>
                </c:pt>
                <c:pt idx="47">
                  <c:v>4.5833376719952211E-2</c:v>
                </c:pt>
                <c:pt idx="48">
                  <c:v>5.8735797277091474E-2</c:v>
                </c:pt>
                <c:pt idx="49">
                  <c:v>4.0003819040842015E-3</c:v>
                </c:pt>
                <c:pt idx="52">
                  <c:v>4.2428148356665175E-2</c:v>
                </c:pt>
                <c:pt idx="54">
                  <c:v>4.8133304474823904E-2</c:v>
                </c:pt>
                <c:pt idx="55">
                  <c:v>3.5385296344959127E-2</c:v>
                </c:pt>
                <c:pt idx="56">
                  <c:v>3.8113118845363961E-2</c:v>
                </c:pt>
                <c:pt idx="57">
                  <c:v>3.3757970268233448E-2</c:v>
                </c:pt>
                <c:pt idx="61">
                  <c:v>0.28208850304171834</c:v>
                </c:pt>
                <c:pt idx="62">
                  <c:v>4.8174012749103712E-2</c:v>
                </c:pt>
                <c:pt idx="65">
                  <c:v>0.1044236387402299</c:v>
                </c:pt>
                <c:pt idx="66">
                  <c:v>7.4335550826836974E-2</c:v>
                </c:pt>
                <c:pt idx="67">
                  <c:v>6.6944397046101792E-2</c:v>
                </c:pt>
                <c:pt idx="68">
                  <c:v>6.6956840040816729E-2</c:v>
                </c:pt>
                <c:pt idx="69">
                  <c:v>6.7511887919959102E-2</c:v>
                </c:pt>
                <c:pt idx="70">
                  <c:v>0.15195327561152502</c:v>
                </c:pt>
                <c:pt idx="71">
                  <c:v>3.7795969680141574E-2</c:v>
                </c:pt>
                <c:pt idx="72">
                  <c:v>6.9820192780505205E-2</c:v>
                </c:pt>
                <c:pt idx="73">
                  <c:v>3.7696592471559057E-2</c:v>
                </c:pt>
                <c:pt idx="74">
                  <c:v>4.4901272246292992E-2</c:v>
                </c:pt>
                <c:pt idx="75">
                  <c:v>4.3976639603474615E-2</c:v>
                </c:pt>
                <c:pt idx="76">
                  <c:v>5.4607634073669142E-2</c:v>
                </c:pt>
                <c:pt idx="77">
                  <c:v>4.3405416812178091E-2</c:v>
                </c:pt>
                <c:pt idx="81">
                  <c:v>9.974460958925821E-2</c:v>
                </c:pt>
                <c:pt idx="82">
                  <c:v>7.5355600963517858E-2</c:v>
                </c:pt>
                <c:pt idx="83">
                  <c:v>7.3774297161872893E-2</c:v>
                </c:pt>
                <c:pt idx="84">
                  <c:v>4.8071224637799462E-2</c:v>
                </c:pt>
                <c:pt idx="85">
                  <c:v>1.8900700347252615E-2</c:v>
                </c:pt>
                <c:pt idx="86">
                  <c:v>6.9323207193654701E-2</c:v>
                </c:pt>
                <c:pt idx="87">
                  <c:v>6.6801972546540744E-2</c:v>
                </c:pt>
                <c:pt idx="88">
                  <c:v>7.392458738850996E-2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8-477D-BFE5-F639AB684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58560"/>
        <c:axId val="497060480"/>
      </c:areaChart>
      <c:dateAx>
        <c:axId val="49705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</a:t>
                </a:r>
                <a:r>
                  <a:rPr lang="en-GB" baseline="0"/>
                  <a:t>, d</a:t>
                </a:r>
                <a:endParaRPr lang="en-GB"/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7060480"/>
        <c:crosses val="autoZero"/>
        <c:auto val="0"/>
        <c:lblOffset val="100"/>
        <c:baseTimeUnit val="days"/>
        <c:majorUnit val="10"/>
        <c:majorTimeUnit val="days"/>
      </c:dateAx>
      <c:valAx>
        <c:axId val="497060480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Nitrogen loading and removal rate,</a:t>
                </a:r>
                <a:r>
                  <a:rPr lang="en-GB" baseline="0"/>
                  <a:t>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7058560"/>
        <c:crosses val="autoZero"/>
        <c:crossBetween val="midCat"/>
        <c:majorUnit val="0.5"/>
      </c:valAx>
    </c:plotArea>
    <c:legend>
      <c:legendPos val="t"/>
      <c:layout>
        <c:manualLayout>
          <c:xMode val="edge"/>
          <c:yMode val="edge"/>
          <c:x val="0.1006690674697536"/>
          <c:y val="9.7198570903869908E-2"/>
          <c:w val="0.11953480209357757"/>
          <c:h val="4.7420230674262889E-2"/>
        </c:manualLayout>
      </c:layout>
      <c:overlay val="1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LTP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40693512733446"/>
          <c:y val="8.5862062804212158E-2"/>
          <c:w val="0.80762200949079743"/>
          <c:h val="0.7193733800745401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'1-LTP'!$AI$4:$AI$1048576</c:f>
              <c:numCache>
                <c:formatCode>0.00</c:formatCode>
                <c:ptCount val="1048573"/>
                <c:pt idx="0">
                  <c:v>0.26239165683701721</c:v>
                </c:pt>
                <c:pt idx="1">
                  <c:v>0.28132204276348421</c:v>
                </c:pt>
                <c:pt idx="12">
                  <c:v>0.46333698563428294</c:v>
                </c:pt>
                <c:pt idx="13">
                  <c:v>0.16817682547412277</c:v>
                </c:pt>
                <c:pt idx="14">
                  <c:v>0.2478507155804453</c:v>
                </c:pt>
                <c:pt idx="15">
                  <c:v>0.24766155344533725</c:v>
                </c:pt>
                <c:pt idx="27">
                  <c:v>7.6254914373833291E-2</c:v>
                </c:pt>
                <c:pt idx="28">
                  <c:v>0.1663564826087349</c:v>
                </c:pt>
                <c:pt idx="29">
                  <c:v>0.27059106358610863</c:v>
                </c:pt>
                <c:pt idx="33">
                  <c:v>0.21300731361992625</c:v>
                </c:pt>
                <c:pt idx="34">
                  <c:v>6.2052328815301781E-2</c:v>
                </c:pt>
                <c:pt idx="35">
                  <c:v>0.26171668966263567</c:v>
                </c:pt>
                <c:pt idx="36">
                  <c:v>0.51109639639639637</c:v>
                </c:pt>
                <c:pt idx="37">
                  <c:v>0.45150104266428587</c:v>
                </c:pt>
                <c:pt idx="38">
                  <c:v>0.38481893289686081</c:v>
                </c:pt>
                <c:pt idx="39">
                  <c:v>0.50232395909422956</c:v>
                </c:pt>
                <c:pt idx="40">
                  <c:v>0.13155198739279819</c:v>
                </c:pt>
                <c:pt idx="41">
                  <c:v>0.19454068933798663</c:v>
                </c:pt>
                <c:pt idx="42">
                  <c:v>0.43351390561732911</c:v>
                </c:pt>
                <c:pt idx="43">
                  <c:v>0.38155133511890266</c:v>
                </c:pt>
                <c:pt idx="44">
                  <c:v>0.28527128930732532</c:v>
                </c:pt>
                <c:pt idx="45">
                  <c:v>0.40161361361361347</c:v>
                </c:pt>
                <c:pt idx="46">
                  <c:v>0.20860457755052356</c:v>
                </c:pt>
                <c:pt idx="47">
                  <c:v>0.36947005437870306</c:v>
                </c:pt>
                <c:pt idx="48">
                  <c:v>0.34179233287341398</c:v>
                </c:pt>
                <c:pt idx="49">
                  <c:v>1.8522450378306233E-2</c:v>
                </c:pt>
                <c:pt idx="50">
                  <c:v>4.9112333053774507E-2</c:v>
                </c:pt>
                <c:pt idx="51">
                  <c:v>0.20740982649315984</c:v>
                </c:pt>
                <c:pt idx="52">
                  <c:v>0.3709492465438412</c:v>
                </c:pt>
                <c:pt idx="54">
                  <c:v>0.2571581110389668</c:v>
                </c:pt>
                <c:pt idx="55">
                  <c:v>0.23873739956172391</c:v>
                </c:pt>
                <c:pt idx="56">
                  <c:v>0.33047308569831096</c:v>
                </c:pt>
                <c:pt idx="57">
                  <c:v>0.32057596335073812</c:v>
                </c:pt>
                <c:pt idx="58">
                  <c:v>0.39111550604658712</c:v>
                </c:pt>
                <c:pt idx="59">
                  <c:v>0.41054227200173155</c:v>
                </c:pt>
                <c:pt idx="60">
                  <c:v>0.44219219516814118</c:v>
                </c:pt>
                <c:pt idx="61">
                  <c:v>0.30991692142593047</c:v>
                </c:pt>
                <c:pt idx="62">
                  <c:v>0.27528658388117849</c:v>
                </c:pt>
                <c:pt idx="65">
                  <c:v>0.35416916916916913</c:v>
                </c:pt>
                <c:pt idx="66">
                  <c:v>0.33314410807203598</c:v>
                </c:pt>
                <c:pt idx="67">
                  <c:v>0.26391998755512269</c:v>
                </c:pt>
                <c:pt idx="68">
                  <c:v>0.27514462209957702</c:v>
                </c:pt>
                <c:pt idx="69">
                  <c:v>0.36569556944331727</c:v>
                </c:pt>
                <c:pt idx="70">
                  <c:v>0.82664329194058928</c:v>
                </c:pt>
                <c:pt idx="71">
                  <c:v>0.25798868057246443</c:v>
                </c:pt>
                <c:pt idx="72">
                  <c:v>0.39575344123402673</c:v>
                </c:pt>
                <c:pt idx="73">
                  <c:v>0.27619787354922493</c:v>
                </c:pt>
                <c:pt idx="74">
                  <c:v>0.32525432594756915</c:v>
                </c:pt>
                <c:pt idx="75">
                  <c:v>0.3003948994039084</c:v>
                </c:pt>
                <c:pt idx="76">
                  <c:v>0.22515928090252413</c:v>
                </c:pt>
                <c:pt idx="77">
                  <c:v>0.2380404278152026</c:v>
                </c:pt>
                <c:pt idx="81">
                  <c:v>0.25631561741922104</c:v>
                </c:pt>
                <c:pt idx="82">
                  <c:v>0.23242941139337536</c:v>
                </c:pt>
                <c:pt idx="83">
                  <c:v>0.17978647566485406</c:v>
                </c:pt>
                <c:pt idx="84">
                  <c:v>0.16611333856378907</c:v>
                </c:pt>
                <c:pt idx="85">
                  <c:v>0.14741391391391395</c:v>
                </c:pt>
                <c:pt idx="86">
                  <c:v>0.26868395422449476</c:v>
                </c:pt>
                <c:pt idx="87">
                  <c:v>0.27337061385710032</c:v>
                </c:pt>
                <c:pt idx="88">
                  <c:v>0.31051862673484287</c:v>
                </c:pt>
              </c:numCache>
            </c:numRef>
          </c:xVal>
          <c:yVal>
            <c:numRef>
              <c:f>'1-LTP'!$AJ$4:$AJ$1048576</c:f>
              <c:numCache>
                <c:formatCode>0.00</c:formatCode>
                <c:ptCount val="1048573"/>
                <c:pt idx="0">
                  <c:v>0.22571113884366678</c:v>
                </c:pt>
                <c:pt idx="1">
                  <c:v>0.227293960324077</c:v>
                </c:pt>
                <c:pt idx="12">
                  <c:v>0.13701874219444932</c:v>
                </c:pt>
                <c:pt idx="13">
                  <c:v>4.5682680721797972E-2</c:v>
                </c:pt>
                <c:pt idx="27">
                  <c:v>3.5418023019419135E-3</c:v>
                </c:pt>
                <c:pt idx="29">
                  <c:v>1.8396279917676343E-2</c:v>
                </c:pt>
                <c:pt idx="33">
                  <c:v>3.0629197336666737E-2</c:v>
                </c:pt>
                <c:pt idx="34">
                  <c:v>3.1585488693240578E-3</c:v>
                </c:pt>
                <c:pt idx="36">
                  <c:v>5.4195266166453669E-2</c:v>
                </c:pt>
                <c:pt idx="37">
                  <c:v>7.1999253338919045E-2</c:v>
                </c:pt>
                <c:pt idx="38">
                  <c:v>4.9185632085794101E-2</c:v>
                </c:pt>
                <c:pt idx="39">
                  <c:v>5.1422584931130173E-2</c:v>
                </c:pt>
                <c:pt idx="40">
                  <c:v>8.9840831964971991E-3</c:v>
                </c:pt>
                <c:pt idx="41">
                  <c:v>0.1800513803242412</c:v>
                </c:pt>
                <c:pt idx="42">
                  <c:v>8.0014802586233891E-2</c:v>
                </c:pt>
                <c:pt idx="43">
                  <c:v>0.33029028423484624</c:v>
                </c:pt>
                <c:pt idx="44">
                  <c:v>3.918210947901022E-2</c:v>
                </c:pt>
                <c:pt idx="45">
                  <c:v>5.7322514718341343E-2</c:v>
                </c:pt>
                <c:pt idx="46">
                  <c:v>3.1604922297038152E-2</c:v>
                </c:pt>
                <c:pt idx="47">
                  <c:v>4.5833376719952211E-2</c:v>
                </c:pt>
                <c:pt idx="48">
                  <c:v>5.8735797277091474E-2</c:v>
                </c:pt>
                <c:pt idx="49">
                  <c:v>4.0003819040842015E-3</c:v>
                </c:pt>
                <c:pt idx="52">
                  <c:v>4.2428148356665175E-2</c:v>
                </c:pt>
                <c:pt idx="54">
                  <c:v>4.8133304474823904E-2</c:v>
                </c:pt>
                <c:pt idx="55">
                  <c:v>3.5385296344959127E-2</c:v>
                </c:pt>
                <c:pt idx="56">
                  <c:v>3.8113118845363961E-2</c:v>
                </c:pt>
                <c:pt idx="57">
                  <c:v>3.3757970268233448E-2</c:v>
                </c:pt>
                <c:pt idx="61">
                  <c:v>0.28208850304171834</c:v>
                </c:pt>
                <c:pt idx="62">
                  <c:v>4.8174012749103712E-2</c:v>
                </c:pt>
                <c:pt idx="65">
                  <c:v>0.1044236387402299</c:v>
                </c:pt>
                <c:pt idx="66">
                  <c:v>7.4335550826836974E-2</c:v>
                </c:pt>
                <c:pt idx="67">
                  <c:v>6.6944397046101792E-2</c:v>
                </c:pt>
                <c:pt idx="68">
                  <c:v>6.6956840040816729E-2</c:v>
                </c:pt>
                <c:pt idx="69">
                  <c:v>6.7511887919959102E-2</c:v>
                </c:pt>
                <c:pt idx="70">
                  <c:v>0.15195327561152502</c:v>
                </c:pt>
                <c:pt idx="71">
                  <c:v>3.7795969680141574E-2</c:v>
                </c:pt>
                <c:pt idx="72">
                  <c:v>6.9820192780505205E-2</c:v>
                </c:pt>
                <c:pt idx="73">
                  <c:v>3.7696592471559057E-2</c:v>
                </c:pt>
                <c:pt idx="74">
                  <c:v>4.4901272246292992E-2</c:v>
                </c:pt>
                <c:pt idx="75">
                  <c:v>4.3976639603474615E-2</c:v>
                </c:pt>
                <c:pt idx="76">
                  <c:v>5.4607634073669142E-2</c:v>
                </c:pt>
                <c:pt idx="77">
                  <c:v>4.3405416812178091E-2</c:v>
                </c:pt>
                <c:pt idx="81">
                  <c:v>9.974460958925821E-2</c:v>
                </c:pt>
                <c:pt idx="82">
                  <c:v>7.5355600963517858E-2</c:v>
                </c:pt>
                <c:pt idx="83">
                  <c:v>7.3774297161872893E-2</c:v>
                </c:pt>
                <c:pt idx="84">
                  <c:v>4.8071224637799462E-2</c:v>
                </c:pt>
                <c:pt idx="85">
                  <c:v>1.8900700347252615E-2</c:v>
                </c:pt>
                <c:pt idx="86">
                  <c:v>6.9323207193654701E-2</c:v>
                </c:pt>
                <c:pt idx="87">
                  <c:v>6.6801972546540744E-2</c:v>
                </c:pt>
                <c:pt idx="88">
                  <c:v>7.392458738850996E-2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E1-482C-A5A4-1D43FCD63C24}"/>
            </c:ext>
          </c:extLst>
        </c:ser>
        <c:ser>
          <c:idx val="0"/>
          <c:order val="1"/>
          <c:tx>
            <c:v>Ideal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5875"/>
            </c:spPr>
            <c:trendlineType val="linear"/>
            <c:dispRSqr val="0"/>
            <c:dispEq val="0"/>
          </c:trendline>
          <c:xVal>
            <c:numRef>
              <c:f>DataPlots!$B$250:$B$251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xVal>
          <c:yVal>
            <c:numRef>
              <c:f>DataPlots!$C$250:$C$251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E1-482C-A5A4-1D43FCD63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464064"/>
        <c:axId val="499466240"/>
      </c:scatterChart>
      <c:valAx>
        <c:axId val="499464064"/>
        <c:scaling>
          <c:orientation val="minMax"/>
          <c:max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loading</a:t>
                </a:r>
                <a:r>
                  <a:rPr lang="en-GB" baseline="0"/>
                  <a:t> rate,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9466240"/>
        <c:crosses val="autoZero"/>
        <c:crossBetween val="midCat"/>
      </c:valAx>
      <c:valAx>
        <c:axId val="499466240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Nitrogen removal rate</a:t>
                </a:r>
                <a:r>
                  <a:rPr lang="en-GB" baseline="0"/>
                  <a:t>,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9464064"/>
        <c:crosses val="autoZero"/>
        <c:crossBetween val="midCat"/>
        <c:majorUnit val="0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S-SBR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73895382992035"/>
          <c:y val="0.12535131230165877"/>
          <c:w val="0.82575915644427844"/>
          <c:h val="0.69712622858580287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'S-SBR'!$AM$4:$AM$66</c:f>
              <c:numCache>
                <c:formatCode>0.000</c:formatCode>
                <c:ptCount val="63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  <c:pt idx="57">
                  <c:v>0.40233430800000008</c:v>
                </c:pt>
                <c:pt idx="58">
                  <c:v>0.45023746739999998</c:v>
                </c:pt>
                <c:pt idx="59">
                  <c:v>0.42267935550000019</c:v>
                </c:pt>
                <c:pt idx="60">
                  <c:v>0.38924275059999996</c:v>
                </c:pt>
                <c:pt idx="61">
                  <c:v>0.40514864699999997</c:v>
                </c:pt>
                <c:pt idx="62">
                  <c:v>0.33996319999999997</c:v>
                </c:pt>
              </c:numCache>
            </c:numRef>
          </c:xVal>
          <c:yVal>
            <c:numRef>
              <c:f>'S-SBR'!#REF!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72-4350-B597-CDD382A4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178880"/>
        <c:axId val="499185152"/>
      </c:scatterChart>
      <c:valAx>
        <c:axId val="499178880"/>
        <c:scaling>
          <c:orientation val="minMax"/>
          <c:max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removal</a:t>
                </a:r>
                <a:r>
                  <a:rPr lang="en-GB" baseline="0"/>
                  <a:t> rate,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9185152"/>
        <c:crosses val="autoZero"/>
        <c:crossBetween val="midCat"/>
        <c:majorUnit val="0.5"/>
      </c:valAx>
      <c:valAx>
        <c:axId val="499185152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Rate constantt k, 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9178880"/>
        <c:crosses val="autoZero"/>
        <c:crossBetween val="midCat"/>
        <c:majorUnit val="0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Media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7015625"/>
          <c:y val="0.12394751071317285"/>
          <c:w val="0.75548350694444444"/>
          <c:h val="0.62708958333333342"/>
        </c:manualLayout>
      </c:layout>
      <c:scatterChart>
        <c:scatterStyle val="lineMarker"/>
        <c:varyColors val="0"/>
        <c:ser>
          <c:idx val="2"/>
          <c:order val="0"/>
          <c:tx>
            <c:v>NH4-N in</c:v>
          </c:tx>
          <c:spPr>
            <a:ln w="22225">
              <a:noFill/>
            </a:ln>
          </c:spPr>
          <c:marker>
            <c:symbol val="plus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'1-Influent'!$B$4:$B$83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'1-Influent'!$M$4:$M$79</c:f>
            </c:numRef>
          </c:yVal>
          <c:smooth val="0"/>
          <c:extLst>
            <c:ext xmlns:c16="http://schemas.microsoft.com/office/drawing/2014/chart" uri="{C3380CC4-5D6E-409C-BE32-E72D297353CC}">
              <c16:uniqueId val="{00000000-9084-4462-AB57-A95CEC70A61C}"/>
            </c:ext>
          </c:extLst>
        </c:ser>
        <c:ser>
          <c:idx val="0"/>
          <c:order val="1"/>
          <c:tx>
            <c:v>NH4-N out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'1-Media'!$V$4:$V$86</c:f>
              <c:numCache>
                <c:formatCode>0.00</c:formatCode>
                <c:ptCount val="83"/>
                <c:pt idx="0" formatCode="General">
                  <c:v>343.82</c:v>
                </c:pt>
                <c:pt idx="6">
                  <c:v>133.16</c:v>
                </c:pt>
                <c:pt idx="7">
                  <c:v>173.05</c:v>
                </c:pt>
                <c:pt idx="8">
                  <c:v>183.1</c:v>
                </c:pt>
                <c:pt idx="14">
                  <c:v>42.52</c:v>
                </c:pt>
                <c:pt idx="15">
                  <c:v>48.13</c:v>
                </c:pt>
                <c:pt idx="28" formatCode="General">
                  <c:v>20.81</c:v>
                </c:pt>
                <c:pt idx="29" formatCode="General">
                  <c:v>19.329999999999998</c:v>
                </c:pt>
                <c:pt idx="30" formatCode="General">
                  <c:v>67.41</c:v>
                </c:pt>
                <c:pt idx="31" formatCode="General">
                  <c:v>100.87</c:v>
                </c:pt>
                <c:pt idx="33" formatCode="General">
                  <c:v>86.99</c:v>
                </c:pt>
                <c:pt idx="34" formatCode="General">
                  <c:v>250.9</c:v>
                </c:pt>
                <c:pt idx="35" formatCode="General">
                  <c:v>233.52</c:v>
                </c:pt>
                <c:pt idx="36" formatCode="General">
                  <c:v>867.26</c:v>
                </c:pt>
                <c:pt idx="37" formatCode="General">
                  <c:v>1063.8</c:v>
                </c:pt>
                <c:pt idx="40" formatCode="General">
                  <c:v>798.85</c:v>
                </c:pt>
                <c:pt idx="41" formatCode="General">
                  <c:v>738.77</c:v>
                </c:pt>
                <c:pt idx="43" formatCode="General">
                  <c:v>807.89</c:v>
                </c:pt>
                <c:pt idx="44">
                  <c:v>536.35</c:v>
                </c:pt>
                <c:pt idx="45">
                  <c:v>460.82</c:v>
                </c:pt>
                <c:pt idx="47">
                  <c:v>468.07</c:v>
                </c:pt>
                <c:pt idx="48">
                  <c:v>469.73</c:v>
                </c:pt>
                <c:pt idx="51">
                  <c:v>146.97999999999999</c:v>
                </c:pt>
                <c:pt idx="52">
                  <c:v>183.72</c:v>
                </c:pt>
                <c:pt idx="53">
                  <c:v>222.15</c:v>
                </c:pt>
                <c:pt idx="54">
                  <c:v>286.63</c:v>
                </c:pt>
                <c:pt idx="55">
                  <c:v>564.02</c:v>
                </c:pt>
                <c:pt idx="56">
                  <c:v>772.6</c:v>
                </c:pt>
                <c:pt idx="57">
                  <c:v>949.85</c:v>
                </c:pt>
                <c:pt idx="58">
                  <c:v>742.6</c:v>
                </c:pt>
                <c:pt idx="59">
                  <c:v>728.16</c:v>
                </c:pt>
                <c:pt idx="60">
                  <c:v>719.04</c:v>
                </c:pt>
                <c:pt idx="61">
                  <c:v>736.41</c:v>
                </c:pt>
                <c:pt idx="62">
                  <c:v>589.38</c:v>
                </c:pt>
                <c:pt idx="63">
                  <c:v>442.96</c:v>
                </c:pt>
                <c:pt idx="64">
                  <c:v>498.31</c:v>
                </c:pt>
                <c:pt idx="65">
                  <c:v>529.95000000000005</c:v>
                </c:pt>
                <c:pt idx="66">
                  <c:v>579.75</c:v>
                </c:pt>
                <c:pt idx="67">
                  <c:v>611.83000000000004</c:v>
                </c:pt>
                <c:pt idx="68">
                  <c:v>609.12</c:v>
                </c:pt>
                <c:pt idx="69">
                  <c:v>754.12</c:v>
                </c:pt>
                <c:pt idx="70">
                  <c:v>781.42</c:v>
                </c:pt>
                <c:pt idx="73">
                  <c:v>645.17999999999995</c:v>
                </c:pt>
                <c:pt idx="74">
                  <c:v>638.45000000000005</c:v>
                </c:pt>
                <c:pt idx="77">
                  <c:v>558.47</c:v>
                </c:pt>
                <c:pt idx="78">
                  <c:v>850.07</c:v>
                </c:pt>
                <c:pt idx="79">
                  <c:v>916.95</c:v>
                </c:pt>
                <c:pt idx="80">
                  <c:v>816.44</c:v>
                </c:pt>
                <c:pt idx="81">
                  <c:v>816.44</c:v>
                </c:pt>
                <c:pt idx="82">
                  <c:v>807.93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D8-4589-AA35-C03C4E95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203840"/>
        <c:axId val="493205760"/>
      </c:scatterChart>
      <c:scatterChart>
        <c:scatterStyle val="lineMarker"/>
        <c:varyColors val="0"/>
        <c:ser>
          <c:idx val="4"/>
          <c:order val="2"/>
          <c:tx>
            <c:v>NO3-N out</c:v>
          </c:tx>
          <c:spPr>
            <a:ln w="22225">
              <a:noFill/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'1-Media'!$X$4:$X$87</c:f>
              <c:numCache>
                <c:formatCode>General</c:formatCode>
                <c:ptCount val="84"/>
                <c:pt idx="0">
                  <c:v>0.192</c:v>
                </c:pt>
                <c:pt idx="6">
                  <c:v>0.192</c:v>
                </c:pt>
                <c:pt idx="7">
                  <c:v>5.992</c:v>
                </c:pt>
                <c:pt idx="8">
                  <c:v>0.192</c:v>
                </c:pt>
                <c:pt idx="14">
                  <c:v>1.3679999999999999</c:v>
                </c:pt>
                <c:pt idx="15">
                  <c:v>1.6929999999999998</c:v>
                </c:pt>
                <c:pt idx="28">
                  <c:v>0.192</c:v>
                </c:pt>
                <c:pt idx="29">
                  <c:v>0.192</c:v>
                </c:pt>
                <c:pt idx="30">
                  <c:v>8.1000000000000016E-2</c:v>
                </c:pt>
                <c:pt idx="31">
                  <c:v>0.192</c:v>
                </c:pt>
                <c:pt idx="33">
                  <c:v>0.10100000000000001</c:v>
                </c:pt>
                <c:pt idx="34">
                  <c:v>0.59600000000000009</c:v>
                </c:pt>
                <c:pt idx="35">
                  <c:v>0.192</c:v>
                </c:pt>
                <c:pt idx="36">
                  <c:v>13.781000000000001</c:v>
                </c:pt>
                <c:pt idx="37">
                  <c:v>29.001999999999995</c:v>
                </c:pt>
                <c:pt idx="40">
                  <c:v>9.3620000000000001</c:v>
                </c:pt>
                <c:pt idx="41">
                  <c:v>0.192</c:v>
                </c:pt>
                <c:pt idx="43">
                  <c:v>0.192</c:v>
                </c:pt>
                <c:pt idx="44">
                  <c:v>0.192</c:v>
                </c:pt>
                <c:pt idx="45">
                  <c:v>8.5699999999999932</c:v>
                </c:pt>
                <c:pt idx="47">
                  <c:v>5.8799999999999955</c:v>
                </c:pt>
                <c:pt idx="48">
                  <c:v>2.75</c:v>
                </c:pt>
                <c:pt idx="51">
                  <c:v>15.307000000000002</c:v>
                </c:pt>
                <c:pt idx="52">
                  <c:v>17.748999999999995</c:v>
                </c:pt>
                <c:pt idx="53">
                  <c:v>5.2469999999999999</c:v>
                </c:pt>
                <c:pt idx="54">
                  <c:v>40.734999999999999</c:v>
                </c:pt>
                <c:pt idx="55">
                  <c:v>23.413000000000004</c:v>
                </c:pt>
                <c:pt idx="56">
                  <c:v>14.385999999999996</c:v>
                </c:pt>
                <c:pt idx="57">
                  <c:v>6.4030000000000058</c:v>
                </c:pt>
                <c:pt idx="60">
                  <c:v>112.76999999999998</c:v>
                </c:pt>
                <c:pt idx="61">
                  <c:v>237.40600000000001</c:v>
                </c:pt>
                <c:pt idx="62">
                  <c:v>5.3300000000000125</c:v>
                </c:pt>
                <c:pt idx="63">
                  <c:v>1.9549999999999983</c:v>
                </c:pt>
                <c:pt idx="64">
                  <c:v>5.968</c:v>
                </c:pt>
                <c:pt idx="65">
                  <c:v>0.192</c:v>
                </c:pt>
                <c:pt idx="66">
                  <c:v>2.1219999999999999</c:v>
                </c:pt>
                <c:pt idx="67">
                  <c:v>1.109</c:v>
                </c:pt>
                <c:pt idx="68">
                  <c:v>3.5499999999999989</c:v>
                </c:pt>
                <c:pt idx="69">
                  <c:v>0.192</c:v>
                </c:pt>
                <c:pt idx="70">
                  <c:v>1.1620000000000008</c:v>
                </c:pt>
                <c:pt idx="73">
                  <c:v>3.0410000000000039</c:v>
                </c:pt>
                <c:pt idx="74">
                  <c:v>2.9420000000000002</c:v>
                </c:pt>
                <c:pt idx="77">
                  <c:v>0.192</c:v>
                </c:pt>
                <c:pt idx="78">
                  <c:v>6.7379999999999995</c:v>
                </c:pt>
                <c:pt idx="79">
                  <c:v>0.192</c:v>
                </c:pt>
                <c:pt idx="80">
                  <c:v>8.7799999999999994</c:v>
                </c:pt>
                <c:pt idx="81">
                  <c:v>3.0369999999999999</c:v>
                </c:pt>
                <c:pt idx="82">
                  <c:v>2.6989999999999998</c:v>
                </c:pt>
                <c:pt idx="83">
                  <c:v>5.8299999999999983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84-4462-AB57-A95CEC70A61C}"/>
            </c:ext>
          </c:extLst>
        </c:ser>
        <c:ser>
          <c:idx val="5"/>
          <c:order val="3"/>
          <c:tx>
            <c:v>NO2-N out</c:v>
          </c:tx>
          <c:spPr>
            <a:ln w="22225">
              <a:noFill/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'1-Media'!$W$4:$W$87</c:f>
              <c:numCache>
                <c:formatCode>0.00</c:formatCode>
                <c:ptCount val="84"/>
                <c:pt idx="0" formatCode="General">
                  <c:v>8.0000000000000002E-3</c:v>
                </c:pt>
                <c:pt idx="6">
                  <c:v>4.3959999999999999</c:v>
                </c:pt>
                <c:pt idx="7">
                  <c:v>8.0000000000000002E-3</c:v>
                </c:pt>
                <c:pt idx="8">
                  <c:v>8.0000000000000002E-3</c:v>
                </c:pt>
                <c:pt idx="14">
                  <c:v>0.93200000000000005</c:v>
                </c:pt>
                <c:pt idx="15">
                  <c:v>1.107</c:v>
                </c:pt>
                <c:pt idx="28" formatCode="General">
                  <c:v>26.292000000000002</c:v>
                </c:pt>
                <c:pt idx="29" formatCode="General">
                  <c:v>22.158999999999999</c:v>
                </c:pt>
                <c:pt idx="30" formatCode="General">
                  <c:v>0.11899999999999999</c:v>
                </c:pt>
                <c:pt idx="31" formatCode="General">
                  <c:v>8.0000000000000002E-3</c:v>
                </c:pt>
                <c:pt idx="33" formatCode="General">
                  <c:v>9.9000000000000005E-2</c:v>
                </c:pt>
                <c:pt idx="34" formatCode="General">
                  <c:v>9.5039999999999996</c:v>
                </c:pt>
                <c:pt idx="35" formatCode="General">
                  <c:v>21.875</c:v>
                </c:pt>
                <c:pt idx="36" formatCode="General">
                  <c:v>1.5189999999999999</c:v>
                </c:pt>
                <c:pt idx="37" formatCode="General">
                  <c:v>10.298</c:v>
                </c:pt>
                <c:pt idx="40" formatCode="General">
                  <c:v>0.23799999999999999</c:v>
                </c:pt>
                <c:pt idx="41" formatCode="General">
                  <c:v>1.349</c:v>
                </c:pt>
                <c:pt idx="43" formatCode="General">
                  <c:v>1.58</c:v>
                </c:pt>
                <c:pt idx="44">
                  <c:v>346.25</c:v>
                </c:pt>
                <c:pt idx="45">
                  <c:v>187.03</c:v>
                </c:pt>
                <c:pt idx="47">
                  <c:v>148.82</c:v>
                </c:pt>
                <c:pt idx="48">
                  <c:v>131.44999999999999</c:v>
                </c:pt>
                <c:pt idx="51">
                  <c:v>48.692999999999998</c:v>
                </c:pt>
                <c:pt idx="52">
                  <c:v>45.651000000000003</c:v>
                </c:pt>
                <c:pt idx="53">
                  <c:v>72.552999999999997</c:v>
                </c:pt>
                <c:pt idx="54">
                  <c:v>68.965000000000003</c:v>
                </c:pt>
                <c:pt idx="55">
                  <c:v>36.186999999999998</c:v>
                </c:pt>
                <c:pt idx="56">
                  <c:v>31.914000000000001</c:v>
                </c:pt>
                <c:pt idx="57">
                  <c:v>36.296999999999997</c:v>
                </c:pt>
                <c:pt idx="60">
                  <c:v>101.93</c:v>
                </c:pt>
                <c:pt idx="61">
                  <c:v>1.3939999999999999</c:v>
                </c:pt>
                <c:pt idx="62">
                  <c:v>145.07</c:v>
                </c:pt>
                <c:pt idx="63">
                  <c:v>57.045000000000002</c:v>
                </c:pt>
                <c:pt idx="64">
                  <c:v>17.032</c:v>
                </c:pt>
                <c:pt idx="65">
                  <c:v>15.375999999999999</c:v>
                </c:pt>
                <c:pt idx="66">
                  <c:v>4.4779999999999998</c:v>
                </c:pt>
                <c:pt idx="67">
                  <c:v>4.391</c:v>
                </c:pt>
                <c:pt idx="68">
                  <c:v>8.65</c:v>
                </c:pt>
                <c:pt idx="69">
                  <c:v>23.856000000000002</c:v>
                </c:pt>
                <c:pt idx="70">
                  <c:v>7.6379999999999999</c:v>
                </c:pt>
                <c:pt idx="73">
                  <c:v>56.158999999999999</c:v>
                </c:pt>
                <c:pt idx="74">
                  <c:v>53.957999999999998</c:v>
                </c:pt>
                <c:pt idx="77">
                  <c:v>77.941000000000003</c:v>
                </c:pt>
                <c:pt idx="78">
                  <c:v>45.561999999999998</c:v>
                </c:pt>
                <c:pt idx="79">
                  <c:v>59.856000000000002</c:v>
                </c:pt>
                <c:pt idx="80">
                  <c:v>0.42</c:v>
                </c:pt>
                <c:pt idx="81">
                  <c:v>6.5629999999999997</c:v>
                </c:pt>
                <c:pt idx="82">
                  <c:v>5.9009999999999998</c:v>
                </c:pt>
                <c:pt idx="83">
                  <c:v>13.57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84-4462-AB57-A95CEC70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222144"/>
        <c:axId val="49322022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4"/>
                <c:spPr>
                  <a:ln w="19050">
                    <a:solidFill>
                      <a:schemeClr val="tx1">
                        <a:lumMod val="85000"/>
                        <a:lumOff val="15000"/>
                      </a:schemeClr>
                    </a:solidFill>
                    <a:prstDash val="lgDashDotDot"/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DataPlots!$D$59:$D$60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DataPlots!$E$59:$E$60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E2FA-43BF-B1DD-A409F052DD4F}"/>
                  </c:ext>
                </c:extLst>
              </c15:ser>
            </c15:filteredScatterSeries>
          </c:ext>
        </c:extLst>
      </c:scatterChart>
      <c:valAx>
        <c:axId val="493203840"/>
        <c:scaling>
          <c:orientation val="minMax"/>
          <c:max val="8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5745444247342076"/>
              <c:y val="0.85225022551850893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3205760"/>
        <c:crosses val="autoZero"/>
        <c:crossBetween val="midCat"/>
      </c:valAx>
      <c:valAx>
        <c:axId val="493205760"/>
        <c:scaling>
          <c:orientation val="minMax"/>
          <c:max val="16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NH</a:t>
                </a:r>
                <a:r>
                  <a:rPr lang="en-GB" baseline="-25000"/>
                  <a:t>4</a:t>
                </a:r>
                <a:r>
                  <a:rPr lang="en-GB"/>
                  <a:t>-N in</a:t>
                </a:r>
                <a:r>
                  <a:rPr lang="en-GB" baseline="0"/>
                  <a:t> and out (mg L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3203840"/>
        <c:crosses val="autoZero"/>
        <c:crossBetween val="midCat"/>
        <c:majorUnit val="400"/>
      </c:valAx>
      <c:valAx>
        <c:axId val="493220224"/>
        <c:scaling>
          <c:orientation val="minMax"/>
          <c:max val="5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NO</a:t>
                </a:r>
                <a:r>
                  <a:rPr lang="en-GB" baseline="-25000"/>
                  <a:t>3</a:t>
                </a:r>
                <a:r>
                  <a:rPr lang="en-GB"/>
                  <a:t>-N</a:t>
                </a:r>
                <a:r>
                  <a:rPr lang="en-GB" baseline="0"/>
                  <a:t>, NO</a:t>
                </a:r>
                <a:r>
                  <a:rPr lang="en-GB" baseline="-25000"/>
                  <a:t>2</a:t>
                </a:r>
                <a:r>
                  <a:rPr lang="en-GB" baseline="0"/>
                  <a:t>-N out (mg L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</a:ln>
        </c:spPr>
        <c:crossAx val="493222144"/>
        <c:crosses val="max"/>
        <c:crossBetween val="midCat"/>
        <c:majorUnit val="125"/>
      </c:valAx>
      <c:valAx>
        <c:axId val="49322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2202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1.5170273966930233E-3"/>
          <c:y val="0.93589830509606708"/>
          <c:w val="0.99848297260330698"/>
          <c:h val="6.23256009680012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Media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04692856282875"/>
          <c:y val="0.13601919327169501"/>
          <c:w val="0.82575915644427844"/>
          <c:h val="0.71348978546626274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triang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'1-Media'!$AP$4:$AP$66</c:f>
              <c:numCache>
                <c:formatCode>0.00</c:formatCode>
                <c:ptCount val="63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28">
                  <c:v>8.7728429474033712E-2</c:v>
                </c:pt>
                <c:pt idx="29">
                  <c:v>0.24318898785013118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36">
                  <c:v>0.15107948972187452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4">
                  <c:v>4.8370031847860824E-2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0">
                  <c:v>0.17960219000307931</c:v>
                </c:pt>
                <c:pt idx="61">
                  <c:v>0.12819424836279361</c:v>
                </c:pt>
                <c:pt idx="62">
                  <c:v>0.22189351829957502</c:v>
                </c:pt>
              </c:numCache>
            </c:numRef>
          </c:xVal>
          <c:yVal>
            <c:numRef>
              <c:f>'1-Media'!#REF!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BC-43A6-9313-BBCBFB617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644352"/>
        <c:axId val="550675200"/>
      </c:scatterChart>
      <c:valAx>
        <c:axId val="550644352"/>
        <c:scaling>
          <c:orientation val="minMax"/>
          <c:max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removal rate,</a:t>
                </a:r>
                <a:r>
                  <a:rPr lang="en-GB" baseline="0"/>
                  <a:t>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50675200"/>
        <c:crosses val="autoZero"/>
        <c:crossBetween val="midCat"/>
        <c:majorUnit val="0.5"/>
      </c:valAx>
      <c:valAx>
        <c:axId val="550675200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Rate constant k, 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550644352"/>
        <c:crosses val="autoZero"/>
        <c:crossBetween val="midCat"/>
        <c:majorUnit val="0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G-SBR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40693512733446"/>
          <c:y val="8.5862062804212158E-2"/>
          <c:w val="0.80762200949079743"/>
          <c:h val="0.7193733800745401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'G-SBR'!$AM$4:$AM$80</c:f>
              <c:numCache>
                <c:formatCode>0.00</c:formatCode>
                <c:ptCount val="77"/>
                <c:pt idx="0">
                  <c:v>0.38379048345580186</c:v>
                </c:pt>
                <c:pt idx="14">
                  <c:v>0.46041116620649664</c:v>
                </c:pt>
                <c:pt idx="15">
                  <c:v>0.19675159663865543</c:v>
                </c:pt>
                <c:pt idx="27">
                  <c:v>6.7290796588757737E-2</c:v>
                </c:pt>
                <c:pt idx="28">
                  <c:v>0.39093819889541415</c:v>
                </c:pt>
                <c:pt idx="29">
                  <c:v>1.3137553012550109</c:v>
                </c:pt>
                <c:pt idx="30">
                  <c:v>0.28438145750839267</c:v>
                </c:pt>
                <c:pt idx="31">
                  <c:v>0.34759442836810933</c:v>
                </c:pt>
                <c:pt idx="32">
                  <c:v>0.2475404751097855</c:v>
                </c:pt>
                <c:pt idx="33">
                  <c:v>0.27192510583123342</c:v>
                </c:pt>
                <c:pt idx="34">
                  <c:v>0.16751879279361928</c:v>
                </c:pt>
                <c:pt idx="35">
                  <c:v>9.0617308827127922E-3</c:v>
                </c:pt>
                <c:pt idx="36">
                  <c:v>0.21261330761812922</c:v>
                </c:pt>
                <c:pt idx="37">
                  <c:v>0.10608086335549018</c:v>
                </c:pt>
                <c:pt idx="38">
                  <c:v>6.8543913250220009E-2</c:v>
                </c:pt>
                <c:pt idx="39">
                  <c:v>7.6292308998669706E-2</c:v>
                </c:pt>
                <c:pt idx="40">
                  <c:v>0.12026807192074039</c:v>
                </c:pt>
                <c:pt idx="56">
                  <c:v>9.2579999999999982E-2</c:v>
                </c:pt>
                <c:pt idx="57">
                  <c:v>8.8860000000000106E-2</c:v>
                </c:pt>
                <c:pt idx="72">
                  <c:v>1.4832898461538457</c:v>
                </c:pt>
                <c:pt idx="73">
                  <c:v>1.2829797101449278</c:v>
                </c:pt>
              </c:numCache>
            </c:numRef>
          </c:xVal>
          <c:yVal>
            <c:numRef>
              <c:f>'G-SBR'!$AN$4:$AN$80</c:f>
              <c:numCache>
                <c:formatCode>0%</c:formatCode>
                <c:ptCount val="77"/>
                <c:pt idx="0">
                  <c:v>0.91914429062529035</c:v>
                </c:pt>
                <c:pt idx="14">
                  <c:v>0.89086277997897634</c:v>
                </c:pt>
                <c:pt idx="15">
                  <c:v>0.84829034193161368</c:v>
                </c:pt>
                <c:pt idx="27">
                  <c:v>0.61965054226200722</c:v>
                </c:pt>
                <c:pt idx="28">
                  <c:v>0.5882113130626806</c:v>
                </c:pt>
                <c:pt idx="29">
                  <c:v>0.87966808067276914</c:v>
                </c:pt>
                <c:pt idx="30">
                  <c:v>0.18564763995609215</c:v>
                </c:pt>
                <c:pt idx="31">
                  <c:v>0.69041864191760693</c:v>
                </c:pt>
                <c:pt idx="32">
                  <c:v>0.64573648694703834</c:v>
                </c:pt>
                <c:pt idx="33">
                  <c:v>0.85089916078326888</c:v>
                </c:pt>
                <c:pt idx="34">
                  <c:v>0.86542364880811895</c:v>
                </c:pt>
                <c:pt idx="35">
                  <c:v>0.3773547094188377</c:v>
                </c:pt>
                <c:pt idx="36">
                  <c:v>0.89169406239516935</c:v>
                </c:pt>
                <c:pt idx="37">
                  <c:v>0.70167097966728276</c:v>
                </c:pt>
                <c:pt idx="38">
                  <c:v>0.61991644457249873</c:v>
                </c:pt>
                <c:pt idx="39">
                  <c:v>0.69482259998589269</c:v>
                </c:pt>
                <c:pt idx="40">
                  <c:v>0.84669206535277308</c:v>
                </c:pt>
                <c:pt idx="56">
                  <c:v>0.11921084704448508</c:v>
                </c:pt>
                <c:pt idx="57">
                  <c:v>0.10618401206636498</c:v>
                </c:pt>
                <c:pt idx="72">
                  <c:v>0.95973534971644625</c:v>
                </c:pt>
                <c:pt idx="73">
                  <c:v>0.94474341886037994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71-4E4C-B34F-E4551789B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464064"/>
        <c:axId val="499466240"/>
      </c:scatterChart>
      <c:valAx>
        <c:axId val="499464064"/>
        <c:scaling>
          <c:orientation val="minMax"/>
          <c:max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Nitrogen removal rate,</a:t>
                </a:r>
                <a:r>
                  <a:rPr lang="en-GB" baseline="0"/>
                  <a:t> 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9466240"/>
        <c:crosses val="autoZero"/>
        <c:crossBetween val="midCat"/>
      </c:valAx>
      <c:valAx>
        <c:axId val="499466240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Rate constant k, d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9464064"/>
        <c:crosses val="autoZero"/>
        <c:crossBetween val="midCat"/>
        <c:majorUnit val="0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LTP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40693512733446"/>
          <c:y val="8.5862062804212158E-2"/>
          <c:w val="0.80762200949079743"/>
          <c:h val="0.7193733800745401"/>
        </c:manualLayout>
      </c:layout>
      <c:scatterChart>
        <c:scatterStyle val="lineMarker"/>
        <c:varyColors val="0"/>
        <c:ser>
          <c:idx val="5"/>
          <c:order val="0"/>
          <c:tx>
            <c:v>Loading</c:v>
          </c:tx>
          <c:spPr>
            <a:ln w="22225">
              <a:noFill/>
              <a:prstDash val="solid"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'1-LTP'!$AI$4:$AI$1048576</c:f>
              <c:numCache>
                <c:formatCode>0.00</c:formatCode>
                <c:ptCount val="1048573"/>
                <c:pt idx="0">
                  <c:v>0.26239165683701721</c:v>
                </c:pt>
                <c:pt idx="1">
                  <c:v>0.28132204276348421</c:v>
                </c:pt>
                <c:pt idx="12">
                  <c:v>0.46333698563428294</c:v>
                </c:pt>
                <c:pt idx="13">
                  <c:v>0.16817682547412277</c:v>
                </c:pt>
                <c:pt idx="14">
                  <c:v>0.2478507155804453</c:v>
                </c:pt>
                <c:pt idx="15">
                  <c:v>0.24766155344533725</c:v>
                </c:pt>
                <c:pt idx="27">
                  <c:v>7.6254914373833291E-2</c:v>
                </c:pt>
                <c:pt idx="28">
                  <c:v>0.1663564826087349</c:v>
                </c:pt>
                <c:pt idx="29">
                  <c:v>0.27059106358610863</c:v>
                </c:pt>
                <c:pt idx="33">
                  <c:v>0.21300731361992625</c:v>
                </c:pt>
                <c:pt idx="34">
                  <c:v>6.2052328815301781E-2</c:v>
                </c:pt>
                <c:pt idx="35">
                  <c:v>0.26171668966263567</c:v>
                </c:pt>
                <c:pt idx="36">
                  <c:v>0.51109639639639637</c:v>
                </c:pt>
                <c:pt idx="37">
                  <c:v>0.45150104266428587</c:v>
                </c:pt>
                <c:pt idx="38">
                  <c:v>0.38481893289686081</c:v>
                </c:pt>
                <c:pt idx="39">
                  <c:v>0.50232395909422956</c:v>
                </c:pt>
                <c:pt idx="40">
                  <c:v>0.13155198739279819</c:v>
                </c:pt>
                <c:pt idx="41">
                  <c:v>0.19454068933798663</c:v>
                </c:pt>
                <c:pt idx="42">
                  <c:v>0.43351390561732911</c:v>
                </c:pt>
                <c:pt idx="43">
                  <c:v>0.38155133511890266</c:v>
                </c:pt>
                <c:pt idx="44">
                  <c:v>0.28527128930732532</c:v>
                </c:pt>
                <c:pt idx="45">
                  <c:v>0.40161361361361347</c:v>
                </c:pt>
                <c:pt idx="46">
                  <c:v>0.20860457755052356</c:v>
                </c:pt>
                <c:pt idx="47">
                  <c:v>0.36947005437870306</c:v>
                </c:pt>
                <c:pt idx="48">
                  <c:v>0.34179233287341398</c:v>
                </c:pt>
                <c:pt idx="49">
                  <c:v>1.8522450378306233E-2</c:v>
                </c:pt>
                <c:pt idx="50">
                  <c:v>4.9112333053774507E-2</c:v>
                </c:pt>
                <c:pt idx="51">
                  <c:v>0.20740982649315984</c:v>
                </c:pt>
                <c:pt idx="52">
                  <c:v>0.3709492465438412</c:v>
                </c:pt>
                <c:pt idx="54">
                  <c:v>0.2571581110389668</c:v>
                </c:pt>
                <c:pt idx="55">
                  <c:v>0.23873739956172391</c:v>
                </c:pt>
                <c:pt idx="56">
                  <c:v>0.33047308569831096</c:v>
                </c:pt>
                <c:pt idx="57">
                  <c:v>0.32057596335073812</c:v>
                </c:pt>
                <c:pt idx="58">
                  <c:v>0.39111550604658712</c:v>
                </c:pt>
                <c:pt idx="59">
                  <c:v>0.41054227200173155</c:v>
                </c:pt>
                <c:pt idx="60">
                  <c:v>0.44219219516814118</c:v>
                </c:pt>
                <c:pt idx="61">
                  <c:v>0.30991692142593047</c:v>
                </c:pt>
                <c:pt idx="62">
                  <c:v>0.27528658388117849</c:v>
                </c:pt>
                <c:pt idx="65">
                  <c:v>0.35416916916916913</c:v>
                </c:pt>
                <c:pt idx="66">
                  <c:v>0.33314410807203598</c:v>
                </c:pt>
                <c:pt idx="67">
                  <c:v>0.26391998755512269</c:v>
                </c:pt>
                <c:pt idx="68">
                  <c:v>0.27514462209957702</c:v>
                </c:pt>
                <c:pt idx="69">
                  <c:v>0.36569556944331727</c:v>
                </c:pt>
                <c:pt idx="70">
                  <c:v>0.82664329194058928</c:v>
                </c:pt>
                <c:pt idx="71">
                  <c:v>0.25798868057246443</c:v>
                </c:pt>
                <c:pt idx="72">
                  <c:v>0.39575344123402673</c:v>
                </c:pt>
                <c:pt idx="73">
                  <c:v>0.27619787354922493</c:v>
                </c:pt>
                <c:pt idx="74">
                  <c:v>0.32525432594756915</c:v>
                </c:pt>
                <c:pt idx="75">
                  <c:v>0.3003948994039084</c:v>
                </c:pt>
                <c:pt idx="76">
                  <c:v>0.22515928090252413</c:v>
                </c:pt>
                <c:pt idx="77">
                  <c:v>0.2380404278152026</c:v>
                </c:pt>
                <c:pt idx="81">
                  <c:v>0.25631561741922104</c:v>
                </c:pt>
                <c:pt idx="82">
                  <c:v>0.23242941139337536</c:v>
                </c:pt>
                <c:pt idx="83">
                  <c:v>0.17978647566485406</c:v>
                </c:pt>
                <c:pt idx="84">
                  <c:v>0.16611333856378907</c:v>
                </c:pt>
                <c:pt idx="85">
                  <c:v>0.14741391391391395</c:v>
                </c:pt>
                <c:pt idx="86">
                  <c:v>0.26868395422449476</c:v>
                </c:pt>
                <c:pt idx="87">
                  <c:v>0.27337061385710032</c:v>
                </c:pt>
                <c:pt idx="88">
                  <c:v>0.31051862673484287</c:v>
                </c:pt>
              </c:numCache>
            </c:numRef>
          </c:xVal>
          <c:yVal>
            <c:numRef>
              <c:f>'1-LTP'!$AJ$4:$AJ$1048576</c:f>
              <c:numCache>
                <c:formatCode>0.00</c:formatCode>
                <c:ptCount val="1048573"/>
                <c:pt idx="0">
                  <c:v>0.22571113884366678</c:v>
                </c:pt>
                <c:pt idx="1">
                  <c:v>0.227293960324077</c:v>
                </c:pt>
                <c:pt idx="12">
                  <c:v>0.13701874219444932</c:v>
                </c:pt>
                <c:pt idx="13">
                  <c:v>4.5682680721797972E-2</c:v>
                </c:pt>
                <c:pt idx="27">
                  <c:v>3.5418023019419135E-3</c:v>
                </c:pt>
                <c:pt idx="29">
                  <c:v>1.8396279917676343E-2</c:v>
                </c:pt>
                <c:pt idx="33">
                  <c:v>3.0629197336666737E-2</c:v>
                </c:pt>
                <c:pt idx="34">
                  <c:v>3.1585488693240578E-3</c:v>
                </c:pt>
                <c:pt idx="36">
                  <c:v>5.4195266166453669E-2</c:v>
                </c:pt>
                <c:pt idx="37">
                  <c:v>7.1999253338919045E-2</c:v>
                </c:pt>
                <c:pt idx="38">
                  <c:v>4.9185632085794101E-2</c:v>
                </c:pt>
                <c:pt idx="39">
                  <c:v>5.1422584931130173E-2</c:v>
                </c:pt>
                <c:pt idx="40">
                  <c:v>8.9840831964971991E-3</c:v>
                </c:pt>
                <c:pt idx="41">
                  <c:v>0.1800513803242412</c:v>
                </c:pt>
                <c:pt idx="42">
                  <c:v>8.0014802586233891E-2</c:v>
                </c:pt>
                <c:pt idx="43">
                  <c:v>0.33029028423484624</c:v>
                </c:pt>
                <c:pt idx="44">
                  <c:v>3.918210947901022E-2</c:v>
                </c:pt>
                <c:pt idx="45">
                  <c:v>5.7322514718341343E-2</c:v>
                </c:pt>
                <c:pt idx="46">
                  <c:v>3.1604922297038152E-2</c:v>
                </c:pt>
                <c:pt idx="47">
                  <c:v>4.5833376719952211E-2</c:v>
                </c:pt>
                <c:pt idx="48">
                  <c:v>5.8735797277091474E-2</c:v>
                </c:pt>
                <c:pt idx="49">
                  <c:v>4.0003819040842015E-3</c:v>
                </c:pt>
                <c:pt idx="52">
                  <c:v>4.2428148356665175E-2</c:v>
                </c:pt>
                <c:pt idx="54">
                  <c:v>4.8133304474823904E-2</c:v>
                </c:pt>
                <c:pt idx="55">
                  <c:v>3.5385296344959127E-2</c:v>
                </c:pt>
                <c:pt idx="56">
                  <c:v>3.8113118845363961E-2</c:v>
                </c:pt>
                <c:pt idx="57">
                  <c:v>3.3757970268233448E-2</c:v>
                </c:pt>
                <c:pt idx="61">
                  <c:v>0.28208850304171834</c:v>
                </c:pt>
                <c:pt idx="62">
                  <c:v>4.8174012749103712E-2</c:v>
                </c:pt>
                <c:pt idx="65">
                  <c:v>0.1044236387402299</c:v>
                </c:pt>
                <c:pt idx="66">
                  <c:v>7.4335550826836974E-2</c:v>
                </c:pt>
                <c:pt idx="67">
                  <c:v>6.6944397046101792E-2</c:v>
                </c:pt>
                <c:pt idx="68">
                  <c:v>6.6956840040816729E-2</c:v>
                </c:pt>
                <c:pt idx="69">
                  <c:v>6.7511887919959102E-2</c:v>
                </c:pt>
                <c:pt idx="70">
                  <c:v>0.15195327561152502</c:v>
                </c:pt>
                <c:pt idx="71">
                  <c:v>3.7795969680141574E-2</c:v>
                </c:pt>
                <c:pt idx="72">
                  <c:v>6.9820192780505205E-2</c:v>
                </c:pt>
                <c:pt idx="73">
                  <c:v>3.7696592471559057E-2</c:v>
                </c:pt>
                <c:pt idx="74">
                  <c:v>4.4901272246292992E-2</c:v>
                </c:pt>
                <c:pt idx="75">
                  <c:v>4.3976639603474615E-2</c:v>
                </c:pt>
                <c:pt idx="76">
                  <c:v>5.4607634073669142E-2</c:v>
                </c:pt>
                <c:pt idx="77">
                  <c:v>4.3405416812178091E-2</c:v>
                </c:pt>
                <c:pt idx="81">
                  <c:v>9.974460958925821E-2</c:v>
                </c:pt>
                <c:pt idx="82">
                  <c:v>7.5355600963517858E-2</c:v>
                </c:pt>
                <c:pt idx="83">
                  <c:v>7.3774297161872893E-2</c:v>
                </c:pt>
                <c:pt idx="84">
                  <c:v>4.8071224637799462E-2</c:v>
                </c:pt>
                <c:pt idx="85">
                  <c:v>1.8900700347252615E-2</c:v>
                </c:pt>
                <c:pt idx="86">
                  <c:v>6.9323207193654701E-2</c:v>
                </c:pt>
                <c:pt idx="87">
                  <c:v>6.6801972546540744E-2</c:v>
                </c:pt>
                <c:pt idx="88">
                  <c:v>7.392458738850996E-2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CA-4DA6-AA87-F59E02494778}"/>
            </c:ext>
          </c:extLst>
        </c:ser>
        <c:ser>
          <c:idx val="0"/>
          <c:order val="1"/>
          <c:tx>
            <c:v>Ideal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5875"/>
            </c:spPr>
            <c:trendlineType val="linear"/>
            <c:dispRSqr val="0"/>
            <c:dispEq val="0"/>
          </c:trendline>
          <c:xVal>
            <c:numRef>
              <c:f>DataPlots!$B$250:$B$251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xVal>
          <c:yVal>
            <c:numRef>
              <c:f>DataPlots!$C$250:$C$251</c:f>
              <c:numCache>
                <c:formatCode>General</c:formatCode>
                <c:ptCount val="2"/>
                <c:pt idx="0">
                  <c:v>0.01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CA-4DA6-AA87-F59E02494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464064"/>
        <c:axId val="499466240"/>
      </c:scatterChart>
      <c:valAx>
        <c:axId val="499464064"/>
        <c:scaling>
          <c:orientation val="minMax"/>
          <c:max val="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NLR (kg N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9466240"/>
        <c:crosses val="autoZero"/>
        <c:crossBetween val="midCat"/>
      </c:valAx>
      <c:valAx>
        <c:axId val="499466240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NRR (kg N</a:t>
                </a:r>
                <a:r>
                  <a:rPr lang="en-GB" baseline="0"/>
                  <a:t> m</a:t>
                </a:r>
                <a:r>
                  <a:rPr lang="en-GB" baseline="30000"/>
                  <a:t>-3</a:t>
                </a:r>
                <a:r>
                  <a:rPr lang="en-GB" baseline="0"/>
                  <a:t>d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9464064"/>
        <c:crosses val="autoZero"/>
        <c:crossBetween val="midCat"/>
        <c:majorUnit val="0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Series 1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plots'!$H$45:$K$45</c:f>
              <c:numCache>
                <c:formatCode>0.00</c:formatCode>
                <c:ptCount val="4"/>
                <c:pt idx="0">
                  <c:v>0.47978026572516952</c:v>
                </c:pt>
                <c:pt idx="1">
                  <c:v>0.21345656192236603</c:v>
                </c:pt>
                <c:pt idx="2">
                  <c:v>9.7955771715175985E-2</c:v>
                </c:pt>
                <c:pt idx="3">
                  <c:v>0.70698256314019869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8-42D8-8EA0-D6CB9E723D77}"/>
            </c:ext>
          </c:extLst>
        </c:ser>
        <c:ser>
          <c:idx val="1"/>
          <c:order val="1"/>
          <c:tx>
            <c:v>Series 2</c:v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percentage"/>
            <c:noEndCap val="0"/>
            <c:val val="100"/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plots'!$H$46:$K$46</c:f>
              <c:numCache>
                <c:formatCode>0.00</c:formatCode>
                <c:ptCount val="4"/>
                <c:pt idx="0">
                  <c:v>0.39392472442206639</c:v>
                </c:pt>
                <c:pt idx="1">
                  <c:v>0.2069831361212984</c:v>
                </c:pt>
                <c:pt idx="2">
                  <c:v>0.5218792223599702</c:v>
                </c:pt>
                <c:pt idx="3">
                  <c:v>0.1830059244500104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8-42D8-8EA0-D6CB9E723D77}"/>
            </c:ext>
          </c:extLst>
        </c:ser>
        <c:ser>
          <c:idx val="2"/>
          <c:order val="2"/>
          <c:tx>
            <c:v>Series 3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plots'!$H$47:$K$47</c:f>
              <c:numCache>
                <c:formatCode>0.00</c:formatCode>
                <c:ptCount val="4"/>
                <c:pt idx="0">
                  <c:v>8.1775813207757286E-3</c:v>
                </c:pt>
                <c:pt idx="1">
                  <c:v>0.14545971217914022</c:v>
                </c:pt>
                <c:pt idx="2">
                  <c:v>0.2094243262560207</c:v>
                </c:pt>
                <c:pt idx="3">
                  <c:v>2.0536562509991252E-2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C8-42D8-8EA0-D6CB9E723D77}"/>
            </c:ext>
          </c:extLst>
        </c:ser>
        <c:ser>
          <c:idx val="3"/>
          <c:order val="3"/>
          <c:tx>
            <c:v>Series 4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'Publication plots'!$H$49:$K$49</c:f>
                <c:numCache>
                  <c:formatCode>General</c:formatCode>
                  <c:ptCount val="4"/>
                  <c:pt idx="0">
                    <c:v>2.395697272937003E-2</c:v>
                  </c:pt>
                  <c:pt idx="1">
                    <c:v>0.16617712416457142</c:v>
                  </c:pt>
                  <c:pt idx="2">
                    <c:v>6.6270037892492417E-2</c:v>
                  </c:pt>
                  <c:pt idx="3">
                    <c:v>3.8845969408846881E-2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plots'!$H$48:$K$48</c:f>
              <c:numCache>
                <c:formatCode>0.00</c:formatCode>
                <c:ptCount val="4"/>
                <c:pt idx="0">
                  <c:v>9.2165924497731311E-3</c:v>
                </c:pt>
                <c:pt idx="1">
                  <c:v>0.25353781405349618</c:v>
                </c:pt>
                <c:pt idx="2">
                  <c:v>6.420599149278694E-2</c:v>
                </c:pt>
                <c:pt idx="3">
                  <c:v>3.874163881838566E-2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C8-42D8-8EA0-D6CB9E723D77}"/>
            </c:ext>
          </c:extLst>
        </c:ser>
        <c:ser>
          <c:idx val="4"/>
          <c:order val="4"/>
          <c:tx>
            <c:v>Series 5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plots'!$H$49:$K$49</c:f>
              <c:numCache>
                <c:formatCode>0.00</c:formatCode>
                <c:ptCount val="4"/>
                <c:pt idx="0">
                  <c:v>2.395697272937003E-2</c:v>
                </c:pt>
                <c:pt idx="1">
                  <c:v>0.16617712416457142</c:v>
                </c:pt>
                <c:pt idx="2">
                  <c:v>6.6270037892492417E-2</c:v>
                </c:pt>
                <c:pt idx="3">
                  <c:v>3.8845969408846881E-2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C8-42D8-8EA0-D6CB9E723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53929656"/>
        <c:axId val="560021896"/>
      </c:barChart>
      <c:scatterChart>
        <c:scatterStyle val="lineMarker"/>
        <c:varyColors val="0"/>
        <c:ser>
          <c:idx val="5"/>
          <c:order val="5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yVal>
            <c:numRef>
              <c:f>'Publication plots'!$H$50:$K$50</c:f>
              <c:numCache>
                <c:formatCode>0.00</c:formatCode>
                <c:ptCount val="4"/>
                <c:pt idx="0">
                  <c:v>0.87266191228428058</c:v>
                </c:pt>
                <c:pt idx="1">
                  <c:v>0.60567773837361438</c:v>
                </c:pt>
                <c:pt idx="2">
                  <c:v>0.72885744960899101</c:v>
                </c:pt>
                <c:pt idx="3">
                  <c:v>0.91235096667657256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C8-42D8-8EA0-D6CB9E723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929656"/>
        <c:axId val="560021896"/>
      </c:scatterChart>
      <c:catAx>
        <c:axId val="95392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021896"/>
        <c:crosses val="autoZero"/>
        <c:auto val="1"/>
        <c:lblAlgn val="ctr"/>
        <c:lblOffset val="100"/>
        <c:noMultiLvlLbl val="0"/>
      </c:catAx>
      <c:valAx>
        <c:axId val="560021896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Ammonia removal efficiency, %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3017752989209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cross"/>
        <c:minorTickMark val="none"/>
        <c:tickLblPos val="nextTo"/>
        <c:spPr>
          <a:noFill/>
          <a:ln>
            <a:solidFill>
              <a:schemeClr val="tx1"/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929656"/>
        <c:crosses val="autoZero"/>
        <c:crossBetween val="between"/>
        <c:majorUnit val="0.2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Series 1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plots'!$H$52:$J$52</c:f>
              <c:numCache>
                <c:formatCode>0.00</c:formatCode>
                <c:ptCount val="3"/>
                <c:pt idx="0">
                  <c:v>2.1000000000000001E-2</c:v>
                </c:pt>
                <c:pt idx="1">
                  <c:v>0.10299999999999999</c:v>
                </c:pt>
                <c:pt idx="2">
                  <c:v>2.1000000000000001E-2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EB9-9EE0-2AD68B9155E9}"/>
            </c:ext>
          </c:extLst>
        </c:ser>
        <c:ser>
          <c:idx val="1"/>
          <c:order val="1"/>
          <c:tx>
            <c:v>Series 2</c:v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percentage"/>
            <c:noEndCap val="0"/>
            <c:val val="100"/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plots'!$H$53:$J$53</c:f>
              <c:numCache>
                <c:formatCode>0.00</c:formatCode>
                <c:ptCount val="3"/>
                <c:pt idx="0">
                  <c:v>1.1099999999999995E-2</c:v>
                </c:pt>
                <c:pt idx="1">
                  <c:v>0.32900000000000001</c:v>
                </c:pt>
                <c:pt idx="2">
                  <c:v>1.0499999999999999E-2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EB9-9EE0-2AD68B9155E9}"/>
            </c:ext>
          </c:extLst>
        </c:ser>
        <c:ser>
          <c:idx val="2"/>
          <c:order val="2"/>
          <c:tx>
            <c:v>Series 3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plots'!$H$54:$J$54</c:f>
              <c:numCache>
                <c:formatCode>0.00</c:formatCode>
                <c:ptCount val="3"/>
                <c:pt idx="0">
                  <c:v>1.3900000000000003E-2</c:v>
                </c:pt>
                <c:pt idx="1">
                  <c:v>0.17299999999999999</c:v>
                </c:pt>
                <c:pt idx="2">
                  <c:v>1.0500000000000002E-2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7-4EB9-9EE0-2AD68B9155E9}"/>
            </c:ext>
          </c:extLst>
        </c:ser>
        <c:ser>
          <c:idx val="3"/>
          <c:order val="3"/>
          <c:tx>
            <c:v>Series 4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'Publication plots'!$H$56:$J$56</c:f>
                <c:numCache>
                  <c:formatCode>General</c:formatCode>
                  <c:ptCount val="3"/>
                  <c:pt idx="0">
                    <c:v>1.55E-2</c:v>
                  </c:pt>
                  <c:pt idx="1">
                    <c:v>0.32199999999999995</c:v>
                  </c:pt>
                  <c:pt idx="2">
                    <c:v>2.9949999999999997E-2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plots'!$H$55:$J$55</c:f>
              <c:numCache>
                <c:formatCode>0.00</c:formatCode>
                <c:ptCount val="3"/>
                <c:pt idx="0">
                  <c:v>6.5000000000000058E-3</c:v>
                </c:pt>
                <c:pt idx="1">
                  <c:v>0.33399999999999996</c:v>
                </c:pt>
                <c:pt idx="2">
                  <c:v>1.7049999999999996E-2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7-4EB9-9EE0-2AD68B9155E9}"/>
            </c:ext>
          </c:extLst>
        </c:ser>
        <c:ser>
          <c:idx val="4"/>
          <c:order val="4"/>
          <c:tx>
            <c:v>Series 5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plots'!$H$56:$J$56</c:f>
              <c:numCache>
                <c:formatCode>0.00</c:formatCode>
                <c:ptCount val="3"/>
                <c:pt idx="0">
                  <c:v>1.55E-2</c:v>
                </c:pt>
                <c:pt idx="1">
                  <c:v>0.32199999999999995</c:v>
                </c:pt>
                <c:pt idx="2">
                  <c:v>2.9949999999999997E-2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C7-4EB9-9EE0-2AD68B915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53929656"/>
        <c:axId val="560021896"/>
      </c:barChart>
      <c:scatterChart>
        <c:scatterStyle val="lineMarker"/>
        <c:varyColors val="0"/>
        <c:ser>
          <c:idx val="5"/>
          <c:order val="5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yVal>
            <c:numRef>
              <c:f>'Publication plots'!$H$57:$J$57</c:f>
              <c:numCache>
                <c:formatCode>0.00</c:formatCode>
                <c:ptCount val="3"/>
                <c:pt idx="0">
                  <c:v>4.3457142857142861E-2</c:v>
                </c:pt>
                <c:pt idx="1">
                  <c:v>0.65966666666666662</c:v>
                </c:pt>
                <c:pt idx="2">
                  <c:v>4.7585714285714294E-2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C7-4EB9-9EE0-2AD68B915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929656"/>
        <c:axId val="560021896"/>
      </c:scatterChart>
      <c:catAx>
        <c:axId val="95392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021896"/>
        <c:crosses val="autoZero"/>
        <c:auto val="1"/>
        <c:lblAlgn val="ctr"/>
        <c:lblOffset val="100"/>
        <c:noMultiLvlLbl val="0"/>
      </c:catAx>
      <c:valAx>
        <c:axId val="5600218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Ammonia removal efficiency, %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3017752989209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cross"/>
        <c:minorTickMark val="none"/>
        <c:tickLblPos val="nextTo"/>
        <c:spPr>
          <a:noFill/>
          <a:ln>
            <a:solidFill>
              <a:schemeClr val="tx1"/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929656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Series 1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plots'!$H$26:$K$26</c:f>
              <c:numCache>
                <c:formatCode>0.00</c:formatCode>
                <c:ptCount val="4"/>
                <c:pt idx="0">
                  <c:v>1.871022E-2</c:v>
                </c:pt>
                <c:pt idx="1">
                  <c:v>9.9137059839450765E-3</c:v>
                </c:pt>
                <c:pt idx="2">
                  <c:v>8.4479999999999958E-2</c:v>
                </c:pt>
                <c:pt idx="3">
                  <c:v>1.8140140140140138E-2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E-4B9E-A41E-7B3B96293F97}"/>
            </c:ext>
          </c:extLst>
        </c:ser>
        <c:ser>
          <c:idx val="1"/>
          <c:order val="1"/>
          <c:tx>
            <c:v>Series 2</c:v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percentage"/>
            <c:noEndCap val="0"/>
            <c:val val="100"/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plots'!$H$27:$K$27</c:f>
              <c:numCache>
                <c:formatCode>0.00</c:formatCode>
                <c:ptCount val="4"/>
                <c:pt idx="0">
                  <c:v>0.39860755775000001</c:v>
                </c:pt>
                <c:pt idx="1">
                  <c:v>7.3697453358775686E-2</c:v>
                </c:pt>
                <c:pt idx="2">
                  <c:v>0.14225358749147471</c:v>
                </c:pt>
                <c:pt idx="3">
                  <c:v>0.18491114199785369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E-4B9E-A41E-7B3B96293F97}"/>
            </c:ext>
          </c:extLst>
        </c:ser>
        <c:ser>
          <c:idx val="2"/>
          <c:order val="2"/>
          <c:tx>
            <c:v>Series 3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plots'!$H$28:$K$28</c:f>
              <c:numCache>
                <c:formatCode>0.00</c:formatCode>
                <c:ptCount val="4"/>
                <c:pt idx="0">
                  <c:v>0.14337178899999992</c:v>
                </c:pt>
                <c:pt idx="1">
                  <c:v>6.4897241165553426E-2</c:v>
                </c:pt>
                <c:pt idx="2">
                  <c:v>0.12846752993559918</c:v>
                </c:pt>
                <c:pt idx="3">
                  <c:v>5.1900751878004137E-2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9E-4B9E-A41E-7B3B96293F97}"/>
            </c:ext>
          </c:extLst>
        </c:ser>
        <c:ser>
          <c:idx val="3"/>
          <c:order val="3"/>
          <c:tx>
            <c:v>Series 4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'Publication plots'!$H$30:$K$30</c:f>
                <c:numCache>
                  <c:formatCode>General</c:formatCode>
                  <c:ptCount val="4"/>
                  <c:pt idx="0">
                    <c:v>0.17852568825000004</c:v>
                  </c:pt>
                  <c:pt idx="1">
                    <c:v>0.23581100760736967</c:v>
                  </c:pt>
                  <c:pt idx="2">
                    <c:v>0.8606969130869131</c:v>
                  </c:pt>
                  <c:pt idx="3">
                    <c:v>0.39057276262749246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plots'!$H$29:$K$29</c:f>
              <c:numCache>
                <c:formatCode>0.00</c:formatCode>
                <c:ptCount val="4"/>
                <c:pt idx="0">
                  <c:v>0.24105970500000007</c:v>
                </c:pt>
                <c:pt idx="1">
                  <c:v>0.12336927464515607</c:v>
                </c:pt>
                <c:pt idx="2">
                  <c:v>0.28376966179370544</c:v>
                </c:pt>
                <c:pt idx="3">
                  <c:v>8.2023097196295358E-2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9E-4B9E-A41E-7B3B96293F97}"/>
            </c:ext>
          </c:extLst>
        </c:ser>
        <c:ser>
          <c:idx val="4"/>
          <c:order val="4"/>
          <c:tx>
            <c:v>Series 5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plots'!$H$30:$K$30</c:f>
              <c:numCache>
                <c:formatCode>0.00</c:formatCode>
                <c:ptCount val="4"/>
                <c:pt idx="0">
                  <c:v>0.17852568825000004</c:v>
                </c:pt>
                <c:pt idx="1">
                  <c:v>0.23581100760736967</c:v>
                </c:pt>
                <c:pt idx="2">
                  <c:v>0.8606969130869131</c:v>
                </c:pt>
                <c:pt idx="3">
                  <c:v>0.39057276262749246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9E-4B9E-A41E-7B3B9629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53929656"/>
        <c:axId val="560021896"/>
      </c:barChart>
      <c:scatterChart>
        <c:scatterStyle val="lineMarker"/>
        <c:varyColors val="0"/>
        <c:ser>
          <c:idx val="5"/>
          <c:order val="5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yVal>
            <c:numRef>
              <c:f>'Publication plots'!$H$31:$K$31</c:f>
              <c:numCache>
                <c:formatCode>0.00</c:formatCode>
                <c:ptCount val="4"/>
                <c:pt idx="0">
                  <c:v>0.59518272957954566</c:v>
                </c:pt>
                <c:pt idx="1">
                  <c:v>0.18975361836468013</c:v>
                </c:pt>
                <c:pt idx="2">
                  <c:v>0.51159674559713142</c:v>
                </c:pt>
                <c:pt idx="3">
                  <c:v>0.26388229008516839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99E-4B9E-A41E-7B3B9629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929656"/>
        <c:axId val="560021896"/>
      </c:scatterChart>
      <c:catAx>
        <c:axId val="95392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021896"/>
        <c:crosses val="autoZero"/>
        <c:auto val="1"/>
        <c:lblAlgn val="ctr"/>
        <c:lblOffset val="100"/>
        <c:noMultiLvlLbl val="0"/>
      </c:catAx>
      <c:valAx>
        <c:axId val="5600218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Ammonia removal rate, kg N m-3 d-1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3017752989209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cross"/>
        <c:minorTickMark val="none"/>
        <c:tickLblPos val="nextTo"/>
        <c:spPr>
          <a:noFill/>
          <a:ln>
            <a:solidFill>
              <a:schemeClr val="tx1"/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929656"/>
        <c:crosses val="autoZero"/>
        <c:crossBetween val="between"/>
        <c:majorUnit val="0.4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Series 1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plots'!$H$32:$K$32</c:f>
              <c:numCache>
                <c:formatCode>0.00</c:formatCode>
                <c:ptCount val="4"/>
                <c:pt idx="0">
                  <c:v>0.48073542686113357</c:v>
                </c:pt>
                <c:pt idx="1">
                  <c:v>0.25673955369177776</c:v>
                </c:pt>
                <c:pt idx="2">
                  <c:v>0.11090310019469832</c:v>
                </c:pt>
                <c:pt idx="3">
                  <c:v>4.7379168354259371E-2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6-421B-8FEC-8064F6A4056F}"/>
            </c:ext>
          </c:extLst>
        </c:ser>
        <c:ser>
          <c:idx val="1"/>
          <c:order val="1"/>
          <c:tx>
            <c:v>Series 2</c:v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percentage"/>
            <c:noEndCap val="0"/>
            <c:val val="100"/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plots'!$H$33:$K$33</c:f>
              <c:numCache>
                <c:formatCode>0.00</c:formatCode>
                <c:ptCount val="4"/>
                <c:pt idx="0">
                  <c:v>0.35329846990288116</c:v>
                </c:pt>
                <c:pt idx="1">
                  <c:v>0.15657202490391697</c:v>
                </c:pt>
                <c:pt idx="2">
                  <c:v>0.4681537796706261</c:v>
                </c:pt>
                <c:pt idx="3">
                  <c:v>8.6199288903428761E-2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6-421B-8FEC-8064F6A4056F}"/>
            </c:ext>
          </c:extLst>
        </c:ser>
        <c:ser>
          <c:idx val="2"/>
          <c:order val="2"/>
          <c:tx>
            <c:v>Series 3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plots'!$H$34:$K$34</c:f>
              <c:numCache>
                <c:formatCode>0.00</c:formatCode>
                <c:ptCount val="4"/>
                <c:pt idx="0">
                  <c:v>1.7657723434453709E-2</c:v>
                </c:pt>
                <c:pt idx="1">
                  <c:v>0.11327339095036798</c:v>
                </c:pt>
                <c:pt idx="2">
                  <c:v>0.27712955911074033</c:v>
                </c:pt>
                <c:pt idx="3">
                  <c:v>4.1446352533909603E-2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76-421B-8FEC-8064F6A4056F}"/>
            </c:ext>
          </c:extLst>
        </c:ser>
        <c:ser>
          <c:idx val="3"/>
          <c:order val="3"/>
          <c:tx>
            <c:v>Series 4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'Publication plots'!$H$36:$K$36</c:f>
                <c:numCache>
                  <c:formatCode>General</c:formatCode>
                  <c:ptCount val="4"/>
                  <c:pt idx="0">
                    <c:v>4.4603195241059712E-2</c:v>
                  </c:pt>
                  <c:pt idx="1">
                    <c:v>0.16918224540410221</c:v>
                  </c:pt>
                  <c:pt idx="2">
                    <c:v>5.319240306264561E-2</c:v>
                  </c:pt>
                  <c:pt idx="3">
                    <c:v>0.61729371583033488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plots'!$H$35:$K$35</c:f>
              <c:numCache>
                <c:formatCode>0.00</c:formatCode>
                <c:ptCount val="4"/>
                <c:pt idx="0">
                  <c:v>1.1433479657188106E-2</c:v>
                </c:pt>
                <c:pt idx="1">
                  <c:v>0.26799703438284506</c:v>
                </c:pt>
                <c:pt idx="2">
                  <c:v>2.8869167097968496E-2</c:v>
                </c:pt>
                <c:pt idx="3">
                  <c:v>6.9855565262403496E-2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76-421B-8FEC-8064F6A4056F}"/>
            </c:ext>
          </c:extLst>
        </c:ser>
        <c:ser>
          <c:idx val="4"/>
          <c:order val="4"/>
          <c:tx>
            <c:v>Series 5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plots'!$H$36:$K$36</c:f>
              <c:numCache>
                <c:formatCode>0.00</c:formatCode>
                <c:ptCount val="4"/>
                <c:pt idx="0">
                  <c:v>4.4603195241059712E-2</c:v>
                </c:pt>
                <c:pt idx="1">
                  <c:v>0.16918224540410221</c:v>
                </c:pt>
                <c:pt idx="2">
                  <c:v>5.319240306264561E-2</c:v>
                </c:pt>
                <c:pt idx="3">
                  <c:v>0.61729371583033488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76-421B-8FEC-8064F6A4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53929656"/>
        <c:axId val="560021896"/>
      </c:barChart>
      <c:scatterChart>
        <c:scatterStyle val="lineMarker"/>
        <c:varyColors val="0"/>
        <c:ser>
          <c:idx val="5"/>
          <c:order val="5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yVal>
            <c:numRef>
              <c:f>'Publication plots'!$H$37:$K$37</c:f>
              <c:numCache>
                <c:formatCode>0.00</c:formatCode>
                <c:ptCount val="4"/>
                <c:pt idx="0">
                  <c:v>0.8453314880335242</c:v>
                </c:pt>
                <c:pt idx="1">
                  <c:v>0.58639445918401156</c:v>
                </c:pt>
                <c:pt idx="2">
                  <c:v>0.69902490565868447</c:v>
                </c:pt>
                <c:pt idx="3">
                  <c:v>0.21195029883788899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76-421B-8FEC-8064F6A4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929656"/>
        <c:axId val="560021896"/>
      </c:scatterChart>
      <c:catAx>
        <c:axId val="95392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021896"/>
        <c:crosses val="autoZero"/>
        <c:auto val="1"/>
        <c:lblAlgn val="ctr"/>
        <c:lblOffset val="100"/>
        <c:noMultiLvlLbl val="0"/>
      </c:catAx>
      <c:valAx>
        <c:axId val="560021896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Ammonia removal efficiency, %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3017752989209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cross"/>
        <c:minorTickMark val="none"/>
        <c:tickLblPos val="nextTo"/>
        <c:spPr>
          <a:noFill/>
          <a:ln>
            <a:solidFill>
              <a:schemeClr val="tx1"/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929656"/>
        <c:crosses val="autoZero"/>
        <c:crossBetween val="between"/>
        <c:majorUnit val="0.2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Series 1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plots'!$H$38:$K$38</c:f>
              <c:numCache>
                <c:formatCode>0.00</c:formatCode>
                <c:ptCount val="4"/>
                <c:pt idx="0">
                  <c:v>88.52</c:v>
                </c:pt>
                <c:pt idx="1">
                  <c:v>19.329999999999998</c:v>
                </c:pt>
                <c:pt idx="2">
                  <c:v>51.12</c:v>
                </c:pt>
                <c:pt idx="3">
                  <c:v>15.11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F-4022-ACA7-F57097F482DA}"/>
            </c:ext>
          </c:extLst>
        </c:ser>
        <c:ser>
          <c:idx val="1"/>
          <c:order val="1"/>
          <c:tx>
            <c:v>Series 2</c:v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percentage"/>
            <c:noEndCap val="0"/>
            <c:val val="100"/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plots'!$H$39:$K$39</c:f>
              <c:numCache>
                <c:formatCode>0.00</c:formatCode>
                <c:ptCount val="4"/>
                <c:pt idx="0">
                  <c:v>60.194999999999979</c:v>
                </c:pt>
                <c:pt idx="1">
                  <c:v>208.505</c:v>
                </c:pt>
                <c:pt idx="2">
                  <c:v>80.64749999999998</c:v>
                </c:pt>
                <c:pt idx="3">
                  <c:v>51.25500000000001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F-4022-ACA7-F57097F482DA}"/>
            </c:ext>
          </c:extLst>
        </c:ser>
        <c:ser>
          <c:idx val="2"/>
          <c:order val="2"/>
          <c:tx>
            <c:v>Series 3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plots'!$H$40:$K$40</c:f>
              <c:numCache>
                <c:formatCode>0.00</c:formatCode>
                <c:ptCount val="4"/>
                <c:pt idx="0">
                  <c:v>4.6200000000000045</c:v>
                </c:pt>
                <c:pt idx="1">
                  <c:v>336.18499999999995</c:v>
                </c:pt>
                <c:pt idx="2">
                  <c:v>112.36750000000004</c:v>
                </c:pt>
                <c:pt idx="3">
                  <c:v>43.294999999999987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4F-4022-ACA7-F57097F482DA}"/>
            </c:ext>
          </c:extLst>
        </c:ser>
        <c:ser>
          <c:idx val="3"/>
          <c:order val="3"/>
          <c:tx>
            <c:v>Series 4</c:v>
          </c:tx>
          <c:spPr>
            <a:solidFill>
              <a:schemeClr val="bg1">
                <a:lumMod val="9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'Publication plots'!$H$42:$K$42</c:f>
                <c:numCache>
                  <c:formatCode>General</c:formatCode>
                  <c:ptCount val="4"/>
                  <c:pt idx="0">
                    <c:v>284.94749999999999</c:v>
                  </c:pt>
                  <c:pt idx="1">
                    <c:v>303.55999999999995</c:v>
                  </c:pt>
                  <c:pt idx="2">
                    <c:v>728.78250000000003</c:v>
                  </c:pt>
                  <c:pt idx="3">
                    <c:v>235.69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plots'!$H$41:$K$41</c:f>
              <c:numCache>
                <c:formatCode>0.00</c:formatCode>
                <c:ptCount val="4"/>
                <c:pt idx="0">
                  <c:v>9.6475000000000364</c:v>
                </c:pt>
                <c:pt idx="1">
                  <c:v>196.22000000000003</c:v>
                </c:pt>
                <c:pt idx="2">
                  <c:v>214.08250000000001</c:v>
                </c:pt>
                <c:pt idx="3">
                  <c:v>29.390000000000015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4F-4022-ACA7-F57097F482DA}"/>
            </c:ext>
          </c:extLst>
        </c:ser>
        <c:ser>
          <c:idx val="4"/>
          <c:order val="4"/>
          <c:tx>
            <c:v>Series 5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plots'!$H$25:$K$25</c:f>
              <c:strCache>
                <c:ptCount val="4"/>
                <c:pt idx="0">
                  <c:v>DEMON®</c:v>
                </c:pt>
                <c:pt idx="1">
                  <c:v>Anita™MOX</c:v>
                </c:pt>
                <c:pt idx="2">
                  <c:v>ELAN®</c:v>
                </c:pt>
                <c:pt idx="3">
                  <c:v>CASS™LTP</c:v>
                </c:pt>
              </c:strCache>
            </c:strRef>
          </c:cat>
          <c:val>
            <c:numRef>
              <c:f>'Publication plots'!$H$42:$K$42</c:f>
              <c:numCache>
                <c:formatCode>0.00</c:formatCode>
                <c:ptCount val="4"/>
                <c:pt idx="0">
                  <c:v>284.94749999999999</c:v>
                </c:pt>
                <c:pt idx="1">
                  <c:v>303.55999999999995</c:v>
                </c:pt>
                <c:pt idx="2">
                  <c:v>728.78250000000003</c:v>
                </c:pt>
                <c:pt idx="3">
                  <c:v>235.69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4F-4022-ACA7-F57097F48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53929656"/>
        <c:axId val="560021896"/>
      </c:barChart>
      <c:scatterChart>
        <c:scatterStyle val="lineMarker"/>
        <c:varyColors val="0"/>
        <c:ser>
          <c:idx val="5"/>
          <c:order val="5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yVal>
            <c:numRef>
              <c:f>'Publication plots'!$H$43:$K$43</c:f>
              <c:numCache>
                <c:formatCode>0.00</c:formatCode>
                <c:ptCount val="4"/>
                <c:pt idx="0">
                  <c:v>163.15227272727276</c:v>
                </c:pt>
                <c:pt idx="1">
                  <c:v>513.34196078431376</c:v>
                </c:pt>
                <c:pt idx="2">
                  <c:v>356.7936666666667</c:v>
                </c:pt>
                <c:pt idx="3">
                  <c:v>113.17847457627117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4F-4022-ACA7-F57097F482DA}"/>
            </c:ext>
          </c:extLst>
        </c:ser>
        <c:ser>
          <c:idx val="6"/>
          <c:order val="6"/>
          <c:tx>
            <c:v>Limit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yVal>
            <c:numRef>
              <c:f>'Publication plots'!$H$44:$K$44</c:f>
              <c:numCache>
                <c:formatCode>General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34F-4022-ACA7-F57097F48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929656"/>
        <c:axId val="560021896"/>
      </c:scatterChart>
      <c:catAx>
        <c:axId val="95392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021896"/>
        <c:crosses val="autoZero"/>
        <c:auto val="1"/>
        <c:lblAlgn val="ctr"/>
        <c:lblOffset val="100"/>
        <c:noMultiLvlLbl val="0"/>
      </c:catAx>
      <c:valAx>
        <c:axId val="5600218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Ammonia removal efficiency, %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3017752989209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>
            <a:solidFill>
              <a:schemeClr val="tx1"/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929656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4563492063492"/>
          <c:y val="5.8685416666666657E-2"/>
          <c:w val="0.86240912698412719"/>
          <c:h val="0.73974861111111112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'S-SBR'!$B$4:$B$74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'S-SBR'!$AB$4:$AB$74</c:f>
              <c:numCache>
                <c:formatCode>0%</c:formatCode>
                <c:ptCount val="71"/>
                <c:pt idx="0">
                  <c:v>4.6476725327394646E-4</c:v>
                </c:pt>
                <c:pt idx="6">
                  <c:v>2.3175772525750858E-3</c:v>
                </c:pt>
                <c:pt idx="7">
                  <c:v>2.3350546877505853E-3</c:v>
                </c:pt>
                <c:pt idx="8">
                  <c:v>3.3298213804425062E-3</c:v>
                </c:pt>
                <c:pt idx="10">
                  <c:v>8.6722810914194939E-3</c:v>
                </c:pt>
                <c:pt idx="11">
                  <c:v>8.2682352211785864E-3</c:v>
                </c:pt>
                <c:pt idx="14">
                  <c:v>6.460926987069235E-4</c:v>
                </c:pt>
                <c:pt idx="15">
                  <c:v>1.5686533523773355E-4</c:v>
                </c:pt>
                <c:pt idx="27">
                  <c:v>1.574570100926392E-3</c:v>
                </c:pt>
                <c:pt idx="28">
                  <c:v>1.6392648497824971E-3</c:v>
                </c:pt>
                <c:pt idx="29">
                  <c:v>1.6018075133202939E-4</c:v>
                </c:pt>
                <c:pt idx="30">
                  <c:v>9.9663351185921931E-3</c:v>
                </c:pt>
                <c:pt idx="31">
                  <c:v>5.4992785636723326E-3</c:v>
                </c:pt>
                <c:pt idx="32">
                  <c:v>7.9470198675496706E-3</c:v>
                </c:pt>
                <c:pt idx="33">
                  <c:v>9.4189452033356449E-3</c:v>
                </c:pt>
                <c:pt idx="34">
                  <c:v>1.1983747823369204E-2</c:v>
                </c:pt>
                <c:pt idx="35">
                  <c:v>1.0729507746903984E-2</c:v>
                </c:pt>
                <c:pt idx="36">
                  <c:v>1.4311970833709965E-4</c:v>
                </c:pt>
                <c:pt idx="37">
                  <c:v>1.6392757296266297E-2</c:v>
                </c:pt>
                <c:pt idx="38">
                  <c:v>2.1897281550272785E-3</c:v>
                </c:pt>
                <c:pt idx="39">
                  <c:v>1.550260754616606E-2</c:v>
                </c:pt>
                <c:pt idx="41">
                  <c:v>1.2784387393028594E-2</c:v>
                </c:pt>
                <c:pt idx="42">
                  <c:v>1.2435411361049467E-2</c:v>
                </c:pt>
                <c:pt idx="43">
                  <c:v>9.9506337959379982E-3</c:v>
                </c:pt>
                <c:pt idx="44">
                  <c:v>1.1931590433349666E-2</c:v>
                </c:pt>
                <c:pt idx="45">
                  <c:v>1.6401084197986983E-4</c:v>
                </c:pt>
                <c:pt idx="46">
                  <c:v>1.4445095931463568E-2</c:v>
                </c:pt>
                <c:pt idx="47">
                  <c:v>8.5155980442484583E-3</c:v>
                </c:pt>
                <c:pt idx="48">
                  <c:v>6.6184048671830862E-3</c:v>
                </c:pt>
                <c:pt idx="50">
                  <c:v>8.1838964743388091E-3</c:v>
                </c:pt>
                <c:pt idx="51">
                  <c:v>3.368262606379898E-3</c:v>
                </c:pt>
                <c:pt idx="52">
                  <c:v>1.4740159579532688E-2</c:v>
                </c:pt>
                <c:pt idx="53">
                  <c:v>1.4660627041265832E-2</c:v>
                </c:pt>
                <c:pt idx="54">
                  <c:v>4.0222716343981087E-3</c:v>
                </c:pt>
                <c:pt idx="55">
                  <c:v>2.0256164502918877E-2</c:v>
                </c:pt>
                <c:pt idx="56">
                  <c:v>2.2784711590856013E-2</c:v>
                </c:pt>
                <c:pt idx="57">
                  <c:v>5.9647047731694561E-2</c:v>
                </c:pt>
                <c:pt idx="58">
                  <c:v>3.6994145583559575E-2</c:v>
                </c:pt>
                <c:pt idx="59">
                  <c:v>3.8431099638282201E-2</c:v>
                </c:pt>
                <c:pt idx="60">
                  <c:v>1.8525589058291273E-2</c:v>
                </c:pt>
                <c:pt idx="61">
                  <c:v>2.0478296506266858E-2</c:v>
                </c:pt>
                <c:pt idx="62">
                  <c:v>1.4874867136921443E-2</c:v>
                </c:pt>
                <c:pt idx="63">
                  <c:v>8.0235204855842214E-3</c:v>
                </c:pt>
                <c:pt idx="69">
                  <c:v>9.6205725018644519E-3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FF-4A8D-894A-2C34CD259071}"/>
            </c:ext>
          </c:extLst>
        </c:ser>
        <c:ser>
          <c:idx val="1"/>
          <c:order val="1"/>
          <c:tx>
            <c:strRef>
              <c:f>'Publication plots'!$AB$27</c:f>
              <c:strCache>
                <c:ptCount val="1"/>
                <c:pt idx="0">
                  <c:v>MEDIA</c:v>
                </c:pt>
              </c:strCache>
            </c:strRef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'1-Media'!$Z$4:$Z$87</c:f>
              <c:numCache>
                <c:formatCode>0.00</c:formatCode>
                <c:ptCount val="84"/>
                <c:pt idx="0">
                  <c:v>3.7121534356753411E-4</c:v>
                </c:pt>
                <c:pt idx="6">
                  <c:v>1.4994845521851865E-4</c:v>
                </c:pt>
                <c:pt idx="7">
                  <c:v>4.5770156208226713E-3</c:v>
                </c:pt>
                <c:pt idx="8">
                  <c:v>1.5209125475285171E-4</c:v>
                </c:pt>
                <c:pt idx="14">
                  <c:v>1.1455559463397476E-3</c:v>
                </c:pt>
                <c:pt idx="15">
                  <c:v>1.317028013100267E-3</c:v>
                </c:pt>
                <c:pt idx="28">
                  <c:v>1.6600523954037296E-4</c:v>
                </c:pt>
                <c:pt idx="29">
                  <c:v>1.4497459169265386E-4</c:v>
                </c:pt>
                <c:pt idx="30">
                  <c:v>5.826541695739433E-5</c:v>
                </c:pt>
                <c:pt idx="31">
                  <c:v>1.374540924808316E-4</c:v>
                </c:pt>
                <c:pt idx="33">
                  <c:v>7.1407866177416727E-5</c:v>
                </c:pt>
                <c:pt idx="34">
                  <c:v>5.8419917663203309E-4</c:v>
                </c:pt>
                <c:pt idx="35">
                  <c:v>1.8935284719619717E-4</c:v>
                </c:pt>
                <c:pt idx="36">
                  <c:v>2.2111867017521342E-2</c:v>
                </c:pt>
                <c:pt idx="37">
                  <c:v>0.10045722202978867</c:v>
                </c:pt>
                <c:pt idx="40">
                  <c:v>1.6539174984542E-2</c:v>
                </c:pt>
                <c:pt idx="41">
                  <c:v>4.1154909652112409E-4</c:v>
                </c:pt>
                <c:pt idx="43">
                  <c:v>2.914787994716947E-4</c:v>
                </c:pt>
                <c:pt idx="44">
                  <c:v>2.6199085761069798E-4</c:v>
                </c:pt>
                <c:pt idx="45">
                  <c:v>1.0119497449461544E-2</c:v>
                </c:pt>
                <c:pt idx="47">
                  <c:v>6.6566288929392125E-3</c:v>
                </c:pt>
                <c:pt idx="48">
                  <c:v>3.1000935664603699E-3</c:v>
                </c:pt>
                <c:pt idx="51">
                  <c:v>1.7567598586053348E-2</c:v>
                </c:pt>
                <c:pt idx="52">
                  <c:v>1.7438935722847763E-2</c:v>
                </c:pt>
                <c:pt idx="53">
                  <c:v>4.9732240178190605E-3</c:v>
                </c:pt>
                <c:pt idx="54">
                  <c:v>4.1402827609338631E-2</c:v>
                </c:pt>
                <c:pt idx="55">
                  <c:v>3.1139277544288982E-2</c:v>
                </c:pt>
                <c:pt idx="56">
                  <c:v>2.6630877452795257E-2</c:v>
                </c:pt>
                <c:pt idx="57">
                  <c:v>1.7022464442376727E-2</c:v>
                </c:pt>
                <c:pt idx="60">
                  <c:v>0.19521864072291653</c:v>
                </c:pt>
                <c:pt idx="61">
                  <c:v>0.40729125564000068</c:v>
                </c:pt>
                <c:pt idx="62">
                  <c:v>8.602046415545031E-3</c:v>
                </c:pt>
                <c:pt idx="63">
                  <c:v>2.4919060850944483E-3</c:v>
                </c:pt>
                <c:pt idx="64">
                  <c:v>8.2001676307726125E-3</c:v>
                </c:pt>
                <c:pt idx="65">
                  <c:v>2.7791850618802931E-4</c:v>
                </c:pt>
                <c:pt idx="66">
                  <c:v>3.2578490826744456E-3</c:v>
                </c:pt>
                <c:pt idx="67">
                  <c:v>1.8190168451785393E-3</c:v>
                </c:pt>
                <c:pt idx="68">
                  <c:v>5.5306287779647266E-3</c:v>
                </c:pt>
                <c:pt idx="69">
                  <c:v>3.9926800865080689E-4</c:v>
                </c:pt>
                <c:pt idx="70">
                  <c:v>2.5011838649963425E-3</c:v>
                </c:pt>
                <c:pt idx="73">
                  <c:v>5.4771081733367014E-3</c:v>
                </c:pt>
                <c:pt idx="74">
                  <c:v>5.0737259636112796E-3</c:v>
                </c:pt>
                <c:pt idx="77">
                  <c:v>2.6271499527933995E-4</c:v>
                </c:pt>
                <c:pt idx="78">
                  <c:v>1.1984206033010815E-2</c:v>
                </c:pt>
                <c:pt idx="79">
                  <c:v>3.6519258202567762E-4</c:v>
                </c:pt>
                <c:pt idx="80">
                  <c:v>1.4864727592862224E-2</c:v>
                </c:pt>
                <c:pt idx="81">
                  <c:v>5.1135693960364373E-3</c:v>
                </c:pt>
                <c:pt idx="82">
                  <c:v>5.7307259485742173E-3</c:v>
                </c:pt>
                <c:pt idx="83">
                  <c:v>1.2593424633861837E-2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FF-4A8D-894A-2C34CD259071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'G-SBR'!$AA$4:$AA$8987</c:f>
              <c:numCache>
                <c:formatCode>0%</c:formatCode>
                <c:ptCount val="8984"/>
                <c:pt idx="0">
                  <c:v>2.5639988880746003E-2</c:v>
                </c:pt>
                <c:pt idx="14">
                  <c:v>7.4337632632314613E-3</c:v>
                </c:pt>
                <c:pt idx="15">
                  <c:v>1.7679089173325792E-4</c:v>
                </c:pt>
                <c:pt idx="27">
                  <c:v>0.14878248669972646</c:v>
                </c:pt>
                <c:pt idx="28">
                  <c:v>0.15881656462977925</c:v>
                </c:pt>
                <c:pt idx="29">
                  <c:v>2.0761245674740501E-2</c:v>
                </c:pt>
                <c:pt idx="30">
                  <c:v>8.0177383592017773E-2</c:v>
                </c:pt>
                <c:pt idx="31">
                  <c:v>7.1447913040114525E-3</c:v>
                </c:pt>
                <c:pt idx="32">
                  <c:v>1.0346647525755785E-2</c:v>
                </c:pt>
                <c:pt idx="33">
                  <c:v>1.6558385647416126E-2</c:v>
                </c:pt>
                <c:pt idx="34">
                  <c:v>6.693392967528454E-2</c:v>
                </c:pt>
                <c:pt idx="35">
                  <c:v>0.17801380775358472</c:v>
                </c:pt>
                <c:pt idx="36">
                  <c:v>5.7385991708487877E-2</c:v>
                </c:pt>
                <c:pt idx="37">
                  <c:v>0.16764839148164926</c:v>
                </c:pt>
                <c:pt idx="38">
                  <c:v>0.20482669672216861</c:v>
                </c:pt>
                <c:pt idx="39">
                  <c:v>0.218303639409167</c:v>
                </c:pt>
                <c:pt idx="40">
                  <c:v>0.13609656903041581</c:v>
                </c:pt>
                <c:pt idx="56">
                  <c:v>4.5111821086261982E-3</c:v>
                </c:pt>
                <c:pt idx="57">
                  <c:v>4.218750000000002E-3</c:v>
                </c:pt>
                <c:pt idx="72">
                  <c:v>1.9235440877158425E-2</c:v>
                </c:pt>
                <c:pt idx="73">
                  <c:v>2.3239306215665698E-2</c:v>
                </c:pt>
                <c:pt idx="77">
                  <c:v>0.25225664366466011</c:v>
                </c:pt>
                <c:pt idx="78">
                  <c:v>0.22558791972279388</c:v>
                </c:pt>
                <c:pt idx="79">
                  <c:v>0.20981291284892395</c:v>
                </c:pt>
                <c:pt idx="80">
                  <c:v>0.20478257445151357</c:v>
                </c:pt>
                <c:pt idx="85">
                  <c:v>2.5448008163810286E-2</c:v>
                </c:pt>
                <c:pt idx="86">
                  <c:v>2.3511134127395132E-2</c:v>
                </c:pt>
                <c:pt idx="87">
                  <c:v>2.7302617459458989E-2</c:v>
                </c:pt>
                <c:pt idx="88">
                  <c:v>6.8153639052730391E-2</c:v>
                </c:pt>
                <c:pt idx="89">
                  <c:v>8.0754393484783554E-2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FF-4A8D-894A-2C34CD259071}"/>
            </c:ext>
          </c:extLst>
        </c:ser>
        <c:ser>
          <c:idx val="3"/>
          <c:order val="3"/>
          <c:tx>
            <c:v>Stoichiometric ratio</c:v>
          </c:tx>
          <c:spPr>
            <a:ln w="9525">
              <a:solidFill>
                <a:schemeClr val="tx1">
                  <a:lumMod val="50000"/>
                  <a:lumOff val="50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DataPlots!$B$130:$B$131</c:f>
              <c:numCache>
                <c:formatCode>General</c:formatCode>
                <c:ptCount val="2"/>
                <c:pt idx="0">
                  <c:v>0</c:v>
                </c:pt>
                <c:pt idx="1">
                  <c:v>800</c:v>
                </c:pt>
              </c:numCache>
            </c:numRef>
          </c:xVal>
          <c:yVal>
            <c:numRef>
              <c:f>DataPlots!$C$130:$C$131</c:f>
              <c:numCache>
                <c:formatCode>0%</c:formatCode>
                <c:ptCount val="2"/>
                <c:pt idx="0">
                  <c:v>7.5023299161230197E-2</c:v>
                </c:pt>
                <c:pt idx="1">
                  <c:v>7.5023299161230197E-2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FF-4A8D-894A-2C34CD259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387136"/>
        <c:axId val="493393408"/>
      </c:scatterChart>
      <c:valAx>
        <c:axId val="493387136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493393408"/>
        <c:crosses val="autoZero"/>
        <c:crossBetween val="midCat"/>
      </c:valAx>
      <c:valAx>
        <c:axId val="493393408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NO3-N/ NH4-N ratio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493387136"/>
        <c:crosses val="autoZero"/>
        <c:crossBetween val="midCat"/>
        <c:majorUnit val="0.1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4824667001256488E-5"/>
          <c:y val="0.94052348385212525"/>
          <c:w val="0.99884834418093549"/>
          <c:h val="4.388071211444959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6904761904761"/>
          <c:y val="8.4847569444444437E-2"/>
          <c:w val="0.85989642857142856"/>
          <c:h val="0.7006034722222223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'S-SBR'!$B$4:$B$474</c:f>
              <c:numCache>
                <c:formatCode>General</c:formatCode>
                <c:ptCount val="4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'S-SBR'!$AC$5:$AC$474</c:f>
              <c:numCache>
                <c:formatCode>0.00</c:formatCode>
                <c:ptCount val="470"/>
                <c:pt idx="5">
                  <c:v>3.3654746302190603E-3</c:v>
                </c:pt>
                <c:pt idx="6">
                  <c:v>4.2021095610751957E-3</c:v>
                </c:pt>
                <c:pt idx="7">
                  <c:v>2.9048889692913027E-2</c:v>
                </c:pt>
                <c:pt idx="9">
                  <c:v>9.0665921430852767E-2</c:v>
                </c:pt>
                <c:pt idx="10">
                  <c:v>8.5458418810162542E-2</c:v>
                </c:pt>
                <c:pt idx="13">
                  <c:v>7.6372523348171425E-3</c:v>
                </c:pt>
                <c:pt idx="14">
                  <c:v>4.1840320339952605E-3</c:v>
                </c:pt>
                <c:pt idx="26">
                  <c:v>1.5547607800796275E-2</c:v>
                </c:pt>
                <c:pt idx="27">
                  <c:v>1.5892033326447702E-2</c:v>
                </c:pt>
                <c:pt idx="28">
                  <c:v>7.6425034911768441E-3</c:v>
                </c:pt>
                <c:pt idx="29">
                  <c:v>0.13462151394422311</c:v>
                </c:pt>
                <c:pt idx="30">
                  <c:v>0.2083180987202925</c:v>
                </c:pt>
                <c:pt idx="31">
                  <c:v>0.21932783454388771</c:v>
                </c:pt>
                <c:pt idx="32">
                  <c:v>0.23544787814204224</c:v>
                </c:pt>
                <c:pt idx="33">
                  <c:v>0.35557024793388431</c:v>
                </c:pt>
                <c:pt idx="34">
                  <c:v>0.27808121432278154</c:v>
                </c:pt>
                <c:pt idx="35">
                  <c:v>0.35374984656928932</c:v>
                </c:pt>
                <c:pt idx="36">
                  <c:v>0.11050854094268513</c:v>
                </c:pt>
                <c:pt idx="37">
                  <c:v>0.34376029654036244</c:v>
                </c:pt>
                <c:pt idx="38">
                  <c:v>0.11502230756198115</c:v>
                </c:pt>
                <c:pt idx="40">
                  <c:v>0.20376123744050767</c:v>
                </c:pt>
                <c:pt idx="41">
                  <c:v>0.1566134143975163</c:v>
                </c:pt>
                <c:pt idx="42">
                  <c:v>0.12566860679289765</c:v>
                </c:pt>
                <c:pt idx="43">
                  <c:v>0.16516547253497096</c:v>
                </c:pt>
                <c:pt idx="44">
                  <c:v>0.34992629321897611</c:v>
                </c:pt>
                <c:pt idx="45">
                  <c:v>0.20638939910784571</c:v>
                </c:pt>
                <c:pt idx="46">
                  <c:v>0.20526638464839678</c:v>
                </c:pt>
                <c:pt idx="47">
                  <c:v>0.24692137464202032</c:v>
                </c:pt>
                <c:pt idx="49">
                  <c:v>6.7736104835065536E-2</c:v>
                </c:pt>
                <c:pt idx="50">
                  <c:v>0.25341739411574526</c:v>
                </c:pt>
                <c:pt idx="51">
                  <c:v>0.21303226659613858</c:v>
                </c:pt>
                <c:pt idx="52">
                  <c:v>0.23533320304866132</c:v>
                </c:pt>
                <c:pt idx="53">
                  <c:v>0.34265350877192985</c:v>
                </c:pt>
                <c:pt idx="54">
                  <c:v>0.3273008323424495</c:v>
                </c:pt>
                <c:pt idx="55">
                  <c:v>0.3125646427887378</c:v>
                </c:pt>
                <c:pt idx="56">
                  <c:v>5.0229170590820614E-5</c:v>
                </c:pt>
                <c:pt idx="57">
                  <c:v>5.2538254416497009E-5</c:v>
                </c:pt>
                <c:pt idx="58">
                  <c:v>5.2934559650631907E-5</c:v>
                </c:pt>
                <c:pt idx="59">
                  <c:v>0.17353039523841371</c:v>
                </c:pt>
                <c:pt idx="60">
                  <c:v>0.17097798189923005</c:v>
                </c:pt>
                <c:pt idx="61">
                  <c:v>7.2981045376220563E-2</c:v>
                </c:pt>
                <c:pt idx="62">
                  <c:v>0.17180820335066435</c:v>
                </c:pt>
                <c:pt idx="68">
                  <c:v>0.11116260326415474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77-4CB7-A5FF-AA38697D7137}"/>
            </c:ext>
          </c:extLst>
        </c:ser>
        <c:ser>
          <c:idx val="1"/>
          <c:order val="1"/>
          <c:tx>
            <c:strRef>
              <c:f>'Publication plots'!$AB$27</c:f>
              <c:strCache>
                <c:ptCount val="1"/>
                <c:pt idx="0">
                  <c:v>MEDIA</c:v>
                </c:pt>
              </c:strCache>
            </c:strRef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'1-Media'!$AA$4:$AA$87</c:f>
              <c:numCache>
                <c:formatCode>0.00</c:formatCode>
                <c:ptCount val="84"/>
                <c:pt idx="0">
                  <c:v>2.3267989064045142E-5</c:v>
                </c:pt>
                <c:pt idx="6">
                  <c:v>3.3012916791829376E-2</c:v>
                </c:pt>
                <c:pt idx="7">
                  <c:v>4.6229413464316672E-5</c:v>
                </c:pt>
                <c:pt idx="8">
                  <c:v>4.3691971600218465E-5</c:v>
                </c:pt>
                <c:pt idx="14">
                  <c:v>2.1919096895578551E-2</c:v>
                </c:pt>
                <c:pt idx="15">
                  <c:v>2.3000207770621232E-2</c:v>
                </c:pt>
                <c:pt idx="28">
                  <c:v>1.2634310427679003</c:v>
                </c:pt>
                <c:pt idx="29">
                  <c:v>1.1463528194516297</c:v>
                </c:pt>
                <c:pt idx="30">
                  <c:v>1.7653167185877467E-3</c:v>
                </c:pt>
                <c:pt idx="31">
                  <c:v>7.9310002974125108E-5</c:v>
                </c:pt>
                <c:pt idx="33">
                  <c:v>1.1380618461892173E-3</c:v>
                </c:pt>
                <c:pt idx="34">
                  <c:v>3.7879633320047824E-2</c:v>
                </c:pt>
                <c:pt idx="35">
                  <c:v>9.367505995203837E-2</c:v>
                </c:pt>
                <c:pt idx="36">
                  <c:v>1.751493208495722E-3</c:v>
                </c:pt>
                <c:pt idx="37">
                  <c:v>9.680391050949427E-3</c:v>
                </c:pt>
                <c:pt idx="40">
                  <c:v>2.9792827189084305E-4</c:v>
                </c:pt>
                <c:pt idx="41">
                  <c:v>1.8260080945355116E-3</c:v>
                </c:pt>
                <c:pt idx="43">
                  <c:v>1.9557117924469919E-3</c:v>
                </c:pt>
                <c:pt idx="44">
                  <c:v>0.64556726018458088</c:v>
                </c:pt>
                <c:pt idx="45">
                  <c:v>0.40586346078729224</c:v>
                </c:pt>
                <c:pt idx="47">
                  <c:v>0.3179438972803213</c:v>
                </c:pt>
                <c:pt idx="48">
                  <c:v>0.27984161113831346</c:v>
                </c:pt>
                <c:pt idx="51">
                  <c:v>0.33128997142468364</c:v>
                </c:pt>
                <c:pt idx="52">
                  <c:v>0.248481384715872</c:v>
                </c:pt>
                <c:pt idx="53">
                  <c:v>0.32659464325905918</c:v>
                </c:pt>
                <c:pt idx="54">
                  <c:v>0.24060635662701044</c:v>
                </c:pt>
                <c:pt idx="55">
                  <c:v>6.4159072373320095E-2</c:v>
                </c:pt>
                <c:pt idx="56">
                  <c:v>4.1307274139269996E-2</c:v>
                </c:pt>
                <c:pt idx="57">
                  <c:v>3.8213402116123597E-2</c:v>
                </c:pt>
                <c:pt idx="60">
                  <c:v>0.1417584557187361</c:v>
                </c:pt>
                <c:pt idx="61">
                  <c:v>1.8929672329273096E-3</c:v>
                </c:pt>
                <c:pt idx="62">
                  <c:v>0.24614001153754791</c:v>
                </c:pt>
                <c:pt idx="63">
                  <c:v>0.12878137980856061</c:v>
                </c:pt>
                <c:pt idx="64">
                  <c:v>3.4179526800585981E-2</c:v>
                </c:pt>
                <c:pt idx="65">
                  <c:v>2.9014057929993391E-2</c:v>
                </c:pt>
                <c:pt idx="66">
                  <c:v>7.7240189736955582E-3</c:v>
                </c:pt>
                <c:pt idx="67">
                  <c:v>7.1768301652419784E-3</c:v>
                </c:pt>
                <c:pt idx="68">
                  <c:v>1.4200814289466773E-2</c:v>
                </c:pt>
                <c:pt idx="69">
                  <c:v>3.1634222670132078E-2</c:v>
                </c:pt>
                <c:pt idx="70">
                  <c:v>9.7745130659568479E-3</c:v>
                </c:pt>
                <c:pt idx="73">
                  <c:v>8.7043925726153951E-2</c:v>
                </c:pt>
                <c:pt idx="74">
                  <c:v>8.4514057482966545E-2</c:v>
                </c:pt>
                <c:pt idx="77">
                  <c:v>0.1395616595340842</c:v>
                </c:pt>
                <c:pt idx="78">
                  <c:v>5.3597938993259375E-2</c:v>
                </c:pt>
                <c:pt idx="79">
                  <c:v>6.5277277932275474E-2</c:v>
                </c:pt>
                <c:pt idx="80">
                  <c:v>5.1442849443927288E-4</c:v>
                </c:pt>
                <c:pt idx="81">
                  <c:v>8.0385576404879717E-3</c:v>
                </c:pt>
                <c:pt idx="82">
                  <c:v>7.3038505811147004E-3</c:v>
                </c:pt>
                <c:pt idx="83">
                  <c:v>1.7707082833133252E-2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77-4CB7-A5FF-AA38697D7137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'G-SBR'!$AB$4:$AB$8987</c:f>
              <c:numCache>
                <c:formatCode>0.00</c:formatCode>
                <c:ptCount val="8984"/>
                <c:pt idx="0">
                  <c:v>1.1490950876185004E-4</c:v>
                </c:pt>
                <c:pt idx="14">
                  <c:v>1.2321997480921687</c:v>
                </c:pt>
                <c:pt idx="15">
                  <c:v>0.76967180703835514</c:v>
                </c:pt>
                <c:pt idx="27">
                  <c:v>1.0140306411097784</c:v>
                </c:pt>
                <c:pt idx="28">
                  <c:v>0.60619998349971138</c:v>
                </c:pt>
                <c:pt idx="29">
                  <c:v>0.93240150906054797</c:v>
                </c:pt>
                <c:pt idx="30">
                  <c:v>2.3002527379949452E-2</c:v>
                </c:pt>
                <c:pt idx="31">
                  <c:v>6.7100892895656294E-2</c:v>
                </c:pt>
                <c:pt idx="32">
                  <c:v>6.9838765536614458E-2</c:v>
                </c:pt>
                <c:pt idx="33">
                  <c:v>0.36695255963548645</c:v>
                </c:pt>
                <c:pt idx="34">
                  <c:v>1.9476791768969952</c:v>
                </c:pt>
                <c:pt idx="35">
                  <c:v>0.44776311554554232</c:v>
                </c:pt>
                <c:pt idx="36">
                  <c:v>2.2029982035557207</c:v>
                </c:pt>
                <c:pt idx="37">
                  <c:v>0.80497657934521305</c:v>
                </c:pt>
                <c:pt idx="38">
                  <c:v>0.76111963916841974</c:v>
                </c:pt>
                <c:pt idx="39">
                  <c:v>0.89763087946376985</c:v>
                </c:pt>
                <c:pt idx="40">
                  <c:v>2.1257825567502988</c:v>
                </c:pt>
                <c:pt idx="56">
                  <c:v>1.4650177289630719E-3</c:v>
                </c:pt>
                <c:pt idx="57">
                  <c:v>1.2706716166047923E-3</c:v>
                </c:pt>
                <c:pt idx="72">
                  <c:v>9.3153364632237862E-2</c:v>
                </c:pt>
                <c:pt idx="73">
                  <c:v>2.0277400874415801E-2</c:v>
                </c:pt>
                <c:pt idx="77">
                  <c:v>2.9217261348776389E-3</c:v>
                </c:pt>
                <c:pt idx="78">
                  <c:v>2.8810172570390554E-3</c:v>
                </c:pt>
                <c:pt idx="79">
                  <c:v>3.1063277045834106E-3</c:v>
                </c:pt>
                <c:pt idx="80">
                  <c:v>3.3924586815929805E-3</c:v>
                </c:pt>
                <c:pt idx="85">
                  <c:v>4.0094733909166902E-2</c:v>
                </c:pt>
                <c:pt idx="86">
                  <c:v>3.9479724560061213E-2</c:v>
                </c:pt>
                <c:pt idx="87">
                  <c:v>6.1352275716916607E-2</c:v>
                </c:pt>
                <c:pt idx="88">
                  <c:v>0.12048546951117084</c:v>
                </c:pt>
                <c:pt idx="89">
                  <c:v>0.14444889779559117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77-4CB7-A5FF-AA38697D7137}"/>
            </c:ext>
          </c:extLst>
        </c:ser>
        <c:ser>
          <c:idx val="3"/>
          <c:order val="3"/>
          <c:tx>
            <c:v>Stoichiometric ratio</c:v>
          </c:tx>
          <c:spPr>
            <a:ln w="9525">
              <a:solidFill>
                <a:schemeClr val="tx1">
                  <a:lumMod val="50000"/>
                  <a:lumOff val="50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DataPlots!$W$131:$W$132</c:f>
              <c:numCache>
                <c:formatCode>General</c:formatCode>
                <c:ptCount val="2"/>
                <c:pt idx="0">
                  <c:v>0</c:v>
                </c:pt>
                <c:pt idx="1">
                  <c:v>550</c:v>
                </c:pt>
              </c:numCache>
            </c:numRef>
          </c:xVal>
          <c:yVal>
            <c:numRef>
              <c:f>DataPlots!$X$131:$X$132</c:f>
              <c:numCache>
                <c:formatCode>General</c:formatCode>
                <c:ptCount val="2"/>
                <c:pt idx="0">
                  <c:v>0.53401677539608572</c:v>
                </c:pt>
                <c:pt idx="1">
                  <c:v>0.53401677539608572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77-4CB7-A5FF-AA38697D7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130368"/>
        <c:axId val="499132288"/>
      </c:scatterChart>
      <c:valAx>
        <c:axId val="499130368"/>
        <c:scaling>
          <c:orientation val="minMax"/>
          <c:max val="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7694365079365081"/>
              <c:y val="0.84591597222222226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499132288"/>
        <c:crosses val="autoZero"/>
        <c:crossBetween val="midCat"/>
      </c:valAx>
      <c:valAx>
        <c:axId val="49913228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NO2-N/NH4-N ratio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49913036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05"/>
          <c:y val="0.9203461805555555"/>
          <c:w val="0.9"/>
          <c:h val="7.52440972222222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GB" sz="1000"/>
              <a:t>G-SBR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09433283069823"/>
          <c:y val="0.1621212625650886"/>
          <c:w val="0.76941423611111115"/>
          <c:h val="0.63511909722222226"/>
        </c:manualLayout>
      </c:layout>
      <c:scatterChart>
        <c:scatterStyle val="lineMarker"/>
        <c:varyColors val="0"/>
        <c:ser>
          <c:idx val="2"/>
          <c:order val="0"/>
          <c:tx>
            <c:v>NH4-N in</c:v>
          </c:tx>
          <c:spPr>
            <a:ln w="22225">
              <a:noFill/>
            </a:ln>
          </c:spPr>
          <c:marker>
            <c:symbol val="plus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'1-Influent'!$B$4:$B$83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'1-Influent'!$M$4:$M$79</c:f>
            </c:numRef>
          </c:yVal>
          <c:smooth val="0"/>
          <c:extLst>
            <c:ext xmlns:c16="http://schemas.microsoft.com/office/drawing/2014/chart" uri="{C3380CC4-5D6E-409C-BE32-E72D297353CC}">
              <c16:uniqueId val="{00000000-A5B7-4DA9-99EA-DB68171636D1}"/>
            </c:ext>
          </c:extLst>
        </c:ser>
        <c:ser>
          <c:idx val="0"/>
          <c:order val="1"/>
          <c:tx>
            <c:v>NH4-N out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'G-SBR'!$W$4:$W$41</c:f>
              <c:numCache>
                <c:formatCode>0.00</c:formatCode>
                <c:ptCount val="38"/>
                <c:pt idx="0">
                  <c:v>69.62</c:v>
                </c:pt>
                <c:pt idx="14">
                  <c:v>134.97</c:v>
                </c:pt>
                <c:pt idx="15">
                  <c:v>202.32</c:v>
                </c:pt>
                <c:pt idx="27" formatCode="General">
                  <c:v>441.89</c:v>
                </c:pt>
                <c:pt idx="28" formatCode="General">
                  <c:v>484.84</c:v>
                </c:pt>
                <c:pt idx="29" formatCode="General">
                  <c:v>161.69</c:v>
                </c:pt>
                <c:pt idx="30" formatCode="General">
                  <c:v>1187</c:v>
                </c:pt>
                <c:pt idx="31" formatCode="General">
                  <c:v>463.66</c:v>
                </c:pt>
                <c:pt idx="32" formatCode="General">
                  <c:v>519.74</c:v>
                </c:pt>
                <c:pt idx="33" formatCode="General">
                  <c:v>223.86</c:v>
                </c:pt>
                <c:pt idx="34" formatCode="General">
                  <c:v>171.06</c:v>
                </c:pt>
                <c:pt idx="35" formatCode="General">
                  <c:v>776.75</c:v>
                </c:pt>
                <c:pt idx="36" formatCode="General">
                  <c:v>161.43</c:v>
                </c:pt>
                <c:pt idx="37" formatCode="General">
                  <c:v>403.49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5B-4DC6-AC9F-15BB9875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331584"/>
        <c:axId val="493333504"/>
      </c:scatterChart>
      <c:scatterChart>
        <c:scatterStyle val="lineMarker"/>
        <c:varyColors val="0"/>
        <c:ser>
          <c:idx val="4"/>
          <c:order val="2"/>
          <c:tx>
            <c:v>NO3-N out</c:v>
          </c:tx>
          <c:spPr>
            <a:ln w="22225">
              <a:noFill/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'G-SBR'!$Y$4:$Y$8987</c:f>
              <c:numCache>
                <c:formatCode>0.00</c:formatCode>
                <c:ptCount val="8984"/>
                <c:pt idx="0">
                  <c:v>20.292000000000002</c:v>
                </c:pt>
                <c:pt idx="14">
                  <c:v>8.1899999999999977</c:v>
                </c:pt>
                <c:pt idx="15">
                  <c:v>0.2</c:v>
                </c:pt>
                <c:pt idx="27">
                  <c:v>107.11000000000007</c:v>
                </c:pt>
                <c:pt idx="28">
                  <c:v>109.98999999999995</c:v>
                </c:pt>
                <c:pt idx="29">
                  <c:v>24.54000000000002</c:v>
                </c:pt>
                <c:pt idx="30">
                  <c:v>21.696000000000002</c:v>
                </c:pt>
                <c:pt idx="31">
                  <c:v>7.3880000000000017</c:v>
                </c:pt>
                <c:pt idx="32">
                  <c:v>9.8019999999999996</c:v>
                </c:pt>
                <c:pt idx="33">
                  <c:v>21.153999999999996</c:v>
                </c:pt>
                <c:pt idx="34">
                  <c:v>73.63</c:v>
                </c:pt>
                <c:pt idx="35">
                  <c:v>83.800000000000011</c:v>
                </c:pt>
                <c:pt idx="36">
                  <c:v>76.269999999999982</c:v>
                </c:pt>
                <c:pt idx="37">
                  <c:v>159.09999999999997</c:v>
                </c:pt>
                <c:pt idx="38">
                  <c:v>176.27999999999997</c:v>
                </c:pt>
                <c:pt idx="39">
                  <c:v>215.03999999999996</c:v>
                </c:pt>
                <c:pt idx="40">
                  <c:v>157.28000000000003</c:v>
                </c:pt>
                <c:pt idx="56">
                  <c:v>0.70599999999999996</c:v>
                </c:pt>
                <c:pt idx="57">
                  <c:v>0.59400000000000008</c:v>
                </c:pt>
                <c:pt idx="72">
                  <c:v>23.437999999999999</c:v>
                </c:pt>
                <c:pt idx="73">
                  <c:v>26.355</c:v>
                </c:pt>
                <c:pt idx="77">
                  <c:v>257.71800000000002</c:v>
                </c:pt>
                <c:pt idx="78">
                  <c:v>256.50700000000001</c:v>
                </c:pt>
                <c:pt idx="79">
                  <c:v>246.16300000000001</c:v>
                </c:pt>
                <c:pt idx="80">
                  <c:v>234.00300000000001</c:v>
                </c:pt>
                <c:pt idx="85">
                  <c:v>26.683</c:v>
                </c:pt>
                <c:pt idx="86">
                  <c:v>27.24</c:v>
                </c:pt>
                <c:pt idx="87">
                  <c:v>31.803999999999995</c:v>
                </c:pt>
                <c:pt idx="88">
                  <c:v>76.954999999999998</c:v>
                </c:pt>
                <c:pt idx="89">
                  <c:v>84.78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B7-4DA9-99EA-DB68171636D1}"/>
            </c:ext>
          </c:extLst>
        </c:ser>
        <c:ser>
          <c:idx val="5"/>
          <c:order val="3"/>
          <c:tx>
            <c:v>NO2-N out</c:v>
          </c:tx>
          <c:spPr>
            <a:ln w="22225">
              <a:noFill/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'G-SBR'!$W$4:$W$8987</c:f>
              <c:numCache>
                <c:formatCode>0.00</c:formatCode>
                <c:ptCount val="8984"/>
                <c:pt idx="0">
                  <c:v>69.62</c:v>
                </c:pt>
                <c:pt idx="14">
                  <c:v>134.97</c:v>
                </c:pt>
                <c:pt idx="15">
                  <c:v>202.32</c:v>
                </c:pt>
                <c:pt idx="27" formatCode="General">
                  <c:v>441.89</c:v>
                </c:pt>
                <c:pt idx="28" formatCode="General">
                  <c:v>484.84</c:v>
                </c:pt>
                <c:pt idx="29" formatCode="General">
                  <c:v>161.69</c:v>
                </c:pt>
                <c:pt idx="30" formatCode="General">
                  <c:v>1187</c:v>
                </c:pt>
                <c:pt idx="31" formatCode="General">
                  <c:v>463.66</c:v>
                </c:pt>
                <c:pt idx="32" formatCode="General">
                  <c:v>519.74</c:v>
                </c:pt>
                <c:pt idx="33" formatCode="General">
                  <c:v>223.86</c:v>
                </c:pt>
                <c:pt idx="34" formatCode="General">
                  <c:v>171.06</c:v>
                </c:pt>
                <c:pt idx="35" formatCode="General">
                  <c:v>776.75</c:v>
                </c:pt>
                <c:pt idx="36" formatCode="General">
                  <c:v>161.43</c:v>
                </c:pt>
                <c:pt idx="37" formatCode="General">
                  <c:v>403.49</c:v>
                </c:pt>
                <c:pt idx="38" formatCode="General">
                  <c:v>527.66999999999996</c:v>
                </c:pt>
                <c:pt idx="39" formatCode="General">
                  <c:v>432.65</c:v>
                </c:pt>
                <c:pt idx="40" formatCode="General">
                  <c:v>209.25</c:v>
                </c:pt>
                <c:pt idx="56">
                  <c:v>1156.3</c:v>
                </c:pt>
                <c:pt idx="57">
                  <c:v>1185.2</c:v>
                </c:pt>
                <c:pt idx="72">
                  <c:v>51.12</c:v>
                </c:pt>
                <c:pt idx="73">
                  <c:v>66.33</c:v>
                </c:pt>
                <c:pt idx="77">
                  <c:v>267.64999999999998</c:v>
                </c:pt>
                <c:pt idx="78">
                  <c:v>275.25</c:v>
                </c:pt>
                <c:pt idx="79">
                  <c:v>269.45</c:v>
                </c:pt>
                <c:pt idx="80">
                  <c:v>264.41000000000003</c:v>
                </c:pt>
                <c:pt idx="85">
                  <c:v>107.67</c:v>
                </c:pt>
                <c:pt idx="86">
                  <c:v>130.69999999999999</c:v>
                </c:pt>
                <c:pt idx="87">
                  <c:v>114.03</c:v>
                </c:pt>
                <c:pt idx="88">
                  <c:v>119.06</c:v>
                </c:pt>
                <c:pt idx="89">
                  <c:v>124.75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B7-4DA9-99EA-DB6817163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353984"/>
        <c:axId val="49335206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4"/>
                <c:spPr>
                  <a:ln w="19050">
                    <a:solidFill>
                      <a:schemeClr val="tx1">
                        <a:lumMod val="85000"/>
                        <a:lumOff val="15000"/>
                      </a:schemeClr>
                    </a:solidFill>
                    <a:prstDash val="lgDashDotDot"/>
                  </a:ln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DataPlots!$D$59:$D$60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DataPlots!$E$59:$E$60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716B-4E2F-81EF-25CC26111EC7}"/>
                  </c:ext>
                </c:extLst>
              </c15:ser>
            </c15:filteredScatterSeries>
          </c:ext>
        </c:extLst>
      </c:scatterChart>
      <c:valAx>
        <c:axId val="49333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6329247560449593"/>
              <c:y val="0.83557644254599772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93333504"/>
        <c:crosses val="autoZero"/>
        <c:crossBetween val="midCat"/>
      </c:valAx>
      <c:valAx>
        <c:axId val="493333504"/>
        <c:scaling>
          <c:orientation val="minMax"/>
          <c:max val="16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NH</a:t>
                </a:r>
                <a:r>
                  <a:rPr lang="en-GB" baseline="-25000"/>
                  <a:t>4</a:t>
                </a:r>
                <a:r>
                  <a:rPr lang="en-GB"/>
                  <a:t>-N in</a:t>
                </a:r>
                <a:r>
                  <a:rPr lang="en-GB" baseline="0"/>
                  <a:t> and out (mg L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  <a:tailEnd type="triangle"/>
          </a:ln>
        </c:spPr>
        <c:crossAx val="493331584"/>
        <c:crosses val="autoZero"/>
        <c:crossBetween val="midCat"/>
        <c:majorUnit val="400"/>
      </c:valAx>
      <c:valAx>
        <c:axId val="493352064"/>
        <c:scaling>
          <c:orientation val="minMax"/>
          <c:max val="5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NO</a:t>
                </a:r>
                <a:r>
                  <a:rPr lang="en-GB" baseline="-25000"/>
                  <a:t>3</a:t>
                </a:r>
                <a:r>
                  <a:rPr lang="en-GB"/>
                  <a:t>-N</a:t>
                </a:r>
                <a:r>
                  <a:rPr lang="en-GB" baseline="0"/>
                  <a:t>, NO</a:t>
                </a:r>
                <a:r>
                  <a:rPr lang="en-GB" baseline="-25000"/>
                  <a:t>2</a:t>
                </a:r>
                <a:r>
                  <a:rPr lang="en-GB" baseline="0"/>
                  <a:t>-N out (mg L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9050">
            <a:solidFill>
              <a:schemeClr val="tx1"/>
            </a:solidFill>
          </a:ln>
        </c:spPr>
        <c:crossAx val="493353984"/>
        <c:crosses val="max"/>
        <c:crossBetween val="midCat"/>
        <c:majorUnit val="125"/>
      </c:valAx>
      <c:valAx>
        <c:axId val="49335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35206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4520358530558779"/>
          <c:w val="0.99835220695324534"/>
          <c:h val="5.3476878733490087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7468253968254"/>
          <c:y val="4.8506944444444443E-2"/>
          <c:w val="0.84753492063492064"/>
          <c:h val="0.70140419181183444"/>
        </c:manualLayout>
      </c:layout>
      <c:barChart>
        <c:barDir val="col"/>
        <c:grouping val="stacked"/>
        <c:varyColors val="0"/>
        <c:ser>
          <c:idx val="0"/>
          <c:order val="0"/>
          <c:tx>
            <c:v>Series 1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plots'!$H$3:$K$3</c:f>
              <c:numCache>
                <c:formatCode>0.00</c:formatCode>
                <c:ptCount val="4"/>
                <c:pt idx="0">
                  <c:v>1.8415870000000004E-2</c:v>
                </c:pt>
                <c:pt idx="1">
                  <c:v>9.7368897742817484E-3</c:v>
                </c:pt>
                <c:pt idx="2">
                  <c:v>8.8860000000000106E-2</c:v>
                </c:pt>
                <c:pt idx="3">
                  <c:v>3.1585488693240578E-3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F1-4949-AFA1-0E05BD60E659}"/>
            </c:ext>
          </c:extLst>
        </c:ser>
        <c:ser>
          <c:idx val="1"/>
          <c:order val="1"/>
          <c:tx>
            <c:v>Series 2</c:v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percentage"/>
            <c:noEndCap val="0"/>
            <c:val val="100"/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plots'!$H$4:$K$4</c:f>
              <c:numCache>
                <c:formatCode>0.00</c:formatCode>
                <c:ptCount val="4"/>
                <c:pt idx="0">
                  <c:v>0.37797707062499997</c:v>
                </c:pt>
                <c:pt idx="1">
                  <c:v>5.5060746783529971E-2</c:v>
                </c:pt>
                <c:pt idx="2">
                  <c:v>0.14181583159497183</c:v>
                </c:pt>
                <c:pt idx="3">
                  <c:v>3.4795995393428716E-2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F1-4949-AFA1-0E05BD60E659}"/>
            </c:ext>
          </c:extLst>
        </c:ser>
        <c:ser>
          <c:idx val="2"/>
          <c:order val="2"/>
          <c:tx>
            <c:v>Series 3</c:v>
          </c:tx>
          <c:spPr>
            <a:noFill/>
            <a:ln w="9525">
              <a:solidFill>
                <a:schemeClr val="tx1"/>
              </a:solidFill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plots'!$H$5:$K$5</c:f>
              <c:numCache>
                <c:formatCode>0.00</c:formatCode>
                <c:ptCount val="4"/>
                <c:pt idx="0">
                  <c:v>0.14351785707499998</c:v>
                </c:pt>
                <c:pt idx="1">
                  <c:v>6.2751304120557169E-2</c:v>
                </c:pt>
                <c:pt idx="2">
                  <c:v>0.26548798156150044</c:v>
                </c:pt>
                <c:pt idx="3">
                  <c:v>1.123108782304133E-2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F1-4949-AFA1-0E05BD60E659}"/>
            </c:ext>
          </c:extLst>
        </c:ser>
        <c:ser>
          <c:idx val="3"/>
          <c:order val="3"/>
          <c:tx>
            <c:v>Series 4</c:v>
          </c:tx>
          <c:spPr>
            <a:noFill/>
            <a:ln w="9525"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'Publication plots'!$H$7:$K$7</c:f>
                <c:numCache>
                  <c:formatCode>General</c:formatCode>
                  <c:ptCount val="4"/>
                  <c:pt idx="0">
                    <c:v>0.16567196294999986</c:v>
                  </c:pt>
                  <c:pt idx="1">
                    <c:v>0.21975178697138831</c:v>
                  </c:pt>
                  <c:pt idx="2">
                    <c:v>0.67002207057966623</c:v>
                  </c:pt>
                  <c:pt idx="3">
                    <c:v>0.15638423726436487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  <a:headEnd type="none"/>
              </a:ln>
              <a:effectLst/>
            </c:spPr>
          </c:errBars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plots'!$H$6:$K$6</c:f>
              <c:numCache>
                <c:formatCode>0.00</c:formatCode>
                <c:ptCount val="4"/>
                <c:pt idx="0">
                  <c:v>0.25775779935000021</c:v>
                </c:pt>
                <c:pt idx="1">
                  <c:v>0.1275601139304102</c:v>
                </c:pt>
                <c:pt idx="2">
                  <c:v>0.31710396241770711</c:v>
                </c:pt>
                <c:pt idx="3">
                  <c:v>2.1724090973918031E-2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F1-4949-AFA1-0E05BD60E659}"/>
            </c:ext>
          </c:extLst>
        </c:ser>
        <c:ser>
          <c:idx val="4"/>
          <c:order val="4"/>
          <c:tx>
            <c:v>Series 5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plots'!$H$7:$K$7</c:f>
              <c:numCache>
                <c:formatCode>0.00</c:formatCode>
                <c:ptCount val="4"/>
                <c:pt idx="0">
                  <c:v>0.16567196294999986</c:v>
                </c:pt>
                <c:pt idx="1">
                  <c:v>0.21975178697138831</c:v>
                </c:pt>
                <c:pt idx="2">
                  <c:v>0.67002207057966623</c:v>
                </c:pt>
                <c:pt idx="3">
                  <c:v>0.15638423726436487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F1-4949-AFA1-0E05BD60E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53929656"/>
        <c:axId val="560021896"/>
      </c:barChart>
      <c:scatterChart>
        <c:scatterStyle val="lineMarker"/>
        <c:varyColors val="0"/>
        <c:ser>
          <c:idx val="5"/>
          <c:order val="5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yVal>
            <c:numRef>
              <c:f>'Publication plots'!$H$8:$K$8</c:f>
              <c:numCache>
                <c:formatCode>0.00</c:formatCode>
                <c:ptCount val="4"/>
                <c:pt idx="0">
                  <c:v>0.58021223408750011</c:v>
                </c:pt>
                <c:pt idx="1">
                  <c:v>0.17148299998996946</c:v>
                </c:pt>
                <c:pt idx="2">
                  <c:v>0.58387119141082489</c:v>
                </c:pt>
                <c:pt idx="3">
                  <c:v>6.1279370934701934E-2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62-490F-B3A0-C1150BBAE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929656"/>
        <c:axId val="560021896"/>
      </c:scatterChart>
      <c:catAx>
        <c:axId val="95392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021896"/>
        <c:crosses val="autoZero"/>
        <c:auto val="1"/>
        <c:lblAlgn val="ctr"/>
        <c:lblOffset val="100"/>
        <c:noMultiLvlLbl val="0"/>
      </c:catAx>
      <c:valAx>
        <c:axId val="5600218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Nitrogen removal rate, kgN m</a:t>
                </a:r>
                <a:r>
                  <a:rPr lang="en-GB" baseline="30000"/>
                  <a:t>-3</a:t>
                </a:r>
                <a:r>
                  <a:rPr lang="en-GB"/>
                  <a:t>d</a:t>
                </a:r>
                <a:r>
                  <a:rPr lang="en-GB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1.2857142857142857E-2"/>
              <c:y val="7.726076388888888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cross"/>
        <c:minorTickMark val="none"/>
        <c:tickLblPos val="nextTo"/>
        <c:spPr>
          <a:noFill/>
          <a:ln>
            <a:solidFill>
              <a:schemeClr val="tx1"/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929656"/>
        <c:crosses val="autoZero"/>
        <c:crossBetween val="between"/>
        <c:majorUnit val="0.4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4563492063492"/>
          <c:y val="0.10719232773586376"/>
          <c:w val="0.86240912698412719"/>
          <c:h val="0.66919305555555553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'1-Influent'!$P$4:$P$93</c:f>
              <c:numCache>
                <c:formatCode>General</c:formatCode>
                <c:ptCount val="90"/>
                <c:pt idx="0">
                  <c:v>861.04</c:v>
                </c:pt>
                <c:pt idx="1">
                  <c:v>1011</c:v>
                </c:pt>
                <c:pt idx="6">
                  <c:v>1413.6</c:v>
                </c:pt>
                <c:pt idx="7">
                  <c:v>1482.2</c:v>
                </c:pt>
                <c:pt idx="8">
                  <c:v>1445.5</c:v>
                </c:pt>
                <c:pt idx="9">
                  <c:v>1370.7</c:v>
                </c:pt>
                <c:pt idx="10">
                  <c:v>1421.9</c:v>
                </c:pt>
                <c:pt idx="11">
                  <c:v>1417.1</c:v>
                </c:pt>
                <c:pt idx="12">
                  <c:v>1390.3</c:v>
                </c:pt>
                <c:pt idx="13">
                  <c:v>1412.6</c:v>
                </c:pt>
                <c:pt idx="14">
                  <c:v>1236.7</c:v>
                </c:pt>
                <c:pt idx="15">
                  <c:v>1333.6</c:v>
                </c:pt>
                <c:pt idx="27">
                  <c:v>1161.8</c:v>
                </c:pt>
                <c:pt idx="28">
                  <c:v>1177.4000000000001</c:v>
                </c:pt>
                <c:pt idx="29">
                  <c:v>1343.7</c:v>
                </c:pt>
                <c:pt idx="30">
                  <c:v>1457.6</c:v>
                </c:pt>
                <c:pt idx="31">
                  <c:v>1497.7</c:v>
                </c:pt>
                <c:pt idx="32">
                  <c:v>1467.1</c:v>
                </c:pt>
                <c:pt idx="33">
                  <c:v>1501.4</c:v>
                </c:pt>
                <c:pt idx="34">
                  <c:v>1271.0999999999999</c:v>
                </c:pt>
                <c:pt idx="35">
                  <c:v>1247.5</c:v>
                </c:pt>
                <c:pt idx="36">
                  <c:v>1490.5</c:v>
                </c:pt>
                <c:pt idx="37">
                  <c:v>1352.5</c:v>
                </c:pt>
                <c:pt idx="38">
                  <c:v>1388.3</c:v>
                </c:pt>
                <c:pt idx="39">
                  <c:v>1417.7</c:v>
                </c:pt>
                <c:pt idx="40">
                  <c:v>1364.9</c:v>
                </c:pt>
                <c:pt idx="41">
                  <c:v>1205.3</c:v>
                </c:pt>
                <c:pt idx="42">
                  <c:v>1375.8</c:v>
                </c:pt>
                <c:pt idx="43">
                  <c:v>1466.6</c:v>
                </c:pt>
                <c:pt idx="44" formatCode="0.00">
                  <c:v>1269.2</c:v>
                </c:pt>
                <c:pt idx="45" formatCode="0.00">
                  <c:v>1307.7</c:v>
                </c:pt>
                <c:pt idx="46" formatCode="0.00">
                  <c:v>1380.4</c:v>
                </c:pt>
                <c:pt idx="47" formatCode="0.00">
                  <c:v>1351.4</c:v>
                </c:pt>
                <c:pt idx="48" formatCode="0.00">
                  <c:v>1356.8</c:v>
                </c:pt>
                <c:pt idx="49" formatCode="0.00">
                  <c:v>1252.2</c:v>
                </c:pt>
                <c:pt idx="50" formatCode="0.00">
                  <c:v>1042.0999999999999</c:v>
                </c:pt>
                <c:pt idx="51" formatCode="0.00">
                  <c:v>1018.3</c:v>
                </c:pt>
                <c:pt idx="52" formatCode="0.00">
                  <c:v>1201.5</c:v>
                </c:pt>
                <c:pt idx="53" formatCode="0.00">
                  <c:v>1277.2</c:v>
                </c:pt>
                <c:pt idx="54" formatCode="0.00">
                  <c:v>1270.5</c:v>
                </c:pt>
                <c:pt idx="55" formatCode="0.00">
                  <c:v>1315.9</c:v>
                </c:pt>
                <c:pt idx="56" formatCode="0.00">
                  <c:v>1312.8</c:v>
                </c:pt>
                <c:pt idx="57" formatCode="0.00">
                  <c:v>1326</c:v>
                </c:pt>
                <c:pt idx="58" formatCode="0.00">
                  <c:v>1400.9</c:v>
                </c:pt>
                <c:pt idx="59" formatCode="0.00">
                  <c:v>1386.9</c:v>
                </c:pt>
                <c:pt idx="60" formatCode="0.00">
                  <c:v>1296.7</c:v>
                </c:pt>
                <c:pt idx="61" formatCode="0.00">
                  <c:v>1319.3</c:v>
                </c:pt>
                <c:pt idx="62" formatCode="0.00">
                  <c:v>1209</c:v>
                </c:pt>
                <c:pt idx="63" formatCode="0.00">
                  <c:v>1227.5</c:v>
                </c:pt>
                <c:pt idx="64" formatCode="0.00">
                  <c:v>1226.0999999999999</c:v>
                </c:pt>
                <c:pt idx="65" formatCode="0.00">
                  <c:v>1220.8</c:v>
                </c:pt>
                <c:pt idx="66" formatCode="0.00">
                  <c:v>1231.0999999999999</c:v>
                </c:pt>
                <c:pt idx="67" formatCode="0.00">
                  <c:v>1221.5</c:v>
                </c:pt>
                <c:pt idx="68" formatCode="0.00">
                  <c:v>1251</c:v>
                </c:pt>
                <c:pt idx="69" formatCode="0.00">
                  <c:v>1235</c:v>
                </c:pt>
                <c:pt idx="70" formatCode="0.00">
                  <c:v>1246</c:v>
                </c:pt>
                <c:pt idx="71" formatCode="0.00">
                  <c:v>1153.3</c:v>
                </c:pt>
                <c:pt idx="72" formatCode="0.00">
                  <c:v>1269.5999999999999</c:v>
                </c:pt>
                <c:pt idx="73" formatCode="0.00">
                  <c:v>1200.4000000000001</c:v>
                </c:pt>
                <c:pt idx="74" formatCode="0.00">
                  <c:v>1218.3</c:v>
                </c:pt>
                <c:pt idx="75" formatCode="0.00">
                  <c:v>1249.3</c:v>
                </c:pt>
                <c:pt idx="76" formatCode="0.00">
                  <c:v>1305.3</c:v>
                </c:pt>
                <c:pt idx="77" formatCode="0.00">
                  <c:v>1289.3</c:v>
                </c:pt>
                <c:pt idx="78" formatCode="0.00">
                  <c:v>1412.31</c:v>
                </c:pt>
                <c:pt idx="79" formatCode="0.00">
                  <c:v>1442.7</c:v>
                </c:pt>
                <c:pt idx="80" formatCode="0.00">
                  <c:v>1407.1</c:v>
                </c:pt>
                <c:pt idx="81" formatCode="0.00">
                  <c:v>1410.35</c:v>
                </c:pt>
                <c:pt idx="82" formatCode="0.00">
                  <c:v>1278.9000000000001</c:v>
                </c:pt>
                <c:pt idx="83" formatCode="0.00">
                  <c:v>1229.3</c:v>
                </c:pt>
                <c:pt idx="84" formatCode="0.00">
                  <c:v>1248.2</c:v>
                </c:pt>
                <c:pt idx="85" formatCode="0.00">
                  <c:v>1156.2</c:v>
                </c:pt>
                <c:pt idx="86" formatCode="0.00">
                  <c:v>1289.3</c:v>
                </c:pt>
                <c:pt idx="87" formatCode="0.00">
                  <c:v>1278.9000000000001</c:v>
                </c:pt>
                <c:pt idx="88" formatCode="0.00">
                  <c:v>1248.2</c:v>
                </c:pt>
                <c:pt idx="89" formatCode="0.00">
                  <c:v>1174.5999999999999</c:v>
                </c:pt>
              </c:numCache>
            </c:numRef>
          </c:xVal>
          <c:yVal>
            <c:numRef>
              <c:f>'stable S-SBR'!$AP$4:$AP$74</c:f>
              <c:numCache>
                <c:formatCode>0.00</c:formatCode>
                <c:ptCount val="71"/>
                <c:pt idx="6">
                  <c:v>2.1000000000000001E-2</c:v>
                </c:pt>
                <c:pt idx="30">
                  <c:v>5.8000000000000003E-2</c:v>
                </c:pt>
                <c:pt idx="37">
                  <c:v>4.7E-2</c:v>
                </c:pt>
                <c:pt idx="44">
                  <c:v>2.7199999999999998E-2</c:v>
                </c:pt>
                <c:pt idx="50">
                  <c:v>4.5999999999999999E-2</c:v>
                </c:pt>
                <c:pt idx="58">
                  <c:v>3.6999999999999998E-2</c:v>
                </c:pt>
                <c:pt idx="65">
                  <c:v>6.8000000000000005E-2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30-4868-94EC-FE7A1781E441}"/>
            </c:ext>
          </c:extLst>
        </c:ser>
        <c:ser>
          <c:idx val="1"/>
          <c:order val="1"/>
          <c:tx>
            <c:strRef>
              <c:f>'Publication plots'!$AB$27</c:f>
              <c:strCache>
                <c:ptCount val="1"/>
                <c:pt idx="0">
                  <c:v>MEDIA</c:v>
                </c:pt>
              </c:strCache>
            </c:strRef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'1-Influent'!$P$4:$P$93</c:f>
              <c:numCache>
                <c:formatCode>General</c:formatCode>
                <c:ptCount val="90"/>
                <c:pt idx="0">
                  <c:v>861.04</c:v>
                </c:pt>
                <c:pt idx="1">
                  <c:v>1011</c:v>
                </c:pt>
                <c:pt idx="6">
                  <c:v>1413.6</c:v>
                </c:pt>
                <c:pt idx="7">
                  <c:v>1482.2</c:v>
                </c:pt>
                <c:pt idx="8">
                  <c:v>1445.5</c:v>
                </c:pt>
                <c:pt idx="9">
                  <c:v>1370.7</c:v>
                </c:pt>
                <c:pt idx="10">
                  <c:v>1421.9</c:v>
                </c:pt>
                <c:pt idx="11">
                  <c:v>1417.1</c:v>
                </c:pt>
                <c:pt idx="12">
                  <c:v>1390.3</c:v>
                </c:pt>
                <c:pt idx="13">
                  <c:v>1412.6</c:v>
                </c:pt>
                <c:pt idx="14">
                  <c:v>1236.7</c:v>
                </c:pt>
                <c:pt idx="15">
                  <c:v>1333.6</c:v>
                </c:pt>
                <c:pt idx="27">
                  <c:v>1161.8</c:v>
                </c:pt>
                <c:pt idx="28">
                  <c:v>1177.4000000000001</c:v>
                </c:pt>
                <c:pt idx="29">
                  <c:v>1343.7</c:v>
                </c:pt>
                <c:pt idx="30">
                  <c:v>1457.6</c:v>
                </c:pt>
                <c:pt idx="31">
                  <c:v>1497.7</c:v>
                </c:pt>
                <c:pt idx="32">
                  <c:v>1467.1</c:v>
                </c:pt>
                <c:pt idx="33">
                  <c:v>1501.4</c:v>
                </c:pt>
                <c:pt idx="34">
                  <c:v>1271.0999999999999</c:v>
                </c:pt>
                <c:pt idx="35">
                  <c:v>1247.5</c:v>
                </c:pt>
                <c:pt idx="36">
                  <c:v>1490.5</c:v>
                </c:pt>
                <c:pt idx="37">
                  <c:v>1352.5</c:v>
                </c:pt>
                <c:pt idx="38">
                  <c:v>1388.3</c:v>
                </c:pt>
                <c:pt idx="39">
                  <c:v>1417.7</c:v>
                </c:pt>
                <c:pt idx="40">
                  <c:v>1364.9</c:v>
                </c:pt>
                <c:pt idx="41">
                  <c:v>1205.3</c:v>
                </c:pt>
                <c:pt idx="42">
                  <c:v>1375.8</c:v>
                </c:pt>
                <c:pt idx="43">
                  <c:v>1466.6</c:v>
                </c:pt>
                <c:pt idx="44" formatCode="0.00">
                  <c:v>1269.2</c:v>
                </c:pt>
                <c:pt idx="45" formatCode="0.00">
                  <c:v>1307.7</c:v>
                </c:pt>
                <c:pt idx="46" formatCode="0.00">
                  <c:v>1380.4</c:v>
                </c:pt>
                <c:pt idx="47" formatCode="0.00">
                  <c:v>1351.4</c:v>
                </c:pt>
                <c:pt idx="48" formatCode="0.00">
                  <c:v>1356.8</c:v>
                </c:pt>
                <c:pt idx="49" formatCode="0.00">
                  <c:v>1252.2</c:v>
                </c:pt>
                <c:pt idx="50" formatCode="0.00">
                  <c:v>1042.0999999999999</c:v>
                </c:pt>
                <c:pt idx="51" formatCode="0.00">
                  <c:v>1018.3</c:v>
                </c:pt>
                <c:pt idx="52" formatCode="0.00">
                  <c:v>1201.5</c:v>
                </c:pt>
                <c:pt idx="53" formatCode="0.00">
                  <c:v>1277.2</c:v>
                </c:pt>
                <c:pt idx="54" formatCode="0.00">
                  <c:v>1270.5</c:v>
                </c:pt>
                <c:pt idx="55" formatCode="0.00">
                  <c:v>1315.9</c:v>
                </c:pt>
                <c:pt idx="56" formatCode="0.00">
                  <c:v>1312.8</c:v>
                </c:pt>
                <c:pt idx="57" formatCode="0.00">
                  <c:v>1326</c:v>
                </c:pt>
                <c:pt idx="58" formatCode="0.00">
                  <c:v>1400.9</c:v>
                </c:pt>
                <c:pt idx="59" formatCode="0.00">
                  <c:v>1386.9</c:v>
                </c:pt>
                <c:pt idx="60" formatCode="0.00">
                  <c:v>1296.7</c:v>
                </c:pt>
                <c:pt idx="61" formatCode="0.00">
                  <c:v>1319.3</c:v>
                </c:pt>
                <c:pt idx="62" formatCode="0.00">
                  <c:v>1209</c:v>
                </c:pt>
                <c:pt idx="63" formatCode="0.00">
                  <c:v>1227.5</c:v>
                </c:pt>
                <c:pt idx="64" formatCode="0.00">
                  <c:v>1226.0999999999999</c:v>
                </c:pt>
                <c:pt idx="65" formatCode="0.00">
                  <c:v>1220.8</c:v>
                </c:pt>
                <c:pt idx="66" formatCode="0.00">
                  <c:v>1231.0999999999999</c:v>
                </c:pt>
                <c:pt idx="67" formatCode="0.00">
                  <c:v>1221.5</c:v>
                </c:pt>
                <c:pt idx="68" formatCode="0.00">
                  <c:v>1251</c:v>
                </c:pt>
                <c:pt idx="69" formatCode="0.00">
                  <c:v>1235</c:v>
                </c:pt>
                <c:pt idx="70" formatCode="0.00">
                  <c:v>1246</c:v>
                </c:pt>
                <c:pt idx="71" formatCode="0.00">
                  <c:v>1153.3</c:v>
                </c:pt>
                <c:pt idx="72" formatCode="0.00">
                  <c:v>1269.5999999999999</c:v>
                </c:pt>
                <c:pt idx="73" formatCode="0.00">
                  <c:v>1200.4000000000001</c:v>
                </c:pt>
                <c:pt idx="74" formatCode="0.00">
                  <c:v>1218.3</c:v>
                </c:pt>
                <c:pt idx="75" formatCode="0.00">
                  <c:v>1249.3</c:v>
                </c:pt>
                <c:pt idx="76" formatCode="0.00">
                  <c:v>1305.3</c:v>
                </c:pt>
                <c:pt idx="77" formatCode="0.00">
                  <c:v>1289.3</c:v>
                </c:pt>
                <c:pt idx="78" formatCode="0.00">
                  <c:v>1412.31</c:v>
                </c:pt>
                <c:pt idx="79" formatCode="0.00">
                  <c:v>1442.7</c:v>
                </c:pt>
                <c:pt idx="80" formatCode="0.00">
                  <c:v>1407.1</c:v>
                </c:pt>
                <c:pt idx="81" formatCode="0.00">
                  <c:v>1410.35</c:v>
                </c:pt>
                <c:pt idx="82" formatCode="0.00">
                  <c:v>1278.9000000000001</c:v>
                </c:pt>
                <c:pt idx="83" formatCode="0.00">
                  <c:v>1229.3</c:v>
                </c:pt>
                <c:pt idx="84" formatCode="0.00">
                  <c:v>1248.2</c:v>
                </c:pt>
                <c:pt idx="85" formatCode="0.00">
                  <c:v>1156.2</c:v>
                </c:pt>
                <c:pt idx="86" formatCode="0.00">
                  <c:v>1289.3</c:v>
                </c:pt>
                <c:pt idx="87" formatCode="0.00">
                  <c:v>1278.9000000000001</c:v>
                </c:pt>
                <c:pt idx="88" formatCode="0.00">
                  <c:v>1248.2</c:v>
                </c:pt>
                <c:pt idx="89" formatCode="0.00">
                  <c:v>1174.5999999999999</c:v>
                </c:pt>
              </c:numCache>
            </c:numRef>
          </c:xVal>
          <c:yVal>
            <c:numRef>
              <c:f>'stable MEDIA'!$AT$4:$AT$87</c:f>
              <c:numCache>
                <c:formatCode>0.00</c:formatCode>
                <c:ptCount val="84"/>
                <c:pt idx="6">
                  <c:v>0.10299999999999999</c:v>
                </c:pt>
                <c:pt idx="30">
                  <c:v>0.13200000000000001</c:v>
                </c:pt>
                <c:pt idx="37">
                  <c:v>0.432</c:v>
                </c:pt>
                <c:pt idx="44">
                  <c:v>0.56699999999999995</c:v>
                </c:pt>
                <c:pt idx="50">
                  <c:v>0.93899999999999995</c:v>
                </c:pt>
                <c:pt idx="58">
                  <c:v>0.93899999999999995</c:v>
                </c:pt>
                <c:pt idx="65">
                  <c:v>1.2609999999999999</c:v>
                </c:pt>
                <c:pt idx="72">
                  <c:v>0.95899999999999996</c:v>
                </c:pt>
                <c:pt idx="77">
                  <c:v>0.60499999999999998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30-4868-94EC-FE7A1781E441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'1-Influent'!$P$4:$P$93</c:f>
              <c:numCache>
                <c:formatCode>General</c:formatCode>
                <c:ptCount val="90"/>
                <c:pt idx="0">
                  <c:v>861.04</c:v>
                </c:pt>
                <c:pt idx="1">
                  <c:v>1011</c:v>
                </c:pt>
                <c:pt idx="6">
                  <c:v>1413.6</c:v>
                </c:pt>
                <c:pt idx="7">
                  <c:v>1482.2</c:v>
                </c:pt>
                <c:pt idx="8">
                  <c:v>1445.5</c:v>
                </c:pt>
                <c:pt idx="9">
                  <c:v>1370.7</c:v>
                </c:pt>
                <c:pt idx="10">
                  <c:v>1421.9</c:v>
                </c:pt>
                <c:pt idx="11">
                  <c:v>1417.1</c:v>
                </c:pt>
                <c:pt idx="12">
                  <c:v>1390.3</c:v>
                </c:pt>
                <c:pt idx="13">
                  <c:v>1412.6</c:v>
                </c:pt>
                <c:pt idx="14">
                  <c:v>1236.7</c:v>
                </c:pt>
                <c:pt idx="15">
                  <c:v>1333.6</c:v>
                </c:pt>
                <c:pt idx="27">
                  <c:v>1161.8</c:v>
                </c:pt>
                <c:pt idx="28">
                  <c:v>1177.4000000000001</c:v>
                </c:pt>
                <c:pt idx="29">
                  <c:v>1343.7</c:v>
                </c:pt>
                <c:pt idx="30">
                  <c:v>1457.6</c:v>
                </c:pt>
                <c:pt idx="31">
                  <c:v>1497.7</c:v>
                </c:pt>
                <c:pt idx="32">
                  <c:v>1467.1</c:v>
                </c:pt>
                <c:pt idx="33">
                  <c:v>1501.4</c:v>
                </c:pt>
                <c:pt idx="34">
                  <c:v>1271.0999999999999</c:v>
                </c:pt>
                <c:pt idx="35">
                  <c:v>1247.5</c:v>
                </c:pt>
                <c:pt idx="36">
                  <c:v>1490.5</c:v>
                </c:pt>
                <c:pt idx="37">
                  <c:v>1352.5</c:v>
                </c:pt>
                <c:pt idx="38">
                  <c:v>1388.3</c:v>
                </c:pt>
                <c:pt idx="39">
                  <c:v>1417.7</c:v>
                </c:pt>
                <c:pt idx="40">
                  <c:v>1364.9</c:v>
                </c:pt>
                <c:pt idx="41">
                  <c:v>1205.3</c:v>
                </c:pt>
                <c:pt idx="42">
                  <c:v>1375.8</c:v>
                </c:pt>
                <c:pt idx="43">
                  <c:v>1466.6</c:v>
                </c:pt>
                <c:pt idx="44" formatCode="0.00">
                  <c:v>1269.2</c:v>
                </c:pt>
                <c:pt idx="45" formatCode="0.00">
                  <c:v>1307.7</c:v>
                </c:pt>
                <c:pt idx="46" formatCode="0.00">
                  <c:v>1380.4</c:v>
                </c:pt>
                <c:pt idx="47" formatCode="0.00">
                  <c:v>1351.4</c:v>
                </c:pt>
                <c:pt idx="48" formatCode="0.00">
                  <c:v>1356.8</c:v>
                </c:pt>
                <c:pt idx="49" formatCode="0.00">
                  <c:v>1252.2</c:v>
                </c:pt>
                <c:pt idx="50" formatCode="0.00">
                  <c:v>1042.0999999999999</c:v>
                </c:pt>
                <c:pt idx="51" formatCode="0.00">
                  <c:v>1018.3</c:v>
                </c:pt>
                <c:pt idx="52" formatCode="0.00">
                  <c:v>1201.5</c:v>
                </c:pt>
                <c:pt idx="53" formatCode="0.00">
                  <c:v>1277.2</c:v>
                </c:pt>
                <c:pt idx="54" formatCode="0.00">
                  <c:v>1270.5</c:v>
                </c:pt>
                <c:pt idx="55" formatCode="0.00">
                  <c:v>1315.9</c:v>
                </c:pt>
                <c:pt idx="56" formatCode="0.00">
                  <c:v>1312.8</c:v>
                </c:pt>
                <c:pt idx="57" formatCode="0.00">
                  <c:v>1326</c:v>
                </c:pt>
                <c:pt idx="58" formatCode="0.00">
                  <c:v>1400.9</c:v>
                </c:pt>
                <c:pt idx="59" formatCode="0.00">
                  <c:v>1386.9</c:v>
                </c:pt>
                <c:pt idx="60" formatCode="0.00">
                  <c:v>1296.7</c:v>
                </c:pt>
                <c:pt idx="61" formatCode="0.00">
                  <c:v>1319.3</c:v>
                </c:pt>
                <c:pt idx="62" formatCode="0.00">
                  <c:v>1209</c:v>
                </c:pt>
                <c:pt idx="63" formatCode="0.00">
                  <c:v>1227.5</c:v>
                </c:pt>
                <c:pt idx="64" formatCode="0.00">
                  <c:v>1226.0999999999999</c:v>
                </c:pt>
                <c:pt idx="65" formatCode="0.00">
                  <c:v>1220.8</c:v>
                </c:pt>
                <c:pt idx="66" formatCode="0.00">
                  <c:v>1231.0999999999999</c:v>
                </c:pt>
                <c:pt idx="67" formatCode="0.00">
                  <c:v>1221.5</c:v>
                </c:pt>
                <c:pt idx="68" formatCode="0.00">
                  <c:v>1251</c:v>
                </c:pt>
                <c:pt idx="69" formatCode="0.00">
                  <c:v>1235</c:v>
                </c:pt>
                <c:pt idx="70" formatCode="0.00">
                  <c:v>1246</c:v>
                </c:pt>
                <c:pt idx="71" formatCode="0.00">
                  <c:v>1153.3</c:v>
                </c:pt>
                <c:pt idx="72" formatCode="0.00">
                  <c:v>1269.5999999999999</c:v>
                </c:pt>
                <c:pt idx="73" formatCode="0.00">
                  <c:v>1200.4000000000001</c:v>
                </c:pt>
                <c:pt idx="74" formatCode="0.00">
                  <c:v>1218.3</c:v>
                </c:pt>
                <c:pt idx="75" formatCode="0.00">
                  <c:v>1249.3</c:v>
                </c:pt>
                <c:pt idx="76" formatCode="0.00">
                  <c:v>1305.3</c:v>
                </c:pt>
                <c:pt idx="77" formatCode="0.00">
                  <c:v>1289.3</c:v>
                </c:pt>
                <c:pt idx="78" formatCode="0.00">
                  <c:v>1412.31</c:v>
                </c:pt>
                <c:pt idx="79" formatCode="0.00">
                  <c:v>1442.7</c:v>
                </c:pt>
                <c:pt idx="80" formatCode="0.00">
                  <c:v>1407.1</c:v>
                </c:pt>
                <c:pt idx="81" formatCode="0.00">
                  <c:v>1410.35</c:v>
                </c:pt>
                <c:pt idx="82" formatCode="0.00">
                  <c:v>1278.9000000000001</c:v>
                </c:pt>
                <c:pt idx="83" formatCode="0.00">
                  <c:v>1229.3</c:v>
                </c:pt>
                <c:pt idx="84" formatCode="0.00">
                  <c:v>1248.2</c:v>
                </c:pt>
                <c:pt idx="85" formatCode="0.00">
                  <c:v>1156.2</c:v>
                </c:pt>
                <c:pt idx="86" formatCode="0.00">
                  <c:v>1289.3</c:v>
                </c:pt>
                <c:pt idx="87" formatCode="0.00">
                  <c:v>1278.9000000000001</c:v>
                </c:pt>
                <c:pt idx="88" formatCode="0.00">
                  <c:v>1248.2</c:v>
                </c:pt>
                <c:pt idx="89" formatCode="0.00">
                  <c:v>1174.5999999999999</c:v>
                </c:pt>
              </c:numCache>
            </c:numRef>
          </c:xVal>
          <c:yVal>
            <c:numRef>
              <c:f>'stable G-SBR'!$AP$4:$AP$93</c:f>
              <c:numCache>
                <c:formatCode>0.00</c:formatCode>
                <c:ptCount val="90"/>
                <c:pt idx="6">
                  <c:v>2.1000000000000001E-2</c:v>
                </c:pt>
                <c:pt idx="34">
                  <c:v>3.6999999999999998E-2</c:v>
                </c:pt>
                <c:pt idx="41">
                  <c:v>4.2000000000000003E-2</c:v>
                </c:pt>
                <c:pt idx="50">
                  <c:v>4.5999999999999999E-2</c:v>
                </c:pt>
                <c:pt idx="55">
                  <c:v>8.8999999999999996E-2</c:v>
                </c:pt>
                <c:pt idx="58">
                  <c:v>7.2099999999999997E-2</c:v>
                </c:pt>
                <c:pt idx="77" formatCode="General">
                  <c:v>2.5999999999999999E-2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30-4868-94EC-FE7A1781E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387136"/>
        <c:axId val="493393408"/>
      </c:scatterChart>
      <c:valAx>
        <c:axId val="493387136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Ammonia concentration,</a:t>
                </a:r>
                <a:r>
                  <a:rPr lang="en-GB" baseline="0"/>
                  <a:t> mgN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7820714285714283"/>
              <c:y val="0.85448923611111116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crossAx val="493393408"/>
        <c:crosses val="autoZero"/>
        <c:crossBetween val="midCat"/>
      </c:valAx>
      <c:valAx>
        <c:axId val="4933934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MSAA,</a:t>
                </a:r>
                <a:r>
                  <a:rPr lang="en-GB" baseline="0"/>
                  <a:t> %</a:t>
                </a:r>
                <a:endParaRPr lang="en-GB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crossAx val="49338713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4824667001256488E-5"/>
          <c:y val="0.94052348385212525"/>
          <c:w val="0.99884834418093549"/>
          <c:h val="4.388071211444959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4563492063492"/>
          <c:y val="0.10719232773586376"/>
          <c:w val="0.86240912698412719"/>
          <c:h val="0.66919305555555553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trendline>
            <c:trendlineType val="exp"/>
            <c:dispRSqr val="1"/>
            <c:dispEq val="0"/>
            <c:trendlineLbl>
              <c:numFmt formatCode="General" sourceLinked="0"/>
            </c:trendlineLbl>
          </c:trendline>
          <c:xVal>
            <c:numRef>
              <c:f>'1-Influent'!$F$4:$F$93</c:f>
              <c:numCache>
                <c:formatCode>General</c:formatCode>
                <c:ptCount val="90"/>
                <c:pt idx="6">
                  <c:v>3573</c:v>
                </c:pt>
                <c:pt idx="7">
                  <c:v>3546</c:v>
                </c:pt>
                <c:pt idx="8">
                  <c:v>3460.5</c:v>
                </c:pt>
                <c:pt idx="9">
                  <c:v>4356</c:v>
                </c:pt>
                <c:pt idx="10">
                  <c:v>3465</c:v>
                </c:pt>
                <c:pt idx="11">
                  <c:v>2997</c:v>
                </c:pt>
                <c:pt idx="12">
                  <c:v>2970</c:v>
                </c:pt>
                <c:pt idx="13">
                  <c:v>3451.5</c:v>
                </c:pt>
                <c:pt idx="15">
                  <c:v>3015</c:v>
                </c:pt>
                <c:pt idx="27">
                  <c:v>2542.5</c:v>
                </c:pt>
                <c:pt idx="28">
                  <c:v>2367</c:v>
                </c:pt>
                <c:pt idx="29">
                  <c:v>2529</c:v>
                </c:pt>
                <c:pt idx="30">
                  <c:v>2479.5</c:v>
                </c:pt>
                <c:pt idx="31">
                  <c:v>2538</c:v>
                </c:pt>
                <c:pt idx="32">
                  <c:v>2520</c:v>
                </c:pt>
                <c:pt idx="33">
                  <c:v>2569.5</c:v>
                </c:pt>
                <c:pt idx="34">
                  <c:v>2515.5</c:v>
                </c:pt>
                <c:pt idx="35">
                  <c:v>2520</c:v>
                </c:pt>
                <c:pt idx="36">
                  <c:v>2632.5</c:v>
                </c:pt>
                <c:pt idx="37">
                  <c:v>2592</c:v>
                </c:pt>
                <c:pt idx="38">
                  <c:v>2583</c:v>
                </c:pt>
                <c:pt idx="39">
                  <c:v>2542.5</c:v>
                </c:pt>
                <c:pt idx="40">
                  <c:v>2520</c:v>
                </c:pt>
                <c:pt idx="41">
                  <c:v>2065.5</c:v>
                </c:pt>
                <c:pt idx="42">
                  <c:v>2367</c:v>
                </c:pt>
                <c:pt idx="43">
                  <c:v>2529</c:v>
                </c:pt>
                <c:pt idx="44">
                  <c:v>2349</c:v>
                </c:pt>
                <c:pt idx="45">
                  <c:v>2619</c:v>
                </c:pt>
                <c:pt idx="46">
                  <c:v>2673</c:v>
                </c:pt>
                <c:pt idx="47">
                  <c:v>2664</c:v>
                </c:pt>
                <c:pt idx="48">
                  <c:v>2637</c:v>
                </c:pt>
                <c:pt idx="49">
                  <c:v>2403</c:v>
                </c:pt>
                <c:pt idx="50">
                  <c:v>2025</c:v>
                </c:pt>
                <c:pt idx="51">
                  <c:v>1633.5</c:v>
                </c:pt>
                <c:pt idx="52">
                  <c:v>2002.5</c:v>
                </c:pt>
                <c:pt idx="53">
                  <c:v>2011.5</c:v>
                </c:pt>
                <c:pt idx="54">
                  <c:v>2173.5</c:v>
                </c:pt>
                <c:pt idx="55">
                  <c:v>2182.5</c:v>
                </c:pt>
                <c:pt idx="56">
                  <c:v>2200.5</c:v>
                </c:pt>
                <c:pt idx="57">
                  <c:v>2196</c:v>
                </c:pt>
                <c:pt idx="58">
                  <c:v>2245.5</c:v>
                </c:pt>
                <c:pt idx="59">
                  <c:v>2200.5</c:v>
                </c:pt>
                <c:pt idx="60">
                  <c:v>2295</c:v>
                </c:pt>
                <c:pt idx="61">
                  <c:v>2538</c:v>
                </c:pt>
                <c:pt idx="62">
                  <c:v>2452.5</c:v>
                </c:pt>
                <c:pt idx="63">
                  <c:v>2538</c:v>
                </c:pt>
                <c:pt idx="64">
                  <c:v>2605.5</c:v>
                </c:pt>
                <c:pt idx="65">
                  <c:v>2484</c:v>
                </c:pt>
                <c:pt idx="66">
                  <c:v>2574</c:v>
                </c:pt>
                <c:pt idx="67">
                  <c:v>2434.5</c:v>
                </c:pt>
                <c:pt idx="68">
                  <c:v>2043</c:v>
                </c:pt>
                <c:pt idx="69">
                  <c:v>1975.5</c:v>
                </c:pt>
                <c:pt idx="70">
                  <c:v>1836</c:v>
                </c:pt>
                <c:pt idx="71">
                  <c:v>954</c:v>
                </c:pt>
                <c:pt idx="72">
                  <c:v>1017</c:v>
                </c:pt>
                <c:pt idx="73">
                  <c:v>2007</c:v>
                </c:pt>
                <c:pt idx="74">
                  <c:v>2088</c:v>
                </c:pt>
                <c:pt idx="75">
                  <c:v>2016</c:v>
                </c:pt>
                <c:pt idx="76">
                  <c:v>2317.5</c:v>
                </c:pt>
                <c:pt idx="77">
                  <c:v>2196</c:v>
                </c:pt>
                <c:pt idx="78">
                  <c:v>2655</c:v>
                </c:pt>
                <c:pt idx="79">
                  <c:v>2659.5</c:v>
                </c:pt>
                <c:pt idx="80">
                  <c:v>2704.5</c:v>
                </c:pt>
                <c:pt idx="81">
                  <c:v>2695.5</c:v>
                </c:pt>
                <c:pt idx="82">
                  <c:v>2304</c:v>
                </c:pt>
                <c:pt idx="83">
                  <c:v>2232</c:v>
                </c:pt>
                <c:pt idx="84">
                  <c:v>2106</c:v>
                </c:pt>
                <c:pt idx="85">
                  <c:v>1903.5</c:v>
                </c:pt>
                <c:pt idx="86">
                  <c:v>1939.5</c:v>
                </c:pt>
                <c:pt idx="87">
                  <c:v>1813.5</c:v>
                </c:pt>
                <c:pt idx="88">
                  <c:v>1840.5</c:v>
                </c:pt>
                <c:pt idx="89">
                  <c:v>1818</c:v>
                </c:pt>
              </c:numCache>
            </c:numRef>
          </c:xVal>
          <c:yVal>
            <c:numRef>
              <c:f>'stable S-SBR'!$AQ$4:$AQ$74</c:f>
              <c:numCache>
                <c:formatCode>0.00%</c:formatCode>
                <c:ptCount val="71"/>
                <c:pt idx="6">
                  <c:v>0.30882352941176472</c:v>
                </c:pt>
                <c:pt idx="30">
                  <c:v>0.8529411764705882</c:v>
                </c:pt>
                <c:pt idx="37">
                  <c:v>0.69117647058823528</c:v>
                </c:pt>
                <c:pt idx="44">
                  <c:v>0.39999999999999997</c:v>
                </c:pt>
                <c:pt idx="50">
                  <c:v>0.67647058823529405</c:v>
                </c:pt>
                <c:pt idx="58">
                  <c:v>0.54411764705882348</c:v>
                </c:pt>
                <c:pt idx="6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DD-45D6-B0E5-4635F246B632}"/>
            </c:ext>
          </c:extLst>
        </c:ser>
        <c:ser>
          <c:idx val="1"/>
          <c:order val="1"/>
          <c:tx>
            <c:strRef>
              <c:f>'Publication plots'!$AB$27</c:f>
              <c:strCache>
                <c:ptCount val="1"/>
                <c:pt idx="0">
                  <c:v>MEDIA</c:v>
                </c:pt>
              </c:strCache>
            </c:strRef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trendline>
            <c:trendlineType val="exp"/>
            <c:dispRSqr val="1"/>
            <c:dispEq val="0"/>
            <c:trendlineLbl>
              <c:numFmt formatCode="General" sourceLinked="0"/>
            </c:trendlineLbl>
          </c:trendline>
          <c:xVal>
            <c:numRef>
              <c:f>'1-Influent'!$F$4:$F$93</c:f>
              <c:numCache>
                <c:formatCode>General</c:formatCode>
                <c:ptCount val="90"/>
                <c:pt idx="6">
                  <c:v>3573</c:v>
                </c:pt>
                <c:pt idx="7">
                  <c:v>3546</c:v>
                </c:pt>
                <c:pt idx="8">
                  <c:v>3460.5</c:v>
                </c:pt>
                <c:pt idx="9">
                  <c:v>4356</c:v>
                </c:pt>
                <c:pt idx="10">
                  <c:v>3465</c:v>
                </c:pt>
                <c:pt idx="11">
                  <c:v>2997</c:v>
                </c:pt>
                <c:pt idx="12">
                  <c:v>2970</c:v>
                </c:pt>
                <c:pt idx="13">
                  <c:v>3451.5</c:v>
                </c:pt>
                <c:pt idx="15">
                  <c:v>3015</c:v>
                </c:pt>
                <c:pt idx="27">
                  <c:v>2542.5</c:v>
                </c:pt>
                <c:pt idx="28">
                  <c:v>2367</c:v>
                </c:pt>
                <c:pt idx="29">
                  <c:v>2529</c:v>
                </c:pt>
                <c:pt idx="30">
                  <c:v>2479.5</c:v>
                </c:pt>
                <c:pt idx="31">
                  <c:v>2538</c:v>
                </c:pt>
                <c:pt idx="32">
                  <c:v>2520</c:v>
                </c:pt>
                <c:pt idx="33">
                  <c:v>2569.5</c:v>
                </c:pt>
                <c:pt idx="34">
                  <c:v>2515.5</c:v>
                </c:pt>
                <c:pt idx="35">
                  <c:v>2520</c:v>
                </c:pt>
                <c:pt idx="36">
                  <c:v>2632.5</c:v>
                </c:pt>
                <c:pt idx="37">
                  <c:v>2592</c:v>
                </c:pt>
                <c:pt idx="38">
                  <c:v>2583</c:v>
                </c:pt>
                <c:pt idx="39">
                  <c:v>2542.5</c:v>
                </c:pt>
                <c:pt idx="40">
                  <c:v>2520</c:v>
                </c:pt>
                <c:pt idx="41">
                  <c:v>2065.5</c:v>
                </c:pt>
                <c:pt idx="42">
                  <c:v>2367</c:v>
                </c:pt>
                <c:pt idx="43">
                  <c:v>2529</c:v>
                </c:pt>
                <c:pt idx="44">
                  <c:v>2349</c:v>
                </c:pt>
                <c:pt idx="45">
                  <c:v>2619</c:v>
                </c:pt>
                <c:pt idx="46">
                  <c:v>2673</c:v>
                </c:pt>
                <c:pt idx="47">
                  <c:v>2664</c:v>
                </c:pt>
                <c:pt idx="48">
                  <c:v>2637</c:v>
                </c:pt>
                <c:pt idx="49">
                  <c:v>2403</c:v>
                </c:pt>
                <c:pt idx="50">
                  <c:v>2025</c:v>
                </c:pt>
                <c:pt idx="51">
                  <c:v>1633.5</c:v>
                </c:pt>
                <c:pt idx="52">
                  <c:v>2002.5</c:v>
                </c:pt>
                <c:pt idx="53">
                  <c:v>2011.5</c:v>
                </c:pt>
                <c:pt idx="54">
                  <c:v>2173.5</c:v>
                </c:pt>
                <c:pt idx="55">
                  <c:v>2182.5</c:v>
                </c:pt>
                <c:pt idx="56">
                  <c:v>2200.5</c:v>
                </c:pt>
                <c:pt idx="57">
                  <c:v>2196</c:v>
                </c:pt>
                <c:pt idx="58">
                  <c:v>2245.5</c:v>
                </c:pt>
                <c:pt idx="59">
                  <c:v>2200.5</c:v>
                </c:pt>
                <c:pt idx="60">
                  <c:v>2295</c:v>
                </c:pt>
                <c:pt idx="61">
                  <c:v>2538</c:v>
                </c:pt>
                <c:pt idx="62">
                  <c:v>2452.5</c:v>
                </c:pt>
                <c:pt idx="63">
                  <c:v>2538</c:v>
                </c:pt>
                <c:pt idx="64">
                  <c:v>2605.5</c:v>
                </c:pt>
                <c:pt idx="65">
                  <c:v>2484</c:v>
                </c:pt>
                <c:pt idx="66">
                  <c:v>2574</c:v>
                </c:pt>
                <c:pt idx="67">
                  <c:v>2434.5</c:v>
                </c:pt>
                <c:pt idx="68">
                  <c:v>2043</c:v>
                </c:pt>
                <c:pt idx="69">
                  <c:v>1975.5</c:v>
                </c:pt>
                <c:pt idx="70">
                  <c:v>1836</c:v>
                </c:pt>
                <c:pt idx="71">
                  <c:v>954</c:v>
                </c:pt>
                <c:pt idx="72">
                  <c:v>1017</c:v>
                </c:pt>
                <c:pt idx="73">
                  <c:v>2007</c:v>
                </c:pt>
                <c:pt idx="74">
                  <c:v>2088</c:v>
                </c:pt>
                <c:pt idx="75">
                  <c:v>2016</c:v>
                </c:pt>
                <c:pt idx="76">
                  <c:v>2317.5</c:v>
                </c:pt>
                <c:pt idx="77">
                  <c:v>2196</c:v>
                </c:pt>
                <c:pt idx="78">
                  <c:v>2655</c:v>
                </c:pt>
                <c:pt idx="79">
                  <c:v>2659.5</c:v>
                </c:pt>
                <c:pt idx="80">
                  <c:v>2704.5</c:v>
                </c:pt>
                <c:pt idx="81">
                  <c:v>2695.5</c:v>
                </c:pt>
                <c:pt idx="82">
                  <c:v>2304</c:v>
                </c:pt>
                <c:pt idx="83">
                  <c:v>2232</c:v>
                </c:pt>
                <c:pt idx="84">
                  <c:v>2106</c:v>
                </c:pt>
                <c:pt idx="85">
                  <c:v>1903.5</c:v>
                </c:pt>
                <c:pt idx="86">
                  <c:v>1939.5</c:v>
                </c:pt>
                <c:pt idx="87">
                  <c:v>1813.5</c:v>
                </c:pt>
                <c:pt idx="88">
                  <c:v>1840.5</c:v>
                </c:pt>
                <c:pt idx="89">
                  <c:v>1818</c:v>
                </c:pt>
              </c:numCache>
            </c:numRef>
          </c:xVal>
          <c:yVal>
            <c:numRef>
              <c:f>'stable MEDIA'!$AW$4:$AW$87</c:f>
              <c:numCache>
                <c:formatCode>0%</c:formatCode>
                <c:ptCount val="84"/>
                <c:pt idx="6">
                  <c:v>5.0292968749999993E-2</c:v>
                </c:pt>
                <c:pt idx="30">
                  <c:v>6.4453125E-2</c:v>
                </c:pt>
                <c:pt idx="37">
                  <c:v>0.2109375</c:v>
                </c:pt>
                <c:pt idx="44">
                  <c:v>0.27685546874999994</c:v>
                </c:pt>
                <c:pt idx="50">
                  <c:v>0.45849609374999994</c:v>
                </c:pt>
                <c:pt idx="58">
                  <c:v>0.45849609374999994</c:v>
                </c:pt>
                <c:pt idx="65">
                  <c:v>0.61572265624999989</c:v>
                </c:pt>
                <c:pt idx="72">
                  <c:v>0.46826171875</c:v>
                </c:pt>
                <c:pt idx="77">
                  <c:v>0.29541015625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DD-45D6-B0E5-4635F246B632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trendline>
            <c:trendlineType val="exp"/>
            <c:dispRSqr val="1"/>
            <c:dispEq val="0"/>
            <c:trendlineLbl>
              <c:numFmt formatCode="General" sourceLinked="0"/>
            </c:trendlineLbl>
          </c:trendline>
          <c:xVal>
            <c:numRef>
              <c:f>'1-Influent'!$F$4:$F$93</c:f>
              <c:numCache>
                <c:formatCode>General</c:formatCode>
                <c:ptCount val="90"/>
                <c:pt idx="6">
                  <c:v>3573</c:v>
                </c:pt>
                <c:pt idx="7">
                  <c:v>3546</c:v>
                </c:pt>
                <c:pt idx="8">
                  <c:v>3460.5</c:v>
                </c:pt>
                <c:pt idx="9">
                  <c:v>4356</c:v>
                </c:pt>
                <c:pt idx="10">
                  <c:v>3465</c:v>
                </c:pt>
                <c:pt idx="11">
                  <c:v>2997</c:v>
                </c:pt>
                <c:pt idx="12">
                  <c:v>2970</c:v>
                </c:pt>
                <c:pt idx="13">
                  <c:v>3451.5</c:v>
                </c:pt>
                <c:pt idx="15">
                  <c:v>3015</c:v>
                </c:pt>
                <c:pt idx="27">
                  <c:v>2542.5</c:v>
                </c:pt>
                <c:pt idx="28">
                  <c:v>2367</c:v>
                </c:pt>
                <c:pt idx="29">
                  <c:v>2529</c:v>
                </c:pt>
                <c:pt idx="30">
                  <c:v>2479.5</c:v>
                </c:pt>
                <c:pt idx="31">
                  <c:v>2538</c:v>
                </c:pt>
                <c:pt idx="32">
                  <c:v>2520</c:v>
                </c:pt>
                <c:pt idx="33">
                  <c:v>2569.5</c:v>
                </c:pt>
                <c:pt idx="34">
                  <c:v>2515.5</c:v>
                </c:pt>
                <c:pt idx="35">
                  <c:v>2520</c:v>
                </c:pt>
                <c:pt idx="36">
                  <c:v>2632.5</c:v>
                </c:pt>
                <c:pt idx="37">
                  <c:v>2592</c:v>
                </c:pt>
                <c:pt idx="38">
                  <c:v>2583</c:v>
                </c:pt>
                <c:pt idx="39">
                  <c:v>2542.5</c:v>
                </c:pt>
                <c:pt idx="40">
                  <c:v>2520</c:v>
                </c:pt>
                <c:pt idx="41">
                  <c:v>2065.5</c:v>
                </c:pt>
                <c:pt idx="42">
                  <c:v>2367</c:v>
                </c:pt>
                <c:pt idx="43">
                  <c:v>2529</c:v>
                </c:pt>
                <c:pt idx="44">
                  <c:v>2349</c:v>
                </c:pt>
                <c:pt idx="45">
                  <c:v>2619</c:v>
                </c:pt>
                <c:pt idx="46">
                  <c:v>2673</c:v>
                </c:pt>
                <c:pt idx="47">
                  <c:v>2664</c:v>
                </c:pt>
                <c:pt idx="48">
                  <c:v>2637</c:v>
                </c:pt>
                <c:pt idx="49">
                  <c:v>2403</c:v>
                </c:pt>
                <c:pt idx="50">
                  <c:v>2025</c:v>
                </c:pt>
                <c:pt idx="51">
                  <c:v>1633.5</c:v>
                </c:pt>
                <c:pt idx="52">
                  <c:v>2002.5</c:v>
                </c:pt>
                <c:pt idx="53">
                  <c:v>2011.5</c:v>
                </c:pt>
                <c:pt idx="54">
                  <c:v>2173.5</c:v>
                </c:pt>
                <c:pt idx="55">
                  <c:v>2182.5</c:v>
                </c:pt>
                <c:pt idx="56">
                  <c:v>2200.5</c:v>
                </c:pt>
                <c:pt idx="57">
                  <c:v>2196</c:v>
                </c:pt>
                <c:pt idx="58">
                  <c:v>2245.5</c:v>
                </c:pt>
                <c:pt idx="59">
                  <c:v>2200.5</c:v>
                </c:pt>
                <c:pt idx="60">
                  <c:v>2295</c:v>
                </c:pt>
                <c:pt idx="61">
                  <c:v>2538</c:v>
                </c:pt>
                <c:pt idx="62">
                  <c:v>2452.5</c:v>
                </c:pt>
                <c:pt idx="63">
                  <c:v>2538</c:v>
                </c:pt>
                <c:pt idx="64">
                  <c:v>2605.5</c:v>
                </c:pt>
                <c:pt idx="65">
                  <c:v>2484</c:v>
                </c:pt>
                <c:pt idx="66">
                  <c:v>2574</c:v>
                </c:pt>
                <c:pt idx="67">
                  <c:v>2434.5</c:v>
                </c:pt>
                <c:pt idx="68">
                  <c:v>2043</c:v>
                </c:pt>
                <c:pt idx="69">
                  <c:v>1975.5</c:v>
                </c:pt>
                <c:pt idx="70">
                  <c:v>1836</c:v>
                </c:pt>
                <c:pt idx="71">
                  <c:v>954</c:v>
                </c:pt>
                <c:pt idx="72">
                  <c:v>1017</c:v>
                </c:pt>
                <c:pt idx="73">
                  <c:v>2007</c:v>
                </c:pt>
                <c:pt idx="74">
                  <c:v>2088</c:v>
                </c:pt>
                <c:pt idx="75">
                  <c:v>2016</c:v>
                </c:pt>
                <c:pt idx="76">
                  <c:v>2317.5</c:v>
                </c:pt>
                <c:pt idx="77">
                  <c:v>2196</c:v>
                </c:pt>
                <c:pt idx="78">
                  <c:v>2655</c:v>
                </c:pt>
                <c:pt idx="79">
                  <c:v>2659.5</c:v>
                </c:pt>
                <c:pt idx="80">
                  <c:v>2704.5</c:v>
                </c:pt>
                <c:pt idx="81">
                  <c:v>2695.5</c:v>
                </c:pt>
                <c:pt idx="82">
                  <c:v>2304</c:v>
                </c:pt>
                <c:pt idx="83">
                  <c:v>2232</c:v>
                </c:pt>
                <c:pt idx="84">
                  <c:v>2106</c:v>
                </c:pt>
                <c:pt idx="85">
                  <c:v>1903.5</c:v>
                </c:pt>
                <c:pt idx="86">
                  <c:v>1939.5</c:v>
                </c:pt>
                <c:pt idx="87">
                  <c:v>1813.5</c:v>
                </c:pt>
                <c:pt idx="88">
                  <c:v>1840.5</c:v>
                </c:pt>
                <c:pt idx="89">
                  <c:v>1818</c:v>
                </c:pt>
              </c:numCache>
            </c:numRef>
          </c:xVal>
          <c:yVal>
            <c:numRef>
              <c:f>'stable G-SBR'!$AQ$4:$AQ$93</c:f>
              <c:numCache>
                <c:formatCode>0%</c:formatCode>
                <c:ptCount val="90"/>
                <c:pt idx="6">
                  <c:v>0.2359550561797753</c:v>
                </c:pt>
                <c:pt idx="34">
                  <c:v>0.4157303370786517</c:v>
                </c:pt>
                <c:pt idx="41">
                  <c:v>0.4719101123595506</c:v>
                </c:pt>
                <c:pt idx="50">
                  <c:v>0.5168539325842697</c:v>
                </c:pt>
                <c:pt idx="55">
                  <c:v>1</c:v>
                </c:pt>
                <c:pt idx="58">
                  <c:v>0.81011235955056182</c:v>
                </c:pt>
                <c:pt idx="77">
                  <c:v>0.29213483146067415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DD-45D6-B0E5-4635F246B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387136"/>
        <c:axId val="493393408"/>
      </c:scatterChart>
      <c:valAx>
        <c:axId val="493387136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layout>
            <c:manualLayout>
              <c:xMode val="edge"/>
              <c:yMode val="edge"/>
              <c:x val="0.47820714285714283"/>
              <c:y val="0.85448923611111116"/>
            </c:manualLayout>
          </c:layout>
          <c:overlay val="0"/>
        </c:title>
        <c:numFmt formatCode="General" sourceLinked="1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crossAx val="493393408"/>
        <c:crosses val="autoZero"/>
        <c:crossBetween val="midCat"/>
      </c:valAx>
      <c:valAx>
        <c:axId val="493393408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MSAA,</a:t>
                </a:r>
                <a:r>
                  <a:rPr lang="en-US" baseline="0"/>
                  <a:t> %</a:t>
                </a:r>
                <a:endParaRPr lang="en-US"/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crossAx val="49338713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4824667001256488E-5"/>
          <c:y val="0.94052348385212525"/>
          <c:w val="0.99884834418093549"/>
          <c:h val="4.388071211444959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7468253968254"/>
          <c:y val="4.3937190227767826E-2"/>
          <c:w val="0.84753492063492064"/>
          <c:h val="0.83786196617702835"/>
        </c:manualLayout>
      </c:layout>
      <c:barChart>
        <c:barDir val="col"/>
        <c:grouping val="stacked"/>
        <c:varyColors val="0"/>
        <c:ser>
          <c:idx val="0"/>
          <c:order val="0"/>
          <c:tx>
            <c:v>Series 1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plots'!$H$32:$K$32</c:f>
              <c:numCache>
                <c:formatCode>0.00</c:formatCode>
                <c:ptCount val="4"/>
                <c:pt idx="0">
                  <c:v>0.48073542686113357</c:v>
                </c:pt>
                <c:pt idx="1">
                  <c:v>0.25673955369177776</c:v>
                </c:pt>
                <c:pt idx="2">
                  <c:v>0.11090310019469832</c:v>
                </c:pt>
                <c:pt idx="3">
                  <c:v>4.7379168354259371E-2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7-4B2F-A52A-1AFE2F653BD6}"/>
            </c:ext>
          </c:extLst>
        </c:ser>
        <c:ser>
          <c:idx val="1"/>
          <c:order val="1"/>
          <c:tx>
            <c:v>Series 2</c:v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percentage"/>
            <c:noEndCap val="0"/>
            <c:val val="100"/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plots'!$H$33:$K$33</c:f>
              <c:numCache>
                <c:formatCode>0.00</c:formatCode>
                <c:ptCount val="4"/>
                <c:pt idx="0">
                  <c:v>0.35329846990288116</c:v>
                </c:pt>
                <c:pt idx="1">
                  <c:v>0.15657202490391697</c:v>
                </c:pt>
                <c:pt idx="2">
                  <c:v>0.4681537796706261</c:v>
                </c:pt>
                <c:pt idx="3">
                  <c:v>8.6199288903428761E-2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7-4B2F-A52A-1AFE2F653BD6}"/>
            </c:ext>
          </c:extLst>
        </c:ser>
        <c:ser>
          <c:idx val="2"/>
          <c:order val="2"/>
          <c:tx>
            <c:v>Series 3</c:v>
          </c:tx>
          <c:spPr>
            <a:noFill/>
            <a:ln w="9525">
              <a:solidFill>
                <a:schemeClr val="tx1"/>
              </a:solidFill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plots'!$H$34:$K$34</c:f>
              <c:numCache>
                <c:formatCode>0.00</c:formatCode>
                <c:ptCount val="4"/>
                <c:pt idx="0">
                  <c:v>1.7657723434453709E-2</c:v>
                </c:pt>
                <c:pt idx="1">
                  <c:v>0.11327339095036798</c:v>
                </c:pt>
                <c:pt idx="2">
                  <c:v>0.27712955911074033</c:v>
                </c:pt>
                <c:pt idx="3">
                  <c:v>4.1446352533909603E-2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7-4B2F-A52A-1AFE2F653BD6}"/>
            </c:ext>
          </c:extLst>
        </c:ser>
        <c:ser>
          <c:idx val="3"/>
          <c:order val="3"/>
          <c:tx>
            <c:v>Series 4</c:v>
          </c:tx>
          <c:spPr>
            <a:noFill/>
            <a:ln w="9525"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'Publication plots'!$H$36:$K$36</c:f>
                <c:numCache>
                  <c:formatCode>General</c:formatCode>
                  <c:ptCount val="4"/>
                  <c:pt idx="0">
                    <c:v>4.4603195241059712E-2</c:v>
                  </c:pt>
                  <c:pt idx="1">
                    <c:v>0.16918224540410221</c:v>
                  </c:pt>
                  <c:pt idx="2">
                    <c:v>5.319240306264561E-2</c:v>
                  </c:pt>
                  <c:pt idx="3">
                    <c:v>0.61729371583033488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plots'!$H$35:$K$35</c:f>
              <c:numCache>
                <c:formatCode>0.00</c:formatCode>
                <c:ptCount val="4"/>
                <c:pt idx="0">
                  <c:v>1.1433479657188106E-2</c:v>
                </c:pt>
                <c:pt idx="1">
                  <c:v>0.26799703438284506</c:v>
                </c:pt>
                <c:pt idx="2">
                  <c:v>2.8869167097968496E-2</c:v>
                </c:pt>
                <c:pt idx="3">
                  <c:v>6.9855565262403496E-2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67-4B2F-A52A-1AFE2F653BD6}"/>
            </c:ext>
          </c:extLst>
        </c:ser>
        <c:ser>
          <c:idx val="4"/>
          <c:order val="4"/>
          <c:tx>
            <c:v>Series 5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'Publication plots'!$H$2:$K$2</c:f>
              <c:strCache>
                <c:ptCount val="4"/>
                <c:pt idx="0">
                  <c:v>G-SBR</c:v>
                </c:pt>
                <c:pt idx="1">
                  <c:v>MEDIA</c:v>
                </c:pt>
                <c:pt idx="2">
                  <c:v>S-SBR</c:v>
                </c:pt>
                <c:pt idx="3">
                  <c:v>N-SBR</c:v>
                </c:pt>
              </c:strCache>
            </c:strRef>
          </c:cat>
          <c:val>
            <c:numRef>
              <c:f>'Publication plots'!$H$36:$K$36</c:f>
              <c:numCache>
                <c:formatCode>0.00</c:formatCode>
                <c:ptCount val="4"/>
                <c:pt idx="0">
                  <c:v>4.4603195241059712E-2</c:v>
                </c:pt>
                <c:pt idx="1">
                  <c:v>0.16918224540410221</c:v>
                </c:pt>
                <c:pt idx="2">
                  <c:v>5.319240306264561E-2</c:v>
                </c:pt>
                <c:pt idx="3">
                  <c:v>0.61729371583033488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7-4B2F-A52A-1AFE2F653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53929656"/>
        <c:axId val="560021896"/>
      </c:barChart>
      <c:scatterChart>
        <c:scatterStyle val="lineMarker"/>
        <c:varyColors val="0"/>
        <c:ser>
          <c:idx val="5"/>
          <c:order val="5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yVal>
            <c:numRef>
              <c:f>'Publication plots'!$H$37:$K$37</c:f>
              <c:numCache>
                <c:formatCode>0.00</c:formatCode>
                <c:ptCount val="4"/>
                <c:pt idx="0">
                  <c:v>0.8453314880335242</c:v>
                </c:pt>
                <c:pt idx="1">
                  <c:v>0.58639445918401156</c:v>
                </c:pt>
                <c:pt idx="2">
                  <c:v>0.69902490565868447</c:v>
                </c:pt>
                <c:pt idx="3">
                  <c:v>0.21195029883788899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867-4B2F-A52A-1AFE2F653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929656"/>
        <c:axId val="560021896"/>
      </c:scatterChart>
      <c:catAx>
        <c:axId val="95392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021896"/>
        <c:crosses val="autoZero"/>
        <c:auto val="1"/>
        <c:lblAlgn val="ctr"/>
        <c:lblOffset val="100"/>
        <c:noMultiLvlLbl val="0"/>
      </c:catAx>
      <c:valAx>
        <c:axId val="560021896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Nitrogen removal efficiency, %</a:t>
                </a:r>
                <a:endParaRPr lang="en-GB" baseline="30000"/>
              </a:p>
            </c:rich>
          </c:tx>
          <c:layout>
            <c:manualLayout>
              <c:xMode val="edge"/>
              <c:yMode val="edge"/>
              <c:x val="1.2857142857142857E-2"/>
              <c:y val="7.726076388888888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cross"/>
        <c:minorTickMark val="none"/>
        <c:tickLblPos val="nextTo"/>
        <c:spPr>
          <a:noFill/>
          <a:ln>
            <a:solidFill>
              <a:schemeClr val="tx1"/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929656"/>
        <c:crosses val="autoZero"/>
        <c:crossBetween val="between"/>
        <c:majorUnit val="0.2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DEMON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'stable S-SBR'!$AL$4:$AL$74</c:f>
              <c:numCache>
                <c:formatCode>0.000</c:formatCode>
                <c:ptCount val="71"/>
                <c:pt idx="0">
                  <c:v>0.53282175659999997</c:v>
                </c:pt>
                <c:pt idx="6">
                  <c:v>0.93127006000000001</c:v>
                </c:pt>
                <c:pt idx="7">
                  <c:v>0.94206520000000016</c:v>
                </c:pt>
                <c:pt idx="8">
                  <c:v>1.1074062</c:v>
                </c:pt>
                <c:pt idx="10">
                  <c:v>1.0751075999999999</c:v>
                </c:pt>
                <c:pt idx="11">
                  <c:v>2.0565350000000003E-2</c:v>
                </c:pt>
                <c:pt idx="14">
                  <c:v>0.78604995000000011</c:v>
                </c:pt>
                <c:pt idx="15">
                  <c:v>1.0216907999999998</c:v>
                </c:pt>
                <c:pt idx="27">
                  <c:v>0.89369899199999991</c:v>
                </c:pt>
                <c:pt idx="28">
                  <c:v>0.76767744000000016</c:v>
                </c:pt>
                <c:pt idx="29">
                  <c:v>0.90225980060000011</c:v>
                </c:pt>
                <c:pt idx="30">
                  <c:v>0.93707383999999994</c:v>
                </c:pt>
                <c:pt idx="31">
                  <c:v>0.97123835999999986</c:v>
                </c:pt>
                <c:pt idx="32">
                  <c:v>0.94787580000000016</c:v>
                </c:pt>
                <c:pt idx="33">
                  <c:v>0.99916464000000005</c:v>
                </c:pt>
                <c:pt idx="34">
                  <c:v>0.87439443419999974</c:v>
                </c:pt>
                <c:pt idx="35">
                  <c:v>0.83071866000000005</c:v>
                </c:pt>
                <c:pt idx="36">
                  <c:v>1.0634329079999998</c:v>
                </c:pt>
                <c:pt idx="37">
                  <c:v>0.90222698720000005</c:v>
                </c:pt>
                <c:pt idx="38">
                  <c:v>0.95590239199999993</c:v>
                </c:pt>
                <c:pt idx="39">
                  <c:v>0.94729899000000006</c:v>
                </c:pt>
                <c:pt idx="41">
                  <c:v>0.75150869999999981</c:v>
                </c:pt>
                <c:pt idx="42">
                  <c:v>0.87280887120000028</c:v>
                </c:pt>
                <c:pt idx="43">
                  <c:v>0.93699183999999969</c:v>
                </c:pt>
                <c:pt idx="44">
                  <c:v>0.39668750000000003</c:v>
                </c:pt>
                <c:pt idx="45">
                  <c:v>0.48498680999999993</c:v>
                </c:pt>
                <c:pt idx="46">
                  <c:v>0.50101974000000016</c:v>
                </c:pt>
                <c:pt idx="47">
                  <c:v>0.49291805369999997</c:v>
                </c:pt>
                <c:pt idx="48">
                  <c:v>0.46863995000000008</c:v>
                </c:pt>
                <c:pt idx="50">
                  <c:v>0.33614175000000002</c:v>
                </c:pt>
                <c:pt idx="51">
                  <c:v>0.36114867500000003</c:v>
                </c:pt>
                <c:pt idx="52">
                  <c:v>0.42978800499999997</c:v>
                </c:pt>
                <c:pt idx="53">
                  <c:v>0.47804199500000005</c:v>
                </c:pt>
                <c:pt idx="54">
                  <c:v>0.48642678624999997</c:v>
                </c:pt>
                <c:pt idx="55">
                  <c:v>0.48142938000000002</c:v>
                </c:pt>
                <c:pt idx="56">
                  <c:v>0.48351224999999998</c:v>
                </c:pt>
                <c:pt idx="57">
                  <c:v>0.48555144000000006</c:v>
                </c:pt>
                <c:pt idx="58">
                  <c:v>0.52403853690000002</c:v>
                </c:pt>
                <c:pt idx="59">
                  <c:v>0.49332211500000012</c:v>
                </c:pt>
                <c:pt idx="60">
                  <c:v>0.45881631509999998</c:v>
                </c:pt>
                <c:pt idx="61">
                  <c:v>0.47640547500000002</c:v>
                </c:pt>
                <c:pt idx="62">
                  <c:v>0.40822592000000002</c:v>
                </c:pt>
                <c:pt idx="63">
                  <c:v>0.41836154289999988</c:v>
                </c:pt>
                <c:pt idx="69">
                  <c:v>0.41996800000000006</c:v>
                </c:pt>
              </c:numCache>
            </c:numRef>
          </c:xVal>
          <c:yVal>
            <c:numRef>
              <c:f>'stable S-SBR'!$AM$4:$AM$74</c:f>
              <c:numCache>
                <c:formatCode>0.000</c:formatCode>
                <c:ptCount val="71"/>
                <c:pt idx="0">
                  <c:v>0.25614629459999999</c:v>
                </c:pt>
                <c:pt idx="6">
                  <c:v>0.78823994199999992</c:v>
                </c:pt>
                <c:pt idx="7">
                  <c:v>0.79016799000000015</c:v>
                </c:pt>
                <c:pt idx="8">
                  <c:v>0.9299929400000001</c:v>
                </c:pt>
                <c:pt idx="10">
                  <c:v>0.96334056000000001</c:v>
                </c:pt>
                <c:pt idx="11">
                  <c:v>1.8415870000000004E-2</c:v>
                </c:pt>
                <c:pt idx="14">
                  <c:v>0.71222391500000004</c:v>
                </c:pt>
                <c:pt idx="15">
                  <c:v>0.92741764799999993</c:v>
                </c:pt>
                <c:pt idx="27">
                  <c:v>0.77900792299999999</c:v>
                </c:pt>
                <c:pt idx="28">
                  <c:v>0.67039440300000019</c:v>
                </c:pt>
                <c:pt idx="29">
                  <c:v>0.79604420840000012</c:v>
                </c:pt>
                <c:pt idx="30">
                  <c:v>0.81886292000000005</c:v>
                </c:pt>
                <c:pt idx="31">
                  <c:v>0.8464472959999999</c:v>
                </c:pt>
                <c:pt idx="32">
                  <c:v>0.8132106400000001</c:v>
                </c:pt>
                <c:pt idx="33">
                  <c:v>0.85961029799999999</c:v>
                </c:pt>
                <c:pt idx="34">
                  <c:v>0.72490909919999968</c:v>
                </c:pt>
                <c:pt idx="35">
                  <c:v>0.69172625200000004</c:v>
                </c:pt>
                <c:pt idx="36">
                  <c:v>0.90862898399999981</c:v>
                </c:pt>
                <c:pt idx="37">
                  <c:v>0.74295776520000001</c:v>
                </c:pt>
                <c:pt idx="38">
                  <c:v>0.82220626399999996</c:v>
                </c:pt>
                <c:pt idx="39">
                  <c:v>0.80254176300000002</c:v>
                </c:pt>
                <c:pt idx="41">
                  <c:v>0.62958412799999985</c:v>
                </c:pt>
                <c:pt idx="42">
                  <c:v>0.74976772920000023</c:v>
                </c:pt>
                <c:pt idx="43">
                  <c:v>0.83093187599999974</c:v>
                </c:pt>
                <c:pt idx="44">
                  <c:v>0.33914062500000003</c:v>
                </c:pt>
                <c:pt idx="45">
                  <c:v>0.41023404289999998</c:v>
                </c:pt>
                <c:pt idx="46">
                  <c:v>0.42784458400000008</c:v>
                </c:pt>
                <c:pt idx="47">
                  <c:v>0.41786165269999997</c:v>
                </c:pt>
                <c:pt idx="48">
                  <c:v>0.39972881100000007</c:v>
                </c:pt>
                <c:pt idx="50">
                  <c:v>0.30314355000000004</c:v>
                </c:pt>
                <c:pt idx="51">
                  <c:v>0.29199105000000003</c:v>
                </c:pt>
                <c:pt idx="52">
                  <c:v>0.35863711399999992</c:v>
                </c:pt>
                <c:pt idx="53">
                  <c:v>0.40098777150000003</c:v>
                </c:pt>
                <c:pt idx="54">
                  <c:v>0.40148592124999999</c:v>
                </c:pt>
                <c:pt idx="55">
                  <c:v>0.39125968</c:v>
                </c:pt>
                <c:pt idx="56">
                  <c:v>0.39810402749999996</c:v>
                </c:pt>
                <c:pt idx="57">
                  <c:v>0.40233430800000008</c:v>
                </c:pt>
                <c:pt idx="58">
                  <c:v>0.45023746739999998</c:v>
                </c:pt>
                <c:pt idx="59">
                  <c:v>0.42267935550000019</c:v>
                </c:pt>
                <c:pt idx="60">
                  <c:v>0.38924275059999996</c:v>
                </c:pt>
                <c:pt idx="61">
                  <c:v>0.40514864699999997</c:v>
                </c:pt>
                <c:pt idx="62">
                  <c:v>0.33996319999999997</c:v>
                </c:pt>
                <c:pt idx="63">
                  <c:v>0.34637163289999989</c:v>
                </c:pt>
                <c:pt idx="69">
                  <c:v>0.36016540000000002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79-421A-8633-847DC65FD559}"/>
            </c:ext>
          </c:extLst>
        </c:ser>
        <c:ser>
          <c:idx val="1"/>
          <c:order val="1"/>
          <c:tx>
            <c:v>AnitaMox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'stable MEDIA'!$AO$4:$AO$87</c:f>
              <c:numCache>
                <c:formatCode>0.00</c:formatCode>
                <c:ptCount val="84"/>
                <c:pt idx="0">
                  <c:v>7.1175776105265445E-2</c:v>
                </c:pt>
                <c:pt idx="6">
                  <c:v>0.14420759999999999</c:v>
                </c:pt>
                <c:pt idx="7">
                  <c:v>0.48891993508952852</c:v>
                </c:pt>
                <c:pt idx="8">
                  <c:v>7.0982502543284226E-2</c:v>
                </c:pt>
                <c:pt idx="14">
                  <c:v>9.0804119819262757E-2</c:v>
                </c:pt>
                <c:pt idx="15">
                  <c:v>9.0698168517875738E-2</c:v>
                </c:pt>
                <c:pt idx="28">
                  <c:v>9.1399141956799407E-2</c:v>
                </c:pt>
                <c:pt idx="29">
                  <c:v>0.25093612363081413</c:v>
                </c:pt>
                <c:pt idx="30">
                  <c:v>0.26991216336921486</c:v>
                </c:pt>
                <c:pt idx="31">
                  <c:v>0.43241431531028468</c:v>
                </c:pt>
                <c:pt idx="33">
                  <c:v>0.2300214311326215</c:v>
                </c:pt>
                <c:pt idx="34">
                  <c:v>0.59675247317164382</c:v>
                </c:pt>
                <c:pt idx="35">
                  <c:v>7.8302540312358213E-2</c:v>
                </c:pt>
                <c:pt idx="40">
                  <c:v>0.21311989872705556</c:v>
                </c:pt>
                <c:pt idx="41">
                  <c:v>0.70498657809309639</c:v>
                </c:pt>
                <c:pt idx="43">
                  <c:v>0.16161083776879834</c:v>
                </c:pt>
                <c:pt idx="44">
                  <c:v>0.15881957545543424</c:v>
                </c:pt>
                <c:pt idx="45">
                  <c:v>0.71444856386667288</c:v>
                </c:pt>
                <c:pt idx="47">
                  <c:v>0.17877678769959887</c:v>
                </c:pt>
                <c:pt idx="48">
                  <c:v>8.92353497094555E-2</c:v>
                </c:pt>
                <c:pt idx="51">
                  <c:v>0.22498471361770248</c:v>
                </c:pt>
                <c:pt idx="52">
                  <c:v>0.30552967020023641</c:v>
                </c:pt>
                <c:pt idx="53">
                  <c:v>0.32433419931680252</c:v>
                </c:pt>
                <c:pt idx="54">
                  <c:v>0.48691721430348345</c:v>
                </c:pt>
                <c:pt idx="55">
                  <c:v>0.54548941693013486</c:v>
                </c:pt>
                <c:pt idx="56">
                  <c:v>0.89071879409720323</c:v>
                </c:pt>
                <c:pt idx="57">
                  <c:v>1.10530162245699</c:v>
                </c:pt>
                <c:pt idx="58">
                  <c:v>0.57998950278937289</c:v>
                </c:pt>
                <c:pt idx="59">
                  <c:v>0.37945682860522562</c:v>
                </c:pt>
                <c:pt idx="60">
                  <c:v>0.64078499714838266</c:v>
                </c:pt>
                <c:pt idx="61">
                  <c:v>0.49130764969852803</c:v>
                </c:pt>
                <c:pt idx="62">
                  <c:v>0.57158545082835432</c:v>
                </c:pt>
                <c:pt idx="63">
                  <c:v>0.19439688200300503</c:v>
                </c:pt>
                <c:pt idx="64">
                  <c:v>0.21671745251886995</c:v>
                </c:pt>
                <c:pt idx="65">
                  <c:v>0.22584235398215913</c:v>
                </c:pt>
                <c:pt idx="66">
                  <c:v>0.2342949637934893</c:v>
                </c:pt>
                <c:pt idx="67">
                  <c:v>0.28190351152348175</c:v>
                </c:pt>
                <c:pt idx="68">
                  <c:v>0.38116650606599634</c:v>
                </c:pt>
                <c:pt idx="69">
                  <c:v>5.5367218326969815E-2</c:v>
                </c:pt>
                <c:pt idx="70">
                  <c:v>0.51520499867320835</c:v>
                </c:pt>
                <c:pt idx="73">
                  <c:v>5.7830705807463079E-2</c:v>
                </c:pt>
                <c:pt idx="74">
                  <c:v>6.8716974450593063E-2</c:v>
                </c:pt>
                <c:pt idx="77">
                  <c:v>6.615093596008742E-2</c:v>
                </c:pt>
                <c:pt idx="78">
                  <c:v>7.9856946640147836E-2</c:v>
                </c:pt>
                <c:pt idx="79">
                  <c:v>0.6327152184330509</c:v>
                </c:pt>
                <c:pt idx="80">
                  <c:v>0.99995662423532594</c:v>
                </c:pt>
                <c:pt idx="81">
                  <c:v>0.19269540201682486</c:v>
                </c:pt>
                <c:pt idx="82">
                  <c:v>2.6924477830995913E-2</c:v>
                </c:pt>
                <c:pt idx="83">
                  <c:v>5.4534523646266292E-2</c:v>
                </c:pt>
              </c:numCache>
            </c:numRef>
          </c:xVal>
          <c:yVal>
            <c:numRef>
              <c:f>'stable MEDIA'!$AP$4:$AP$87</c:f>
              <c:numCache>
                <c:formatCode>0.00</c:formatCode>
                <c:ptCount val="84"/>
                <c:pt idx="0">
                  <c:v>4.2803081850937369E-2</c:v>
                </c:pt>
                <c:pt idx="6">
                  <c:v>0.130157304</c:v>
                </c:pt>
                <c:pt idx="7">
                  <c:v>0.42986629614067529</c:v>
                </c:pt>
                <c:pt idx="8">
                  <c:v>6.1982645922834624E-2</c:v>
                </c:pt>
                <c:pt idx="14">
                  <c:v>8.7513764373956471E-2</c:v>
                </c:pt>
                <c:pt idx="15">
                  <c:v>8.7234937356820544E-2</c:v>
                </c:pt>
                <c:pt idx="30">
                  <c:v>0.25739414898768614</c:v>
                </c:pt>
                <c:pt idx="31">
                  <c:v>0.40323739105071432</c:v>
                </c:pt>
                <c:pt idx="33">
                  <c:v>0.2166652986203324</c:v>
                </c:pt>
                <c:pt idx="34">
                  <c:v>0.47486084158016739</c:v>
                </c:pt>
                <c:pt idx="35">
                  <c:v>6.2262537610735469E-2</c:v>
                </c:pt>
                <c:pt idx="40">
                  <c:v>9.0166081752626526E-2</c:v>
                </c:pt>
                <c:pt idx="41">
                  <c:v>0.2720464548125669</c:v>
                </c:pt>
                <c:pt idx="43">
                  <c:v>7.2402933399040484E-2</c:v>
                </c:pt>
                <c:pt idx="45">
                  <c:v>0.35598465933914752</c:v>
                </c:pt>
                <c:pt idx="47">
                  <c:v>9.6762345205505432E-2</c:v>
                </c:pt>
                <c:pt idx="48">
                  <c:v>4.9521344735224501E-2</c:v>
                </c:pt>
                <c:pt idx="51">
                  <c:v>0.17878560428969345</c:v>
                </c:pt>
                <c:pt idx="52">
                  <c:v>0.24269993557438768</c:v>
                </c:pt>
                <c:pt idx="53">
                  <c:v>0.24825377147205793</c:v>
                </c:pt>
                <c:pt idx="54">
                  <c:v>0.33705261162590872</c:v>
                </c:pt>
                <c:pt idx="55">
                  <c:v>0.28701505313865194</c:v>
                </c:pt>
                <c:pt idx="56">
                  <c:v>0.33518976097747766</c:v>
                </c:pt>
                <c:pt idx="57">
                  <c:v>0.28377464524440549</c:v>
                </c:pt>
                <c:pt idx="62">
                  <c:v>0.22189351829957502</c:v>
                </c:pt>
                <c:pt idx="63">
                  <c:v>0.11493135222832548</c:v>
                </c:pt>
                <c:pt idx="64">
                  <c:v>0.12458911918068834</c:v>
                </c:pt>
                <c:pt idx="65">
                  <c:v>0.12494057735673778</c:v>
                </c:pt>
                <c:pt idx="66">
                  <c:v>0.12347562790813928</c:v>
                </c:pt>
                <c:pt idx="67">
                  <c:v>0.13945651572353823</c:v>
                </c:pt>
                <c:pt idx="68">
                  <c:v>0.19188711544185566</c:v>
                </c:pt>
                <c:pt idx="69">
                  <c:v>2.0486229376952454E-2</c:v>
                </c:pt>
                <c:pt idx="70">
                  <c:v>0.1938241224089656</c:v>
                </c:pt>
                <c:pt idx="73">
                  <c:v>2.3902009691636958E-2</c:v>
                </c:pt>
                <c:pt idx="74">
                  <c:v>3.0065434220976427E-2</c:v>
                </c:pt>
                <c:pt idx="77">
                  <c:v>3.3493406464159124E-2</c:v>
                </c:pt>
                <c:pt idx="78">
                  <c:v>2.8841015468212626E-2</c:v>
                </c:pt>
                <c:pt idx="79">
                  <c:v>0.20429917922128718</c:v>
                </c:pt>
                <c:pt idx="80">
                  <c:v>0.41329835149059879</c:v>
                </c:pt>
                <c:pt idx="81">
                  <c:v>7.9849980101984533E-2</c:v>
                </c:pt>
                <c:pt idx="82">
                  <c:v>9.7368897742817484E-3</c:v>
                </c:pt>
                <c:pt idx="83">
                  <c:v>1.9682106159247009E-2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79-421A-8633-847DC65FD559}"/>
            </c:ext>
          </c:extLst>
        </c:ser>
        <c:ser>
          <c:idx val="2"/>
          <c:order val="2"/>
          <c:tx>
            <c:v>ELAN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'stable G-SBR'!$AL$4:$AL$93</c:f>
              <c:numCache>
                <c:formatCode>0.00</c:formatCode>
                <c:ptCount val="90"/>
                <c:pt idx="0">
                  <c:v>0.42843015660125555</c:v>
                </c:pt>
                <c:pt idx="14">
                  <c:v>0.61404372457308443</c:v>
                </c:pt>
                <c:pt idx="15">
                  <c:v>0.26900168067226887</c:v>
                </c:pt>
                <c:pt idx="27">
                  <c:v>0.424122048892563</c:v>
                </c:pt>
                <c:pt idx="28">
                  <c:v>0.41107839279961195</c:v>
                </c:pt>
                <c:pt idx="29">
                  <c:v>0.37073185689566862</c:v>
                </c:pt>
                <c:pt idx="30">
                  <c:v>0.33753313858585543</c:v>
                </c:pt>
                <c:pt idx="31">
                  <c:v>0.35850008675898359</c:v>
                </c:pt>
                <c:pt idx="32">
                  <c:v>0.33789778206364507</c:v>
                </c:pt>
                <c:pt idx="33">
                  <c:v>0.34579657162595889</c:v>
                </c:pt>
                <c:pt idx="34">
                  <c:v>0.26867765836375629</c:v>
                </c:pt>
                <c:pt idx="35">
                  <c:v>0.27277646300071601</c:v>
                </c:pt>
                <c:pt idx="36">
                  <c:v>0.30300943539162611</c:v>
                </c:pt>
                <c:pt idx="37">
                  <c:v>0.28374770660904308</c:v>
                </c:pt>
                <c:pt idx="53">
                  <c:v>1.7305707779809105</c:v>
                </c:pt>
                <c:pt idx="54">
                  <c:v>1.6698543988596999</c:v>
                </c:pt>
                <c:pt idx="55">
                  <c:v>1.6874411011126949</c:v>
                </c:pt>
                <c:pt idx="56">
                  <c:v>0.78780000000000006</c:v>
                </c:pt>
                <c:pt idx="57">
                  <c:v>0.80124000000000017</c:v>
                </c:pt>
                <c:pt idx="72">
                  <c:v>1.5809144615384612</c:v>
                </c:pt>
                <c:pt idx="73">
                  <c:v>1.3920000000000001</c:v>
                </c:pt>
                <c:pt idx="77">
                  <c:v>0.67868421052631589</c:v>
                </c:pt>
                <c:pt idx="78">
                  <c:v>0.77046000000000003</c:v>
                </c:pt>
                <c:pt idx="79">
                  <c:v>0.7154876033057852</c:v>
                </c:pt>
                <c:pt idx="80">
                  <c:v>0.69927950310559006</c:v>
                </c:pt>
                <c:pt idx="85">
                  <c:v>0.87129780564263326</c:v>
                </c:pt>
                <c:pt idx="86">
                  <c:v>1.0853061224489795</c:v>
                </c:pt>
                <c:pt idx="87">
                  <c:v>0.71966511627906982</c:v>
                </c:pt>
                <c:pt idx="88">
                  <c:v>0.72874285714285714</c:v>
                </c:pt>
                <c:pt idx="89">
                  <c:v>0.67222325581395337</c:v>
                </c:pt>
              </c:numCache>
            </c:numRef>
          </c:xVal>
          <c:yVal>
            <c:numRef>
              <c:f>'stable G-SBR'!$AM$4:$AM$93</c:f>
              <c:numCache>
                <c:formatCode>0.00</c:formatCode>
                <c:ptCount val="90"/>
                <c:pt idx="0">
                  <c:v>0.38379048345580186</c:v>
                </c:pt>
                <c:pt idx="28">
                  <c:v>0.23578361891352739</c:v>
                </c:pt>
                <c:pt idx="29">
                  <c:v>0.21535246963930557</c:v>
                </c:pt>
                <c:pt idx="30">
                  <c:v>0.26178383029956892</c:v>
                </c:pt>
                <c:pt idx="56">
                  <c:v>9.2579999999999982E-2</c:v>
                </c:pt>
                <c:pt idx="57">
                  <c:v>8.8860000000000106E-2</c:v>
                </c:pt>
                <c:pt idx="72">
                  <c:v>1.4832898461538457</c:v>
                </c:pt>
                <c:pt idx="73">
                  <c:v>1.2829797101449278</c:v>
                </c:pt>
                <c:pt idx="85">
                  <c:v>0.76696927899686518</c:v>
                </c:pt>
                <c:pt idx="86">
                  <c:v>0.9521632653061225</c:v>
                </c:pt>
                <c:pt idx="87">
                  <c:v>0.63436465116279073</c:v>
                </c:pt>
                <c:pt idx="88">
                  <c:v>0.60853714285714289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79-421A-8633-847DC65FD559}"/>
            </c:ext>
          </c:extLst>
        </c:ser>
        <c:ser>
          <c:idx val="3"/>
          <c:order val="3"/>
          <c:tx>
            <c:v>CASS LTP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'stable LTP'!$AK$4:$AK$93</c:f>
              <c:numCache>
                <c:formatCode>0.00</c:formatCode>
                <c:ptCount val="90"/>
                <c:pt idx="0">
                  <c:v>0.26239165683701721</c:v>
                </c:pt>
                <c:pt idx="1">
                  <c:v>0.28132204276348421</c:v>
                </c:pt>
                <c:pt idx="12">
                  <c:v>0.46333698563428294</c:v>
                </c:pt>
                <c:pt idx="13">
                  <c:v>0.16817682547412277</c:v>
                </c:pt>
                <c:pt idx="14">
                  <c:v>0.2478507155804453</c:v>
                </c:pt>
                <c:pt idx="15">
                  <c:v>0.24766155344533725</c:v>
                </c:pt>
                <c:pt idx="27">
                  <c:v>7.6254914373833291E-2</c:v>
                </c:pt>
                <c:pt idx="28">
                  <c:v>0.1663564826087349</c:v>
                </c:pt>
                <c:pt idx="29">
                  <c:v>0.27059106358610863</c:v>
                </c:pt>
                <c:pt idx="33">
                  <c:v>0.21300731361992625</c:v>
                </c:pt>
                <c:pt idx="34">
                  <c:v>6.2052328815301781E-2</c:v>
                </c:pt>
                <c:pt idx="35">
                  <c:v>0.26171668966263567</c:v>
                </c:pt>
                <c:pt idx="36">
                  <c:v>0.51109639639639637</c:v>
                </c:pt>
                <c:pt idx="37">
                  <c:v>0.45150104266428587</c:v>
                </c:pt>
                <c:pt idx="38">
                  <c:v>0.38481893289686081</c:v>
                </c:pt>
                <c:pt idx="39">
                  <c:v>0.50232395909422956</c:v>
                </c:pt>
                <c:pt idx="40">
                  <c:v>0.13155198739279819</c:v>
                </c:pt>
                <c:pt idx="41">
                  <c:v>0.19454068933798663</c:v>
                </c:pt>
                <c:pt idx="42">
                  <c:v>0.43351390561732911</c:v>
                </c:pt>
                <c:pt idx="43">
                  <c:v>0.38155133511890266</c:v>
                </c:pt>
                <c:pt idx="44">
                  <c:v>0.28527128930732532</c:v>
                </c:pt>
                <c:pt idx="45">
                  <c:v>0.40161361361361347</c:v>
                </c:pt>
                <c:pt idx="46">
                  <c:v>0.20860457755052356</c:v>
                </c:pt>
                <c:pt idx="47">
                  <c:v>0.36947005437870306</c:v>
                </c:pt>
                <c:pt idx="48">
                  <c:v>0.34179233287341398</c:v>
                </c:pt>
                <c:pt idx="49">
                  <c:v>1.8522450378306233E-2</c:v>
                </c:pt>
                <c:pt idx="50">
                  <c:v>4.9112333053774507E-2</c:v>
                </c:pt>
                <c:pt idx="51">
                  <c:v>0.20740982649315984</c:v>
                </c:pt>
                <c:pt idx="52">
                  <c:v>0.3709492465438412</c:v>
                </c:pt>
                <c:pt idx="54">
                  <c:v>0.2571581110389668</c:v>
                </c:pt>
                <c:pt idx="55">
                  <c:v>0.23873739956172391</c:v>
                </c:pt>
                <c:pt idx="56">
                  <c:v>0.33047308569831096</c:v>
                </c:pt>
                <c:pt idx="57">
                  <c:v>0.32057596335073812</c:v>
                </c:pt>
                <c:pt idx="58">
                  <c:v>0.39111550604658712</c:v>
                </c:pt>
                <c:pt idx="59">
                  <c:v>0.41054227200173155</c:v>
                </c:pt>
                <c:pt idx="60">
                  <c:v>0.44219219516814118</c:v>
                </c:pt>
                <c:pt idx="61">
                  <c:v>0.30991692142593047</c:v>
                </c:pt>
                <c:pt idx="62">
                  <c:v>0.27528658388117849</c:v>
                </c:pt>
                <c:pt idx="65">
                  <c:v>0.35416916916916913</c:v>
                </c:pt>
                <c:pt idx="66">
                  <c:v>0.33314410807203598</c:v>
                </c:pt>
                <c:pt idx="67">
                  <c:v>0.26391998755512269</c:v>
                </c:pt>
                <c:pt idx="68">
                  <c:v>0.27514462209957702</c:v>
                </c:pt>
                <c:pt idx="69">
                  <c:v>0.36569556944331727</c:v>
                </c:pt>
                <c:pt idx="70">
                  <c:v>0.82664329194058928</c:v>
                </c:pt>
                <c:pt idx="71">
                  <c:v>0.25798868057246443</c:v>
                </c:pt>
                <c:pt idx="72">
                  <c:v>0.39575344123402673</c:v>
                </c:pt>
                <c:pt idx="73">
                  <c:v>0.27619787354922493</c:v>
                </c:pt>
                <c:pt idx="74">
                  <c:v>0.32525432594756915</c:v>
                </c:pt>
                <c:pt idx="75">
                  <c:v>0.3003948994039084</c:v>
                </c:pt>
                <c:pt idx="76">
                  <c:v>0.22515928090252413</c:v>
                </c:pt>
                <c:pt idx="77">
                  <c:v>0.2380404278152026</c:v>
                </c:pt>
                <c:pt idx="81">
                  <c:v>0.25631561741922104</c:v>
                </c:pt>
                <c:pt idx="82">
                  <c:v>0.23242941139337536</c:v>
                </c:pt>
                <c:pt idx="83">
                  <c:v>0.17978647566485406</c:v>
                </c:pt>
                <c:pt idx="84">
                  <c:v>0.16611333856378907</c:v>
                </c:pt>
                <c:pt idx="85">
                  <c:v>0.14741391391391395</c:v>
                </c:pt>
                <c:pt idx="86">
                  <c:v>0.26868395422449476</c:v>
                </c:pt>
                <c:pt idx="87">
                  <c:v>0.27337061385710032</c:v>
                </c:pt>
                <c:pt idx="88">
                  <c:v>0.31051862673484287</c:v>
                </c:pt>
              </c:numCache>
            </c:numRef>
          </c:xVal>
          <c:yVal>
            <c:numRef>
              <c:f>'stable LTP'!$AL$4:$AL$93</c:f>
              <c:numCache>
                <c:formatCode>0.00</c:formatCode>
                <c:ptCount val="90"/>
                <c:pt idx="0">
                  <c:v>0.22571113884366678</c:v>
                </c:pt>
                <c:pt idx="1">
                  <c:v>0.227293960324077</c:v>
                </c:pt>
                <c:pt idx="12">
                  <c:v>0.13701874219444932</c:v>
                </c:pt>
                <c:pt idx="13">
                  <c:v>4.5682680721797972E-2</c:v>
                </c:pt>
                <c:pt idx="27">
                  <c:v>3.5418023019419135E-3</c:v>
                </c:pt>
                <c:pt idx="29">
                  <c:v>1.8396279917676343E-2</c:v>
                </c:pt>
                <c:pt idx="33">
                  <c:v>3.0629197336666737E-2</c:v>
                </c:pt>
                <c:pt idx="34">
                  <c:v>3.1585488693240578E-3</c:v>
                </c:pt>
                <c:pt idx="36">
                  <c:v>5.4195266166453669E-2</c:v>
                </c:pt>
                <c:pt idx="37">
                  <c:v>7.1999253338919045E-2</c:v>
                </c:pt>
                <c:pt idx="38">
                  <c:v>4.9185632085794101E-2</c:v>
                </c:pt>
                <c:pt idx="39">
                  <c:v>5.1422584931130173E-2</c:v>
                </c:pt>
                <c:pt idx="40">
                  <c:v>8.9840831964971991E-3</c:v>
                </c:pt>
                <c:pt idx="42">
                  <c:v>8.0014802586233891E-2</c:v>
                </c:pt>
                <c:pt idx="44">
                  <c:v>3.918210947901022E-2</c:v>
                </c:pt>
                <c:pt idx="45">
                  <c:v>5.7322514718341343E-2</c:v>
                </c:pt>
                <c:pt idx="46">
                  <c:v>3.1604922297038152E-2</c:v>
                </c:pt>
                <c:pt idx="47">
                  <c:v>4.5833376719952211E-2</c:v>
                </c:pt>
                <c:pt idx="48">
                  <c:v>5.8735797277091474E-2</c:v>
                </c:pt>
                <c:pt idx="49">
                  <c:v>4.0003819040842015E-3</c:v>
                </c:pt>
                <c:pt idx="52">
                  <c:v>4.2428148356665175E-2</c:v>
                </c:pt>
                <c:pt idx="54">
                  <c:v>4.8133304474823904E-2</c:v>
                </c:pt>
                <c:pt idx="55">
                  <c:v>3.5385296344959127E-2</c:v>
                </c:pt>
                <c:pt idx="56">
                  <c:v>3.8113118845363961E-2</c:v>
                </c:pt>
                <c:pt idx="57">
                  <c:v>3.3757970268233448E-2</c:v>
                </c:pt>
                <c:pt idx="62">
                  <c:v>4.8174012749103712E-2</c:v>
                </c:pt>
                <c:pt idx="65">
                  <c:v>0.1044236387402299</c:v>
                </c:pt>
                <c:pt idx="66">
                  <c:v>7.4335550826836974E-2</c:v>
                </c:pt>
                <c:pt idx="67">
                  <c:v>6.6944397046101792E-2</c:v>
                </c:pt>
                <c:pt idx="68">
                  <c:v>6.6956840040816729E-2</c:v>
                </c:pt>
                <c:pt idx="69">
                  <c:v>6.7511887919959102E-2</c:v>
                </c:pt>
                <c:pt idx="70">
                  <c:v>0.15195327561152502</c:v>
                </c:pt>
                <c:pt idx="71">
                  <c:v>3.7795969680141574E-2</c:v>
                </c:pt>
                <c:pt idx="72">
                  <c:v>6.9820192780505205E-2</c:v>
                </c:pt>
                <c:pt idx="73">
                  <c:v>3.7696592471559057E-2</c:v>
                </c:pt>
                <c:pt idx="74">
                  <c:v>4.4901272246292992E-2</c:v>
                </c:pt>
                <c:pt idx="75">
                  <c:v>4.3976639603474615E-2</c:v>
                </c:pt>
                <c:pt idx="76">
                  <c:v>5.4607634073669142E-2</c:v>
                </c:pt>
                <c:pt idx="77">
                  <c:v>4.3405416812178091E-2</c:v>
                </c:pt>
                <c:pt idx="81">
                  <c:v>9.974460958925821E-2</c:v>
                </c:pt>
                <c:pt idx="82">
                  <c:v>7.5355600963517858E-2</c:v>
                </c:pt>
                <c:pt idx="83">
                  <c:v>7.3774297161872893E-2</c:v>
                </c:pt>
                <c:pt idx="84">
                  <c:v>4.8071224637799462E-2</c:v>
                </c:pt>
                <c:pt idx="85">
                  <c:v>1.8900700347252615E-2</c:v>
                </c:pt>
                <c:pt idx="86">
                  <c:v>6.9323207193654701E-2</c:v>
                </c:pt>
                <c:pt idx="87">
                  <c:v>6.6801972546540744E-2</c:v>
                </c:pt>
                <c:pt idx="88">
                  <c:v>7.392458738850996E-2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C79-421A-8633-847DC65FD559}"/>
            </c:ext>
          </c:extLst>
        </c:ser>
        <c:ser>
          <c:idx val="4"/>
          <c:order val="4"/>
          <c:tx>
            <c:v>Trend</c:v>
          </c:tx>
          <c:spPr>
            <a:ln w="19050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Sheet1!$K$3:$L$3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xVal>
          <c:yVal>
            <c:numRef>
              <c:f>Sheet1!$K$4:$L$4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C79-421A-8633-847DC65F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851496"/>
        <c:axId val="910850512"/>
      </c:scatterChart>
      <c:valAx>
        <c:axId val="910851496"/>
        <c:scaling>
          <c:orientation val="minMax"/>
          <c:max val="3"/>
          <c:min val="0"/>
        </c:scaling>
        <c:delete val="0"/>
        <c:axPos val="b"/>
        <c:numFmt formatCode="0.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850512"/>
        <c:crosses val="autoZero"/>
        <c:crossBetween val="midCat"/>
      </c:valAx>
      <c:valAx>
        <c:axId val="910850512"/>
        <c:scaling>
          <c:orientation val="minMax"/>
          <c:max val="3"/>
          <c:min val="0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851496"/>
        <c:crosses val="autoZero"/>
        <c:crossBetween val="midCat"/>
      </c:valAx>
      <c:spPr>
        <a:noFill/>
        <a:ln w="19050">
          <a:solidFill>
            <a:schemeClr val="tx1">
              <a:lumMod val="75000"/>
              <a:lumOff val="25000"/>
            </a:schemeClr>
          </a:solidFill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Nitrogen removal rate</c:v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DataAnalysing!$G$89:$G$92</c:f>
                <c:numCache>
                  <c:formatCode>General</c:formatCode>
                  <c:ptCount val="4"/>
                  <c:pt idx="0">
                    <c:v>4.1696461249801579E-2</c:v>
                  </c:pt>
                  <c:pt idx="1">
                    <c:v>4.8146926253655485E-2</c:v>
                  </c:pt>
                  <c:pt idx="2">
                    <c:v>4.9542778388775771E-2</c:v>
                  </c:pt>
                  <c:pt idx="3">
                    <c:v>5.1067527070872615E-2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DataAnalysing!$A$89:$A$92</c:f>
              <c:strCache>
                <c:ptCount val="4"/>
                <c:pt idx="0">
                  <c:v>SSBR</c:v>
                </c:pt>
                <c:pt idx="1">
                  <c:v>MEDIA</c:v>
                </c:pt>
                <c:pt idx="2">
                  <c:v>GSBR</c:v>
                </c:pt>
                <c:pt idx="3">
                  <c:v>LTP</c:v>
                </c:pt>
              </c:strCache>
            </c:strRef>
          </c:cat>
          <c:val>
            <c:numRef>
              <c:f>DataAnalysing!$D$89:$D$92</c:f>
              <c:numCache>
                <c:formatCode>0.00</c:formatCode>
                <c:ptCount val="4"/>
                <c:pt idx="0">
                  <c:v>0.744699029525</c:v>
                </c:pt>
                <c:pt idx="1">
                  <c:v>0.20435822925012892</c:v>
                </c:pt>
                <c:pt idx="2">
                  <c:v>0.27792694109866117</c:v>
                </c:pt>
                <c:pt idx="3">
                  <c:v>0.12254440713316016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7D-490A-B39E-6F01AA4A8FF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716175848"/>
        <c:axId val="716169616"/>
      </c:barChart>
      <c:catAx>
        <c:axId val="716175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169616"/>
        <c:crosses val="autoZero"/>
        <c:auto val="1"/>
        <c:lblAlgn val="ctr"/>
        <c:lblOffset val="100"/>
        <c:noMultiLvlLbl val="0"/>
      </c:catAx>
      <c:valAx>
        <c:axId val="716169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" sourceLinked="0"/>
        <c:majorTickMark val="cross"/>
        <c:minorTickMark val="none"/>
        <c:tickLblPos val="nextTo"/>
        <c:spPr>
          <a:noFill/>
          <a:ln w="19050">
            <a:solidFill>
              <a:schemeClr val="tx1"/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17584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(1) Nitrate to ammonia ratio</a:t>
            </a:r>
          </a:p>
        </c:rich>
      </c:tx>
      <c:layout>
        <c:manualLayout>
          <c:xMode val="edge"/>
          <c:yMode val="edge"/>
          <c:x val="0.40508238050357626"/>
          <c:y val="2.96257037271001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854274148581175E-2"/>
          <c:y val="0.10719232773586376"/>
          <c:w val="0.88508764244334315"/>
          <c:h val="0.71329037061988643"/>
        </c:manualLayout>
      </c:layout>
      <c:scatterChart>
        <c:scatterStyle val="lineMarker"/>
        <c:varyColors val="0"/>
        <c:ser>
          <c:idx val="0"/>
          <c:order val="0"/>
          <c:tx>
            <c:v>S-SBR</c:v>
          </c:tx>
          <c:spPr>
            <a:ln w="15875">
              <a:noFill/>
            </a:ln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'S-SBR'!$B$4:$B$74</c:f>
              <c:numCache>
                <c:formatCode>General</c:formatCode>
                <c:ptCount val="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</c:numCache>
            </c:numRef>
          </c:xVal>
          <c:yVal>
            <c:numRef>
              <c:f>'S-SBR'!$AB$4:$AB$74</c:f>
              <c:numCache>
                <c:formatCode>0%</c:formatCode>
                <c:ptCount val="71"/>
                <c:pt idx="0">
                  <c:v>4.6476725327394646E-4</c:v>
                </c:pt>
                <c:pt idx="6">
                  <c:v>2.3175772525750858E-3</c:v>
                </c:pt>
                <c:pt idx="7">
                  <c:v>2.3350546877505853E-3</c:v>
                </c:pt>
                <c:pt idx="8">
                  <c:v>3.3298213804425062E-3</c:v>
                </c:pt>
                <c:pt idx="10">
                  <c:v>8.6722810914194939E-3</c:v>
                </c:pt>
                <c:pt idx="11">
                  <c:v>8.2682352211785864E-3</c:v>
                </c:pt>
                <c:pt idx="14">
                  <c:v>6.460926987069235E-4</c:v>
                </c:pt>
                <c:pt idx="15">
                  <c:v>1.5686533523773355E-4</c:v>
                </c:pt>
                <c:pt idx="27">
                  <c:v>1.574570100926392E-3</c:v>
                </c:pt>
                <c:pt idx="28">
                  <c:v>1.6392648497824971E-3</c:v>
                </c:pt>
                <c:pt idx="29">
                  <c:v>1.6018075133202939E-4</c:v>
                </c:pt>
                <c:pt idx="30">
                  <c:v>9.9663351185921931E-3</c:v>
                </c:pt>
                <c:pt idx="31">
                  <c:v>5.4992785636723326E-3</c:v>
                </c:pt>
                <c:pt idx="32">
                  <c:v>7.9470198675496706E-3</c:v>
                </c:pt>
                <c:pt idx="33">
                  <c:v>9.4189452033356449E-3</c:v>
                </c:pt>
                <c:pt idx="34">
                  <c:v>1.1983747823369204E-2</c:v>
                </c:pt>
                <c:pt idx="35">
                  <c:v>1.0729507746903984E-2</c:v>
                </c:pt>
                <c:pt idx="36">
                  <c:v>1.4311970833709965E-4</c:v>
                </c:pt>
                <c:pt idx="37">
                  <c:v>1.6392757296266297E-2</c:v>
                </c:pt>
                <c:pt idx="38">
                  <c:v>2.1897281550272785E-3</c:v>
                </c:pt>
                <c:pt idx="39">
                  <c:v>1.550260754616606E-2</c:v>
                </c:pt>
                <c:pt idx="41">
                  <c:v>1.2784387393028594E-2</c:v>
                </c:pt>
                <c:pt idx="42">
                  <c:v>1.2435411361049467E-2</c:v>
                </c:pt>
                <c:pt idx="43">
                  <c:v>9.9506337959379982E-3</c:v>
                </c:pt>
                <c:pt idx="44">
                  <c:v>1.1931590433349666E-2</c:v>
                </c:pt>
                <c:pt idx="45">
                  <c:v>1.6401084197986983E-4</c:v>
                </c:pt>
                <c:pt idx="46">
                  <c:v>1.4445095931463568E-2</c:v>
                </c:pt>
                <c:pt idx="47">
                  <c:v>8.5155980442484583E-3</c:v>
                </c:pt>
                <c:pt idx="48">
                  <c:v>6.6184048671830862E-3</c:v>
                </c:pt>
                <c:pt idx="50">
                  <c:v>8.1838964743388091E-3</c:v>
                </c:pt>
                <c:pt idx="51">
                  <c:v>3.368262606379898E-3</c:v>
                </c:pt>
                <c:pt idx="52">
                  <c:v>1.4740159579532688E-2</c:v>
                </c:pt>
                <c:pt idx="53">
                  <c:v>1.4660627041265832E-2</c:v>
                </c:pt>
                <c:pt idx="54">
                  <c:v>4.0222716343981087E-3</c:v>
                </c:pt>
                <c:pt idx="55">
                  <c:v>2.0256164502918877E-2</c:v>
                </c:pt>
                <c:pt idx="56">
                  <c:v>2.2784711590856013E-2</c:v>
                </c:pt>
                <c:pt idx="57">
                  <c:v>5.9647047731694561E-2</c:v>
                </c:pt>
                <c:pt idx="58">
                  <c:v>3.6994145583559575E-2</c:v>
                </c:pt>
                <c:pt idx="59">
                  <c:v>3.8431099638282201E-2</c:v>
                </c:pt>
                <c:pt idx="60">
                  <c:v>1.8525589058291273E-2</c:v>
                </c:pt>
                <c:pt idx="61">
                  <c:v>2.0478296506266858E-2</c:v>
                </c:pt>
                <c:pt idx="62">
                  <c:v>1.4874867136921443E-2</c:v>
                </c:pt>
                <c:pt idx="63">
                  <c:v>8.0235204855842214E-3</c:v>
                </c:pt>
                <c:pt idx="69">
                  <c:v>9.6205725018644519E-3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36-4D85-B74D-4F602227C569}"/>
            </c:ext>
          </c:extLst>
        </c:ser>
        <c:ser>
          <c:idx val="1"/>
          <c:order val="1"/>
          <c:tx>
            <c:v>Media</c:v>
          </c:tx>
          <c:spPr>
            <a:ln w="158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'1-Media'!$B$4:$B$87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'1-Media'!$Z$4:$Z$87</c:f>
              <c:numCache>
                <c:formatCode>0.00</c:formatCode>
                <c:ptCount val="84"/>
                <c:pt idx="0">
                  <c:v>3.7121534356753411E-4</c:v>
                </c:pt>
                <c:pt idx="6">
                  <c:v>1.4994845521851865E-4</c:v>
                </c:pt>
                <c:pt idx="7">
                  <c:v>4.5770156208226713E-3</c:v>
                </c:pt>
                <c:pt idx="8">
                  <c:v>1.5209125475285171E-4</c:v>
                </c:pt>
                <c:pt idx="14">
                  <c:v>1.1455559463397476E-3</c:v>
                </c:pt>
                <c:pt idx="15">
                  <c:v>1.317028013100267E-3</c:v>
                </c:pt>
                <c:pt idx="28">
                  <c:v>1.6600523954037296E-4</c:v>
                </c:pt>
                <c:pt idx="29">
                  <c:v>1.4497459169265386E-4</c:v>
                </c:pt>
                <c:pt idx="30">
                  <c:v>5.826541695739433E-5</c:v>
                </c:pt>
                <c:pt idx="31">
                  <c:v>1.374540924808316E-4</c:v>
                </c:pt>
                <c:pt idx="33">
                  <c:v>7.1407866177416727E-5</c:v>
                </c:pt>
                <c:pt idx="34">
                  <c:v>5.8419917663203309E-4</c:v>
                </c:pt>
                <c:pt idx="35">
                  <c:v>1.8935284719619717E-4</c:v>
                </c:pt>
                <c:pt idx="36">
                  <c:v>2.2111867017521342E-2</c:v>
                </c:pt>
                <c:pt idx="37">
                  <c:v>0.10045722202978867</c:v>
                </c:pt>
                <c:pt idx="40">
                  <c:v>1.6539174984542E-2</c:v>
                </c:pt>
                <c:pt idx="41">
                  <c:v>4.1154909652112409E-4</c:v>
                </c:pt>
                <c:pt idx="43">
                  <c:v>2.914787994716947E-4</c:v>
                </c:pt>
                <c:pt idx="44">
                  <c:v>2.6199085761069798E-4</c:v>
                </c:pt>
                <c:pt idx="45">
                  <c:v>1.0119497449461544E-2</c:v>
                </c:pt>
                <c:pt idx="47">
                  <c:v>6.6566288929392125E-3</c:v>
                </c:pt>
                <c:pt idx="48">
                  <c:v>3.1000935664603699E-3</c:v>
                </c:pt>
                <c:pt idx="51">
                  <c:v>1.7567598586053348E-2</c:v>
                </c:pt>
                <c:pt idx="52">
                  <c:v>1.7438935722847763E-2</c:v>
                </c:pt>
                <c:pt idx="53">
                  <c:v>4.9732240178190605E-3</c:v>
                </c:pt>
                <c:pt idx="54">
                  <c:v>4.1402827609338631E-2</c:v>
                </c:pt>
                <c:pt idx="55">
                  <c:v>3.1139277544288982E-2</c:v>
                </c:pt>
                <c:pt idx="56">
                  <c:v>2.6630877452795257E-2</c:v>
                </c:pt>
                <c:pt idx="57">
                  <c:v>1.7022464442376727E-2</c:v>
                </c:pt>
                <c:pt idx="60">
                  <c:v>0.19521864072291653</c:v>
                </c:pt>
                <c:pt idx="61">
                  <c:v>0.40729125564000068</c:v>
                </c:pt>
                <c:pt idx="62">
                  <c:v>8.602046415545031E-3</c:v>
                </c:pt>
                <c:pt idx="63">
                  <c:v>2.4919060850944483E-3</c:v>
                </c:pt>
                <c:pt idx="64">
                  <c:v>8.2001676307726125E-3</c:v>
                </c:pt>
                <c:pt idx="65">
                  <c:v>2.7791850618802931E-4</c:v>
                </c:pt>
                <c:pt idx="66">
                  <c:v>3.2578490826744456E-3</c:v>
                </c:pt>
                <c:pt idx="67">
                  <c:v>1.8190168451785393E-3</c:v>
                </c:pt>
                <c:pt idx="68">
                  <c:v>5.5306287779647266E-3</c:v>
                </c:pt>
                <c:pt idx="69">
                  <c:v>3.9926800865080689E-4</c:v>
                </c:pt>
                <c:pt idx="70">
                  <c:v>2.5011838649963425E-3</c:v>
                </c:pt>
                <c:pt idx="73">
                  <c:v>5.4771081733367014E-3</c:v>
                </c:pt>
                <c:pt idx="74">
                  <c:v>5.0737259636112796E-3</c:v>
                </c:pt>
                <c:pt idx="77">
                  <c:v>2.6271499527933995E-4</c:v>
                </c:pt>
                <c:pt idx="78">
                  <c:v>1.1984206033010815E-2</c:v>
                </c:pt>
                <c:pt idx="79">
                  <c:v>3.6519258202567762E-4</c:v>
                </c:pt>
                <c:pt idx="80">
                  <c:v>1.4864727592862224E-2</c:v>
                </c:pt>
                <c:pt idx="81">
                  <c:v>5.1135693960364373E-3</c:v>
                </c:pt>
                <c:pt idx="82">
                  <c:v>5.7307259485742173E-3</c:v>
                </c:pt>
                <c:pt idx="83">
                  <c:v>1.2593424633861837E-2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36-4D85-B74D-4F602227C569}"/>
            </c:ext>
          </c:extLst>
        </c:ser>
        <c:ser>
          <c:idx val="2"/>
          <c:order val="2"/>
          <c:tx>
            <c:v>G-SBR</c:v>
          </c:tx>
          <c:spPr>
            <a:ln w="15875">
              <a:noFill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'G-SBR'!$B$4:$B$8987</c:f>
              <c:numCache>
                <c:formatCode>General</c:formatCode>
                <c:ptCount val="89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'G-SBR'!$AA$4:$AA$8987</c:f>
              <c:numCache>
                <c:formatCode>0%</c:formatCode>
                <c:ptCount val="8984"/>
                <c:pt idx="0">
                  <c:v>2.5639988880746003E-2</c:v>
                </c:pt>
                <c:pt idx="14">
                  <c:v>7.4337632632314613E-3</c:v>
                </c:pt>
                <c:pt idx="15">
                  <c:v>1.7679089173325792E-4</c:v>
                </c:pt>
                <c:pt idx="27">
                  <c:v>0.14878248669972646</c:v>
                </c:pt>
                <c:pt idx="28">
                  <c:v>0.15881656462977925</c:v>
                </c:pt>
                <c:pt idx="29">
                  <c:v>2.0761245674740501E-2</c:v>
                </c:pt>
                <c:pt idx="30">
                  <c:v>8.0177383592017773E-2</c:v>
                </c:pt>
                <c:pt idx="31">
                  <c:v>7.1447913040114525E-3</c:v>
                </c:pt>
                <c:pt idx="32">
                  <c:v>1.0346647525755785E-2</c:v>
                </c:pt>
                <c:pt idx="33">
                  <c:v>1.6558385647416126E-2</c:v>
                </c:pt>
                <c:pt idx="34">
                  <c:v>6.693392967528454E-2</c:v>
                </c:pt>
                <c:pt idx="35">
                  <c:v>0.17801380775358472</c:v>
                </c:pt>
                <c:pt idx="36">
                  <c:v>5.7385991708487877E-2</c:v>
                </c:pt>
                <c:pt idx="37">
                  <c:v>0.16764839148164926</c:v>
                </c:pt>
                <c:pt idx="38">
                  <c:v>0.20482669672216861</c:v>
                </c:pt>
                <c:pt idx="39">
                  <c:v>0.218303639409167</c:v>
                </c:pt>
                <c:pt idx="40">
                  <c:v>0.13609656903041581</c:v>
                </c:pt>
                <c:pt idx="56">
                  <c:v>4.5111821086261982E-3</c:v>
                </c:pt>
                <c:pt idx="57">
                  <c:v>4.218750000000002E-3</c:v>
                </c:pt>
                <c:pt idx="72">
                  <c:v>1.9235440877158425E-2</c:v>
                </c:pt>
                <c:pt idx="73">
                  <c:v>2.3239306215665698E-2</c:v>
                </c:pt>
                <c:pt idx="77">
                  <c:v>0.25225664366466011</c:v>
                </c:pt>
                <c:pt idx="78">
                  <c:v>0.22558791972279388</c:v>
                </c:pt>
                <c:pt idx="79">
                  <c:v>0.20981291284892395</c:v>
                </c:pt>
                <c:pt idx="80">
                  <c:v>0.20478257445151357</c:v>
                </c:pt>
                <c:pt idx="85">
                  <c:v>2.5448008163810286E-2</c:v>
                </c:pt>
                <c:pt idx="86">
                  <c:v>2.3511134127395132E-2</c:v>
                </c:pt>
                <c:pt idx="87">
                  <c:v>2.7302617459458989E-2</c:v>
                </c:pt>
                <c:pt idx="88">
                  <c:v>6.8153639052730391E-2</c:v>
                </c:pt>
                <c:pt idx="89">
                  <c:v>8.0754393484783554E-2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36-4D85-B74D-4F602227C569}"/>
            </c:ext>
          </c:extLst>
        </c:ser>
        <c:ser>
          <c:idx val="3"/>
          <c:order val="3"/>
          <c:tx>
            <c:v>Stoichiometric ratio</c:v>
          </c:tx>
          <c:spPr>
            <a:ln w="9525">
              <a:solidFill>
                <a:schemeClr val="tx1">
                  <a:lumMod val="50000"/>
                  <a:lumOff val="50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DataPlots!$B$130:$B$131</c:f>
              <c:numCache>
                <c:formatCode>General</c:formatCode>
                <c:ptCount val="2"/>
                <c:pt idx="0">
                  <c:v>0</c:v>
                </c:pt>
                <c:pt idx="1">
                  <c:v>800</c:v>
                </c:pt>
              </c:numCache>
            </c:numRef>
          </c:xVal>
          <c:yVal>
            <c:numRef>
              <c:f>DataPlots!$C$130:$C$131</c:f>
              <c:numCache>
                <c:formatCode>0%</c:formatCode>
                <c:ptCount val="2"/>
                <c:pt idx="0">
                  <c:v>7.5023299161230197E-2</c:v>
                </c:pt>
                <c:pt idx="1">
                  <c:v>7.5023299161230197E-2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C9-44C4-8954-332DA75A2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387136"/>
        <c:axId val="493393408"/>
      </c:scatterChart>
      <c:valAx>
        <c:axId val="493387136"/>
        <c:scaling>
          <c:orientation val="minMax"/>
          <c:max val="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(d)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crossAx val="493393408"/>
        <c:crosses val="autoZero"/>
        <c:crossBetween val="midCat"/>
      </c:valAx>
      <c:valAx>
        <c:axId val="493393408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NO3-N/ NH4-N ratio</a:t>
                </a:r>
              </a:p>
            </c:rich>
          </c:tx>
          <c:overlay val="0"/>
        </c:title>
        <c:numFmt formatCode="#,##0.0" sourceLinked="0"/>
        <c:majorTickMark val="cross"/>
        <c:minorTickMark val="none"/>
        <c:tickLblPos val="nextTo"/>
        <c:spPr>
          <a:ln w="9525">
            <a:solidFill>
              <a:schemeClr val="tx1"/>
            </a:solidFill>
            <a:tailEnd type="triangle"/>
          </a:ln>
        </c:spPr>
        <c:crossAx val="493387136"/>
        <c:crosses val="autoZero"/>
        <c:crossBetween val="midCat"/>
        <c:majorUnit val="0.1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4857084276550601E-5"/>
          <c:y val="0.94941119301090471"/>
          <c:w val="0.99884834418093549"/>
          <c:h val="4.388071211444959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txData>
          <cx:v>S-SBR,NRR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800" b="1" i="0" u="none" strike="noStrike" cap="all" spc="150" baseline="0">
              <a:solidFill>
                <a:sysClr val="windowText" lastClr="000000">
                  <a:lumMod val="50000"/>
                  <a:lumOff val="50000"/>
                </a:sysClr>
              </a:solidFill>
              <a:latin typeface="Calibri" panose="020F0502020204030204"/>
            </a:rPr>
            <a:t>S-SBR,NRR</a:t>
          </a:r>
        </a:p>
      </cx:txPr>
    </cx:title>
    <cx:plotArea>
      <cx:plotAreaRegion>
        <cx:series layoutId="clusteredColumn" uniqueId="{6525FC64-92CA-45FC-9A1A-097939CC9BEE}" formatIdx="0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</cx:chartData>
  <cx:chart>
    <cx:title pos="t" align="ctr" overlay="0">
      <cx:tx>
        <cx:txData>
          <cx:v>S-SBR,NRR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800" b="1" i="0" u="none" strike="noStrike" cap="all" spc="150" baseline="0">
              <a:solidFill>
                <a:sysClr val="windowText" lastClr="000000">
                  <a:lumMod val="50000"/>
                  <a:lumOff val="50000"/>
                </a:sysClr>
              </a:solidFill>
              <a:latin typeface="Calibri" panose="020F0502020204030204"/>
            </a:rPr>
            <a:t>S-SBR,NRR</a:t>
          </a:r>
        </a:p>
      </cx:txPr>
    </cx:title>
    <cx:plotArea>
      <cx:plotAreaRegion>
        <cx:series layoutId="clusteredColumn" uniqueId="{6525FC64-92CA-45FC-9A1A-097939CC9BEE}" formatIdx="0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S-SBR,NRR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800" b="1" i="0" u="none" strike="noStrike" cap="all" spc="150" baseline="0">
              <a:solidFill>
                <a:sysClr val="windowText" lastClr="000000">
                  <a:lumMod val="50000"/>
                  <a:lumOff val="50000"/>
                </a:sysClr>
              </a:solidFill>
              <a:latin typeface="Calibri" panose="020F0502020204030204"/>
            </a:rPr>
            <a:t>S-SBR,NRR</a:t>
          </a:r>
        </a:p>
      </cx:txPr>
    </cx:title>
    <cx:plotArea>
      <cx:plotAreaRegion>
        <cx:series layoutId="clusteredColumn" uniqueId="{6525FC64-92CA-45FC-9A1A-097939CC9BEE}" formatIdx="0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S-SBR,NRR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800" b="1" i="0" u="none" strike="noStrike" cap="all" spc="150" baseline="0">
              <a:solidFill>
                <a:sysClr val="windowText" lastClr="000000">
                  <a:lumMod val="50000"/>
                  <a:lumOff val="50000"/>
                </a:sysClr>
              </a:solidFill>
              <a:latin typeface="Calibri" panose="020F0502020204030204"/>
            </a:rPr>
            <a:t>S-SBR,NRR</a:t>
          </a:r>
        </a:p>
      </cx:txPr>
    </cx:title>
    <cx:plotArea>
      <cx:plotAreaRegion>
        <cx:series layoutId="clusteredColumn" uniqueId="{6525FC64-92CA-45FC-9A1A-097939CC9BEE}" formatIdx="0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</cx:f>
      </cx:numDim>
    </cx:data>
  </cx:chartData>
  <cx:chart>
    <cx:title pos="t" align="ctr" overlay="0">
      <cx:tx>
        <cx:txData>
          <cx:v>S-SBR,NRR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800" b="1" i="0" u="none" strike="noStrike" cap="all" spc="150" baseline="0">
              <a:solidFill>
                <a:sysClr val="windowText" lastClr="000000">
                  <a:lumMod val="50000"/>
                  <a:lumOff val="50000"/>
                </a:sysClr>
              </a:solidFill>
              <a:latin typeface="Calibri" panose="020F0502020204030204"/>
            </a:rPr>
            <a:t>S-SBR,NRR</a:t>
          </a:r>
        </a:p>
      </cx:txPr>
    </cx:title>
    <cx:plotArea>
      <cx:plotAreaRegion>
        <cx:series layoutId="clusteredColumn" uniqueId="{6525FC64-92CA-45FC-9A1A-097939CC9BEE}" formatIdx="0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tickLabels/>
      </cx:axis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</cx:f>
      </cx:numDim>
    </cx:data>
  </cx:chartData>
  <cx:chart>
    <cx:title pos="t" align="ctr" overlay="0">
      <cx:tx>
        <cx:txData>
          <cx:v>S-SBR,NRR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800" b="1" i="0" u="none" strike="noStrike" cap="all" spc="150" baseline="0">
              <a:solidFill>
                <a:sysClr val="windowText" lastClr="000000">
                  <a:lumMod val="50000"/>
                  <a:lumOff val="50000"/>
                </a:sysClr>
              </a:solidFill>
              <a:latin typeface="Calibri" panose="020F0502020204030204"/>
            </a:rPr>
            <a:t>S-SBR,NRR</a:t>
          </a:r>
        </a:p>
      </cx:txPr>
    </cx:title>
    <cx:plotArea>
      <cx:plotAreaRegion>
        <cx:series layoutId="clusteredColumn" uniqueId="{6525FC64-92CA-45FC-9A1A-097939CC9BEE}" formatIdx="0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tickLabels/>
      </cx:axis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</cx:f>
      </cx:numDim>
    </cx:data>
  </cx:chartData>
  <cx:chart>
    <cx:title pos="t" align="ctr" overlay="0">
      <cx:tx>
        <cx:txData>
          <cx:v>S-SBR,NRR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800" b="1" i="0" u="none" strike="noStrike" cap="all" spc="150" baseline="0">
              <a:solidFill>
                <a:sysClr val="windowText" lastClr="000000">
                  <a:lumMod val="50000"/>
                  <a:lumOff val="50000"/>
                </a:sysClr>
              </a:solidFill>
              <a:latin typeface="Calibri" panose="020F0502020204030204"/>
            </a:rPr>
            <a:t>S-SBR,NRR</a:t>
          </a:r>
        </a:p>
      </cx:txPr>
    </cx:title>
    <cx:plotArea>
      <cx:plotAreaRegion>
        <cx:series layoutId="clusteredColumn" uniqueId="{6525FC64-92CA-45FC-9A1A-097939CC9BEE}" formatIdx="0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tickLabels/>
      </cx:axis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</cx:f>
      </cx:numDim>
    </cx:data>
  </cx:chartData>
  <cx:chart>
    <cx:title pos="t" align="ctr" overlay="0">
      <cx:tx>
        <cx:txData>
          <cx:v>S-SBR,NRR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800" b="1" i="0" u="none" strike="noStrike" cap="all" spc="150" baseline="0">
              <a:solidFill>
                <a:sysClr val="windowText" lastClr="000000">
                  <a:lumMod val="50000"/>
                  <a:lumOff val="50000"/>
                </a:sysClr>
              </a:solidFill>
              <a:latin typeface="Calibri" panose="020F0502020204030204"/>
            </a:rPr>
            <a:t>S-SBR,NRR</a:t>
          </a:r>
        </a:p>
      </cx:txPr>
    </cx:title>
    <cx:plotArea>
      <cx:plotAreaRegion>
        <cx:series layoutId="clusteredColumn" uniqueId="{6525FC64-92CA-45FC-9A1A-097939CC9BEE}" formatIdx="0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6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25000"/>
            <a:lumOff val="7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6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25000"/>
            <a:lumOff val="7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6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25000"/>
            <a:lumOff val="7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6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25000"/>
            <a:lumOff val="7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6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25000"/>
            <a:lumOff val="7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6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25000"/>
            <a:lumOff val="7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6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25000"/>
            <a:lumOff val="7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6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25000"/>
            <a:lumOff val="7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25000"/>
            <a:lumOff val="7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5" Type="http://schemas.openxmlformats.org/officeDocument/2006/relationships/chart" Target="../charts/chart77.xml"/><Relationship Id="rId10" Type="http://schemas.openxmlformats.org/officeDocument/2006/relationships/chart" Target="../charts/chart82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14/relationships/chartEx" Target="../charts/chartEx8.xml"/><Relationship Id="rId3" Type="http://schemas.microsoft.com/office/2014/relationships/chartEx" Target="../charts/chartEx3.xml"/><Relationship Id="rId7" Type="http://schemas.microsoft.com/office/2014/relationships/chartEx" Target="../charts/chartEx7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microsoft.com/office/2014/relationships/chartEx" Target="../charts/chartEx6.xml"/><Relationship Id="rId5" Type="http://schemas.microsoft.com/office/2014/relationships/chartEx" Target="../charts/chartEx5.xml"/><Relationship Id="rId4" Type="http://schemas.microsoft.com/office/2014/relationships/chartEx" Target="../charts/chartEx4.xml"/><Relationship Id="rId9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105895</xdr:colOff>
      <xdr:row>12</xdr:row>
      <xdr:rowOff>19050</xdr:rowOff>
    </xdr:from>
    <xdr:to>
      <xdr:col>18</xdr:col>
      <xdr:colOff>437749</xdr:colOff>
      <xdr:row>13</xdr:row>
      <xdr:rowOff>0</xdr:rowOff>
    </xdr:to>
    <xdr:pic>
      <xdr:nvPicPr>
        <xdr:cNvPr id="7" name="Picture 6" descr="C:\Users\POchs\AppData\Local\Temp\msohtmlclip1\02\clip_image00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8071" y="3055844"/>
          <a:ext cx="3573556" cy="160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14</xdr:row>
      <xdr:rowOff>28575</xdr:rowOff>
    </xdr:from>
    <xdr:to>
      <xdr:col>27</xdr:col>
      <xdr:colOff>400050</xdr:colOff>
      <xdr:row>15</xdr:row>
      <xdr:rowOff>1905</xdr:rowOff>
    </xdr:to>
    <xdr:pic>
      <xdr:nvPicPr>
        <xdr:cNvPr id="9" name="Picture 8" descr="C:\Users\POchs\AppData\Local\Temp\msohtmlclip1\02\clip_image001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3476625"/>
          <a:ext cx="63150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16</xdr:row>
      <xdr:rowOff>19050</xdr:rowOff>
    </xdr:from>
    <xdr:to>
      <xdr:col>22</xdr:col>
      <xdr:colOff>275023</xdr:colOff>
      <xdr:row>17</xdr:row>
      <xdr:rowOff>1</xdr:rowOff>
    </xdr:to>
    <xdr:pic>
      <xdr:nvPicPr>
        <xdr:cNvPr id="10" name="Picture 9" descr="C:\Users\POchs\AppData\Local\Temp\msohtmlclip1\02\clip_image00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3848100"/>
          <a:ext cx="4743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</xdr:colOff>
      <xdr:row>18</xdr:row>
      <xdr:rowOff>9525</xdr:rowOff>
    </xdr:from>
    <xdr:to>
      <xdr:col>27</xdr:col>
      <xdr:colOff>409575</xdr:colOff>
      <xdr:row>19</xdr:row>
      <xdr:rowOff>1681</xdr:rowOff>
    </xdr:to>
    <xdr:pic>
      <xdr:nvPicPr>
        <xdr:cNvPr id="11" name="Picture 10" descr="C:\Users\POchs\AppData\Local\Temp\msohtmlclip1\02\clip_image001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4219575"/>
          <a:ext cx="63150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152400</xdr:colOff>
      <xdr:row>4</xdr:row>
      <xdr:rowOff>217716</xdr:rowOff>
    </xdr:from>
    <xdr:ext cx="2108719" cy="364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A9987241-DCE0-4B15-8BA4-13825AF170D1}"/>
                </a:ext>
              </a:extLst>
            </xdr:cNvPr>
            <xdr:cNvSpPr txBox="1"/>
          </xdr:nvSpPr>
          <xdr:spPr>
            <a:xfrm>
              <a:off x="6301740" y="1215936"/>
              <a:ext cx="2108719" cy="364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100" b="0" i="1">
                        <a:latin typeface="Cambria Math" panose="02040503050406030204" pitchFamily="18" charset="0"/>
                      </a:rPr>
                      <m:t>𝐻𝑅</m:t>
                    </m:r>
                    <m:sSub>
                      <m:sSubPr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b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𝑆𝐵𝑅</m:t>
                        </m:r>
                      </m:sub>
                    </m:sSub>
                    <m:r>
                      <a:rPr lang="en-GB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num>
                      <m:den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(</m:t>
                        </m:r>
                        <m:sSub>
                          <m:sSub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𝑄</m:t>
                            </m:r>
                          </m:e>
                          <m: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𝑖𝑛</m:t>
                            </m:r>
                          </m:sub>
                        </m:sSub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e>
                          <m: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𝑐𝑦𝑐𝑙𝑒</m:t>
                            </m:r>
                          </m:sub>
                        </m:sSub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∗</m:t>
                        </m:r>
                        <m:sSub>
                          <m:sSub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  <m: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𝑟𝑒𝑎𝑐𝑡𝑖𝑜𝑛</m:t>
                            </m:r>
                          </m:sub>
                        </m:sSub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A9987241-DCE0-4B15-8BA4-13825AF170D1}"/>
                </a:ext>
              </a:extLst>
            </xdr:cNvPr>
            <xdr:cNvSpPr txBox="1"/>
          </xdr:nvSpPr>
          <xdr:spPr>
            <a:xfrm>
              <a:off x="6301740" y="1215936"/>
              <a:ext cx="2108719" cy="364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b="0" i="0">
                  <a:latin typeface="Cambria Math" panose="02040503050406030204" pitchFamily="18" charset="0"/>
                </a:rPr>
                <a:t>𝐻𝑅𝑇_𝑆𝐵𝑅=𝑉/((𝑄_𝑖𝑛∗𝑛_𝑐𝑦𝑐𝑙𝑒∗𝑡_𝑟𝑒𝑎𝑐𝑡𝑖𝑜𝑛))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8</xdr:col>
      <xdr:colOff>54429</xdr:colOff>
      <xdr:row>6</xdr:row>
      <xdr:rowOff>76200</xdr:rowOff>
    </xdr:from>
    <xdr:ext cx="972895" cy="4880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B39C2658-52F3-4406-98B2-6BB2AE4E1B0E}"/>
                </a:ext>
              </a:extLst>
            </xdr:cNvPr>
            <xdr:cNvSpPr txBox="1"/>
          </xdr:nvSpPr>
          <xdr:spPr>
            <a:xfrm>
              <a:off x="6203769" y="1805940"/>
              <a:ext cx="972895" cy="4880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100" b="0" i="1">
                        <a:latin typeface="Cambria Math" panose="02040503050406030204" pitchFamily="18" charset="0"/>
                      </a:rPr>
                      <m:t>𝑁𝐿𝑅</m:t>
                    </m:r>
                    <m:r>
                      <a:rPr lang="en-GB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𝑇</m:t>
                        </m:r>
                        <m:sSub>
                          <m:sSub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e>
                          <m: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𝑖𝑛</m:t>
                            </m:r>
                          </m:sub>
                        </m:sSub>
                      </m:num>
                      <m:den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𝐻𝑅𝑇</m:t>
                        </m:r>
                      </m:den>
                    </m:f>
                  </m:oMath>
                </m:oMathPara>
              </a14:m>
              <a:endParaRPr lang="en-GB" sz="1100" b="0"/>
            </a:p>
            <a:p>
              <a:endParaRPr lang="en-GB" sz="1100"/>
            </a:p>
          </xdr:txBody>
        </xdr:sp>
      </mc:Choice>
      <mc:Fallback xmlns="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B39C2658-52F3-4406-98B2-6BB2AE4E1B0E}"/>
                </a:ext>
              </a:extLst>
            </xdr:cNvPr>
            <xdr:cNvSpPr txBox="1"/>
          </xdr:nvSpPr>
          <xdr:spPr>
            <a:xfrm>
              <a:off x="6203769" y="1805940"/>
              <a:ext cx="972895" cy="4880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b="0" i="0">
                  <a:latin typeface="Cambria Math" panose="02040503050406030204" pitchFamily="18" charset="0"/>
                </a:rPr>
                <a:t>𝑁𝐿𝑅=(𝑇𝑁_𝑖𝑛)/𝐻𝑅𝑇</a:t>
              </a:r>
              <a:endParaRPr lang="en-GB" sz="1100" b="0"/>
            </a:p>
            <a:p>
              <a:endParaRPr lang="en-GB" sz="1100"/>
            </a:p>
          </xdr:txBody>
        </xdr:sp>
      </mc:Fallback>
    </mc:AlternateContent>
    <xdr:clientData/>
  </xdr:oneCellAnchor>
  <xdr:oneCellAnchor>
    <xdr:from>
      <xdr:col>8</xdr:col>
      <xdr:colOff>1153886</xdr:colOff>
      <xdr:row>6</xdr:row>
      <xdr:rowOff>65314</xdr:rowOff>
    </xdr:from>
    <xdr:ext cx="1209562" cy="4880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64A76CBC-658E-4D18-894E-C84741E18ABA}"/>
                </a:ext>
              </a:extLst>
            </xdr:cNvPr>
            <xdr:cNvSpPr txBox="1"/>
          </xdr:nvSpPr>
          <xdr:spPr>
            <a:xfrm>
              <a:off x="7303226" y="1795054"/>
              <a:ext cx="1209562" cy="4880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100" b="0" i="1">
                        <a:latin typeface="Cambria Math" panose="02040503050406030204" pitchFamily="18" charset="0"/>
                      </a:rPr>
                      <m:t>𝑁𝑅𝑅</m:t>
                    </m:r>
                    <m:r>
                      <a:rPr lang="en-GB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𝑇</m:t>
                        </m:r>
                        <m:sSub>
                          <m:sSub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e>
                          <m: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𝑖𝑛</m:t>
                            </m:r>
                          </m:sub>
                        </m:sSub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𝑁𝑅𝐸</m:t>
                        </m:r>
                      </m:num>
                      <m:den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𝐻𝑅𝑇</m:t>
                        </m:r>
                      </m:den>
                    </m:f>
                  </m:oMath>
                </m:oMathPara>
              </a14:m>
              <a:endParaRPr lang="en-GB" sz="1100" b="0"/>
            </a:p>
            <a:p>
              <a:endParaRPr lang="en-GB" sz="1100"/>
            </a:p>
          </xdr:txBody>
        </xdr:sp>
      </mc:Choice>
      <mc:Fallback xmlns="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64A76CBC-658E-4D18-894E-C84741E18ABA}"/>
                </a:ext>
              </a:extLst>
            </xdr:cNvPr>
            <xdr:cNvSpPr txBox="1"/>
          </xdr:nvSpPr>
          <xdr:spPr>
            <a:xfrm>
              <a:off x="7303226" y="1795054"/>
              <a:ext cx="1209562" cy="4880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b="0" i="0">
                  <a:latin typeface="Cambria Math" panose="02040503050406030204" pitchFamily="18" charset="0"/>
                </a:rPr>
                <a:t>𝑁𝑅𝑅=(𝑇𝑁_𝑖𝑛∗𝑁𝑅𝐸)/𝐻𝑅𝑇</a:t>
              </a:r>
              <a:endParaRPr lang="en-GB" sz="1100" b="0"/>
            </a:p>
            <a:p>
              <a:endParaRPr lang="en-GB" sz="1100"/>
            </a:p>
          </xdr:txBody>
        </xdr:sp>
      </mc:Fallback>
    </mc:AlternateContent>
    <xdr:clientData/>
  </xdr:oneCellAnchor>
  <xdr:oneCellAnchor>
    <xdr:from>
      <xdr:col>13</xdr:col>
      <xdr:colOff>130628</xdr:colOff>
      <xdr:row>4</xdr:row>
      <xdr:rowOff>195944</xdr:rowOff>
    </xdr:from>
    <xdr:ext cx="2075761" cy="3589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8DD7BBD-0D9E-4879-8A8A-84FBD8AC777D}"/>
                </a:ext>
              </a:extLst>
            </xdr:cNvPr>
            <xdr:cNvSpPr txBox="1"/>
          </xdr:nvSpPr>
          <xdr:spPr>
            <a:xfrm>
              <a:off x="9024257" y="1208315"/>
              <a:ext cx="2075761" cy="3589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100" b="0" i="1">
                        <a:latin typeface="Cambria Math" panose="02040503050406030204" pitchFamily="18" charset="0"/>
                      </a:rPr>
                      <m:t>𝑁𝐴𝑅</m:t>
                    </m:r>
                    <m:r>
                      <a:rPr lang="en-GB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  <m:sSub>
                              <m:sSubPr>
                                <m:ctrlPr>
                                  <a:rPr lang="en-GB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GB" sz="1100" b="0" i="1">
                                    <a:latin typeface="Cambria Math" panose="02040503050406030204" pitchFamily="18" charset="0"/>
                                  </a:rPr>
                                  <m:t>𝑂</m:t>
                                </m:r>
                              </m:e>
                              <m:sub>
                                <m:r>
                                  <a:rPr lang="en-GB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e>
                        </m:d>
                      </m:num>
                      <m:den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[</m:t>
                        </m:r>
                        <m:d>
                          <m:d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  <m:sSub>
                              <m:sSubPr>
                                <m:ctrlPr>
                                  <a:rPr lang="en-GB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GB" sz="1100" b="0" i="1">
                                    <a:latin typeface="Cambria Math" panose="02040503050406030204" pitchFamily="18" charset="0"/>
                                  </a:rPr>
                                  <m:t>𝑂</m:t>
                                </m:r>
                              </m:e>
                              <m:sub>
                                <m:r>
                                  <a:rPr lang="en-GB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e>
                        </m:d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+</m:t>
                        </m:r>
                        <m:d>
                          <m:d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  <m:sSub>
                              <m:sSubPr>
                                <m:ctrlPr>
                                  <a:rPr lang="en-GB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GB" sz="1100" b="0" i="1">
                                    <a:latin typeface="Cambria Math" panose="02040503050406030204" pitchFamily="18" charset="0"/>
                                  </a:rPr>
                                  <m:t>𝑂</m:t>
                                </m:r>
                              </m:e>
                              <m:sub>
                                <m:r>
                                  <a:rPr lang="en-GB" sz="1100" b="0" i="1">
                                    <a:latin typeface="Cambria Math" panose="02040503050406030204" pitchFamily="18" charset="0"/>
                                  </a:rPr>
                                  <m:t>3</m:t>
                                </m:r>
                              </m:sub>
                            </m:s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e>
                        </m:d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]</m:t>
                        </m:r>
                      </m:den>
                    </m:f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8DD7BBD-0D9E-4879-8A8A-84FBD8AC777D}"/>
                </a:ext>
              </a:extLst>
            </xdr:cNvPr>
            <xdr:cNvSpPr txBox="1"/>
          </xdr:nvSpPr>
          <xdr:spPr>
            <a:xfrm>
              <a:off x="9024257" y="1208315"/>
              <a:ext cx="2075761" cy="3589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b="0" i="0">
                  <a:latin typeface="Cambria Math" panose="02040503050406030204" pitchFamily="18" charset="0"/>
                </a:rPr>
                <a:t>𝑁𝐴𝑅=((𝑁𝑂_2−𝑁))/([(𝑁𝑂_2−𝑁)+(𝑁𝑂_3−𝑁)])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19</xdr:col>
      <xdr:colOff>43542</xdr:colOff>
      <xdr:row>4</xdr:row>
      <xdr:rowOff>304801</xdr:rowOff>
    </xdr:from>
    <xdr:ext cx="194963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1DEDA874-0DAD-46A5-8475-8C0C823FB901}"/>
                </a:ext>
              </a:extLst>
            </xdr:cNvPr>
            <xdr:cNvSpPr txBox="1"/>
          </xdr:nvSpPr>
          <xdr:spPr>
            <a:xfrm>
              <a:off x="11375571" y="1317172"/>
              <a:ext cx="194963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100" b="0" i="1">
                        <a:latin typeface="Cambria Math" panose="02040503050406030204" pitchFamily="18" charset="0"/>
                      </a:rPr>
                      <m:t>𝑁</m:t>
                    </m:r>
                    <m:sSub>
                      <m:sSubPr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𝑂</m:t>
                        </m:r>
                      </m:e>
                      <m:sub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  <m:r>
                      <a:rPr lang="en-GB" sz="1100" b="0" i="1"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𝑁</m:t>
                        </m:r>
                        <m:sSub>
                          <m:sSub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𝑂</m:t>
                            </m:r>
                          </m:e>
                          <m: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  <m:r>
                      <a:rPr lang="en-GB" sz="1100" b="0" i="1">
                        <a:latin typeface="Cambria Math" panose="02040503050406030204" pitchFamily="18" charset="0"/>
                      </a:rPr>
                      <m:t>+</m:t>
                    </m:r>
                    <m:d>
                      <m:dPr>
                        <m:ctrlPr>
                          <a:rPr lang="en-GB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𝑁</m:t>
                        </m:r>
                        <m:sSub>
                          <m:sSubPr>
                            <m:ctrlPr>
                              <a:rPr lang="en-GB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𝑂</m:t>
                            </m:r>
                          </m:e>
                          <m:sub>
                            <m:r>
                              <a:rPr lang="en-GB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n-GB" sz="1100" b="0" i="1">
                            <a:latin typeface="Cambria Math" panose="02040503050406030204" pitchFamily="18" charset="0"/>
                          </a:rPr>
                          <m:t>𝑁</m:t>
                        </m:r>
                      </m:e>
                    </m:d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1DEDA874-0DAD-46A5-8475-8C0C823FB901}"/>
                </a:ext>
              </a:extLst>
            </xdr:cNvPr>
            <xdr:cNvSpPr txBox="1"/>
          </xdr:nvSpPr>
          <xdr:spPr>
            <a:xfrm>
              <a:off x="11375571" y="1317172"/>
              <a:ext cx="194963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b="0" i="0">
                  <a:latin typeface="Cambria Math" panose="02040503050406030204" pitchFamily="18" charset="0"/>
                </a:rPr>
                <a:t>𝑁𝑂_𝑥=(𝑁𝑂_2−𝑁)+(𝑁𝑂_3−𝑁)</a:t>
              </a:r>
              <a:endParaRPr lang="en-GB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260618</xdr:colOff>
      <xdr:row>3</xdr:row>
      <xdr:rowOff>39701</xdr:rowOff>
    </xdr:from>
    <xdr:to>
      <xdr:col>11</xdr:col>
      <xdr:colOff>538846</xdr:colOff>
      <xdr:row>26</xdr:row>
      <xdr:rowOff>103387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24333</xdr:colOff>
      <xdr:row>2</xdr:row>
      <xdr:rowOff>144075</xdr:rowOff>
    </xdr:from>
    <xdr:to>
      <xdr:col>22</xdr:col>
      <xdr:colOff>716219</xdr:colOff>
      <xdr:row>26</xdr:row>
      <xdr:rowOff>22704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146639</xdr:colOff>
      <xdr:row>3</xdr:row>
      <xdr:rowOff>40983</xdr:rowOff>
    </xdr:from>
    <xdr:to>
      <xdr:col>35</xdr:col>
      <xdr:colOff>348668</xdr:colOff>
      <xdr:row>26</xdr:row>
      <xdr:rowOff>104669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119743</xdr:colOff>
      <xdr:row>49</xdr:row>
      <xdr:rowOff>91732</xdr:rowOff>
    </xdr:from>
    <xdr:to>
      <xdr:col>11</xdr:col>
      <xdr:colOff>397971</xdr:colOff>
      <xdr:row>72</xdr:row>
      <xdr:rowOff>155418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43544</xdr:colOff>
      <xdr:row>75</xdr:row>
      <xdr:rowOff>92698</xdr:rowOff>
    </xdr:from>
    <xdr:to>
      <xdr:col>11</xdr:col>
      <xdr:colOff>321772</xdr:colOff>
      <xdr:row>98</xdr:row>
      <xdr:rowOff>156383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119744</xdr:colOff>
      <xdr:row>30</xdr:row>
      <xdr:rowOff>112059</xdr:rowOff>
    </xdr:from>
    <xdr:to>
      <xdr:col>8</xdr:col>
      <xdr:colOff>393344</xdr:colOff>
      <xdr:row>46</xdr:row>
      <xdr:rowOff>31145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494981</xdr:colOff>
      <xdr:row>30</xdr:row>
      <xdr:rowOff>121024</xdr:rowOff>
    </xdr:from>
    <xdr:to>
      <xdr:col>16</xdr:col>
      <xdr:colOff>180752</xdr:colOff>
      <xdr:row>46</xdr:row>
      <xdr:rowOff>40110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268302</xdr:colOff>
      <xdr:row>30</xdr:row>
      <xdr:rowOff>124225</xdr:rowOff>
    </xdr:from>
    <xdr:to>
      <xdr:col>24</xdr:col>
      <xdr:colOff>541902</xdr:colOff>
      <xdr:row>46</xdr:row>
      <xdr:rowOff>43311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56030</xdr:colOff>
      <xdr:row>101</xdr:row>
      <xdr:rowOff>113497</xdr:rowOff>
    </xdr:from>
    <xdr:to>
      <xdr:col>11</xdr:col>
      <xdr:colOff>334258</xdr:colOff>
      <xdr:row>124</xdr:row>
      <xdr:rowOff>177183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43543</xdr:colOff>
      <xdr:row>153</xdr:row>
      <xdr:rowOff>108292</xdr:rowOff>
    </xdr:from>
    <xdr:to>
      <xdr:col>7</xdr:col>
      <xdr:colOff>326486</xdr:colOff>
      <xdr:row>169</xdr:row>
      <xdr:rowOff>38263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569580</xdr:colOff>
      <xdr:row>153</xdr:row>
      <xdr:rowOff>87549</xdr:rowOff>
    </xdr:from>
    <xdr:to>
      <xdr:col>28</xdr:col>
      <xdr:colOff>1059351</xdr:colOff>
      <xdr:row>169</xdr:row>
      <xdr:rowOff>6634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402772</xdr:colOff>
      <xdr:row>153</xdr:row>
      <xdr:rowOff>173636</xdr:rowOff>
    </xdr:from>
    <xdr:to>
      <xdr:col>14</xdr:col>
      <xdr:colOff>206743</xdr:colOff>
      <xdr:row>169</xdr:row>
      <xdr:rowOff>92721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286229</xdr:colOff>
      <xdr:row>153</xdr:row>
      <xdr:rowOff>142011</xdr:rowOff>
    </xdr:from>
    <xdr:to>
      <xdr:col>21</xdr:col>
      <xdr:colOff>384115</xdr:colOff>
      <xdr:row>169</xdr:row>
      <xdr:rowOff>50210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35</xdr:col>
      <xdr:colOff>416626</xdr:colOff>
      <xdr:row>3</xdr:row>
      <xdr:rowOff>102454</xdr:rowOff>
    </xdr:from>
    <xdr:to>
      <xdr:col>47</xdr:col>
      <xdr:colOff>194111</xdr:colOff>
      <xdr:row>26</xdr:row>
      <xdr:rowOff>166140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65314</xdr:colOff>
      <xdr:row>128</xdr:row>
      <xdr:rowOff>51708</xdr:rowOff>
    </xdr:from>
    <xdr:to>
      <xdr:col>11</xdr:col>
      <xdr:colOff>4802</xdr:colOff>
      <xdr:row>147</xdr:row>
      <xdr:rowOff>76199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28813</xdr:colOff>
      <xdr:row>128</xdr:row>
      <xdr:rowOff>46496</xdr:rowOff>
    </xdr:from>
    <xdr:to>
      <xdr:col>20</xdr:col>
      <xdr:colOff>860670</xdr:colOff>
      <xdr:row>147</xdr:row>
      <xdr:rowOff>130410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40823</xdr:colOff>
      <xdr:row>128</xdr:row>
      <xdr:rowOff>45909</xdr:rowOff>
    </xdr:from>
    <xdr:to>
      <xdr:col>30</xdr:col>
      <xdr:colOff>459023</xdr:colOff>
      <xdr:row>147</xdr:row>
      <xdr:rowOff>129823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405756</xdr:colOff>
      <xdr:row>172</xdr:row>
      <xdr:rowOff>163286</xdr:rowOff>
    </xdr:from>
    <xdr:to>
      <xdr:col>42</xdr:col>
      <xdr:colOff>589591</xdr:colOff>
      <xdr:row>263</xdr:row>
      <xdr:rowOff>83884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22575</xdr:colOff>
      <xdr:row>172</xdr:row>
      <xdr:rowOff>163286</xdr:rowOff>
    </xdr:from>
    <xdr:to>
      <xdr:col>54</xdr:col>
      <xdr:colOff>133905</xdr:colOff>
      <xdr:row>263</xdr:row>
      <xdr:rowOff>110778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413017</xdr:colOff>
      <xdr:row>101</xdr:row>
      <xdr:rowOff>119102</xdr:rowOff>
    </xdr:from>
    <xdr:to>
      <xdr:col>22</xdr:col>
      <xdr:colOff>321132</xdr:colOff>
      <xdr:row>124</xdr:row>
      <xdr:rowOff>182788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66306</xdr:colOff>
      <xdr:row>49</xdr:row>
      <xdr:rowOff>32658</xdr:rowOff>
    </xdr:from>
    <xdr:to>
      <xdr:col>45</xdr:col>
      <xdr:colOff>453391</xdr:colOff>
      <xdr:row>72</xdr:row>
      <xdr:rowOff>96344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435430</xdr:colOff>
      <xdr:row>101</xdr:row>
      <xdr:rowOff>87086</xdr:rowOff>
    </xdr:from>
    <xdr:to>
      <xdr:col>33</xdr:col>
      <xdr:colOff>463287</xdr:colOff>
      <xdr:row>124</xdr:row>
      <xdr:rowOff>150772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511629</xdr:colOff>
      <xdr:row>49</xdr:row>
      <xdr:rowOff>65316</xdr:rowOff>
    </xdr:from>
    <xdr:to>
      <xdr:col>22</xdr:col>
      <xdr:colOff>419744</xdr:colOff>
      <xdr:row>72</xdr:row>
      <xdr:rowOff>129002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373525</xdr:colOff>
      <xdr:row>75</xdr:row>
      <xdr:rowOff>50363</xdr:rowOff>
    </xdr:from>
    <xdr:to>
      <xdr:col>22</xdr:col>
      <xdr:colOff>281640</xdr:colOff>
      <xdr:row>98</xdr:row>
      <xdr:rowOff>114048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555172</xdr:colOff>
      <xdr:row>49</xdr:row>
      <xdr:rowOff>87086</xdr:rowOff>
    </xdr:from>
    <xdr:to>
      <xdr:col>33</xdr:col>
      <xdr:colOff>583029</xdr:colOff>
      <xdr:row>72</xdr:row>
      <xdr:rowOff>150772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24492</xdr:colOff>
      <xdr:row>268</xdr:row>
      <xdr:rowOff>114296</xdr:rowOff>
    </xdr:from>
    <xdr:to>
      <xdr:col>7</xdr:col>
      <xdr:colOff>307435</xdr:colOff>
      <xdr:row>284</xdr:row>
      <xdr:rowOff>33382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541562</xdr:colOff>
      <xdr:row>268</xdr:row>
      <xdr:rowOff>68032</xdr:rowOff>
    </xdr:from>
    <xdr:to>
      <xdr:col>14</xdr:col>
      <xdr:colOff>345533</xdr:colOff>
      <xdr:row>283</xdr:row>
      <xdr:rowOff>172175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468085</xdr:colOff>
      <xdr:row>268</xdr:row>
      <xdr:rowOff>95246</xdr:rowOff>
    </xdr:from>
    <xdr:to>
      <xdr:col>21</xdr:col>
      <xdr:colOff>565971</xdr:colOff>
      <xdr:row>284</xdr:row>
      <xdr:rowOff>14332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78178</xdr:colOff>
      <xdr:row>248</xdr:row>
      <xdr:rowOff>110837</xdr:rowOff>
    </xdr:from>
    <xdr:to>
      <xdr:col>7</xdr:col>
      <xdr:colOff>361121</xdr:colOff>
      <xdr:row>264</xdr:row>
      <xdr:rowOff>33881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3A8B5DE9-F6ED-41E6-B4CB-43FDA1BCC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509619</xdr:colOff>
      <xdr:row>248</xdr:row>
      <xdr:rowOff>119744</xdr:rowOff>
    </xdr:from>
    <xdr:to>
      <xdr:col>14</xdr:col>
      <xdr:colOff>313590</xdr:colOff>
      <xdr:row>264</xdr:row>
      <xdr:rowOff>38830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E01E8AB8-EEBE-49D6-B883-CD67F8033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475131</xdr:colOff>
      <xdr:row>248</xdr:row>
      <xdr:rowOff>87086</xdr:rowOff>
    </xdr:from>
    <xdr:to>
      <xdr:col>21</xdr:col>
      <xdr:colOff>573017</xdr:colOff>
      <xdr:row>264</xdr:row>
      <xdr:rowOff>6172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B2849385-8DA9-41C6-B870-9E1B3C72D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7</xdr:col>
      <xdr:colOff>282943</xdr:colOff>
      <xdr:row>304</xdr:row>
      <xdr:rowOff>104144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E61D67EF-A687-4F4A-8B58-DE6CC906A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289</xdr:row>
      <xdr:rowOff>0</xdr:rowOff>
    </xdr:from>
    <xdr:to>
      <xdr:col>14</xdr:col>
      <xdr:colOff>533314</xdr:colOff>
      <xdr:row>304</xdr:row>
      <xdr:rowOff>104144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40D5299E-08E7-4113-86F3-0F928C41A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15</xdr:col>
      <xdr:colOff>0</xdr:colOff>
      <xdr:row>289</xdr:row>
      <xdr:rowOff>0</xdr:rowOff>
    </xdr:from>
    <xdr:to>
      <xdr:col>22</xdr:col>
      <xdr:colOff>163200</xdr:colOff>
      <xdr:row>304</xdr:row>
      <xdr:rowOff>104144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59A1659F-D2C5-4F9D-9AC1-3FF2A0E26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23</xdr:col>
      <xdr:colOff>0</xdr:colOff>
      <xdr:row>289</xdr:row>
      <xdr:rowOff>0</xdr:rowOff>
    </xdr:from>
    <xdr:to>
      <xdr:col>29</xdr:col>
      <xdr:colOff>370029</xdr:colOff>
      <xdr:row>304</xdr:row>
      <xdr:rowOff>104144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F08C8A6-BD0E-410F-89F0-086AA420E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30</xdr:col>
      <xdr:colOff>0</xdr:colOff>
      <xdr:row>289</xdr:row>
      <xdr:rowOff>0</xdr:rowOff>
    </xdr:from>
    <xdr:to>
      <xdr:col>38</xdr:col>
      <xdr:colOff>163200</xdr:colOff>
      <xdr:row>304</xdr:row>
      <xdr:rowOff>104144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C47E9EDB-7244-4256-A2CA-E9EB6F8DF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38</xdr:col>
      <xdr:colOff>370115</xdr:colOff>
      <xdr:row>288</xdr:row>
      <xdr:rowOff>108857</xdr:rowOff>
    </xdr:from>
    <xdr:to>
      <xdr:col>45</xdr:col>
      <xdr:colOff>315600</xdr:colOff>
      <xdr:row>304</xdr:row>
      <xdr:rowOff>27944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9CB7EA84-2F2C-4718-A2DC-4E4E8E73D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46</xdr:col>
      <xdr:colOff>0</xdr:colOff>
      <xdr:row>289</xdr:row>
      <xdr:rowOff>0</xdr:rowOff>
    </xdr:from>
    <xdr:to>
      <xdr:col>54</xdr:col>
      <xdr:colOff>163200</xdr:colOff>
      <xdr:row>304</xdr:row>
      <xdr:rowOff>104144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3588B6D-126E-498D-BEB1-8E1D8EA1F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29</xdr:col>
      <xdr:colOff>0</xdr:colOff>
      <xdr:row>153</xdr:row>
      <xdr:rowOff>0</xdr:rowOff>
    </xdr:from>
    <xdr:to>
      <xdr:col>37</xdr:col>
      <xdr:colOff>163200</xdr:colOff>
      <xdr:row>168</xdr:row>
      <xdr:rowOff>104143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6E942F9E-823F-4191-9045-68D86D9BC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38</xdr:col>
      <xdr:colOff>0</xdr:colOff>
      <xdr:row>153</xdr:row>
      <xdr:rowOff>0</xdr:rowOff>
    </xdr:from>
    <xdr:to>
      <xdr:col>44</xdr:col>
      <xdr:colOff>555085</xdr:colOff>
      <xdr:row>168</xdr:row>
      <xdr:rowOff>104143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CE7216D-6B9B-4D4F-B734-829CE7D72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55</xdr:col>
      <xdr:colOff>0</xdr:colOff>
      <xdr:row>289</xdr:row>
      <xdr:rowOff>0</xdr:rowOff>
    </xdr:from>
    <xdr:to>
      <xdr:col>63</xdr:col>
      <xdr:colOff>163200</xdr:colOff>
      <xdr:row>304</xdr:row>
      <xdr:rowOff>104144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A129881-EAAE-41FA-A16B-CBA9C39A5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64</xdr:col>
      <xdr:colOff>0</xdr:colOff>
      <xdr:row>289</xdr:row>
      <xdr:rowOff>0</xdr:rowOff>
    </xdr:from>
    <xdr:to>
      <xdr:col>72</xdr:col>
      <xdr:colOff>163200</xdr:colOff>
      <xdr:row>304</xdr:row>
      <xdr:rowOff>104144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62914310-4EA2-48B6-A2F7-564FFFD5F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73</xdr:col>
      <xdr:colOff>0</xdr:colOff>
      <xdr:row>289</xdr:row>
      <xdr:rowOff>0</xdr:rowOff>
    </xdr:from>
    <xdr:to>
      <xdr:col>81</xdr:col>
      <xdr:colOff>163200</xdr:colOff>
      <xdr:row>304</xdr:row>
      <xdr:rowOff>104144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2A694A5-0AA1-415D-B472-232D972B3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45</xdr:col>
      <xdr:colOff>107832</xdr:colOff>
      <xdr:row>153</xdr:row>
      <xdr:rowOff>87854</xdr:rowOff>
    </xdr:from>
    <xdr:to>
      <xdr:col>57</xdr:col>
      <xdr:colOff>507402</xdr:colOff>
      <xdr:row>169</xdr:row>
      <xdr:rowOff>39446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1AE9B739-A125-4FEC-8022-AF529987B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307</xdr:row>
      <xdr:rowOff>0</xdr:rowOff>
    </xdr:from>
    <xdr:to>
      <xdr:col>7</xdr:col>
      <xdr:colOff>282943</xdr:colOff>
      <xdr:row>322</xdr:row>
      <xdr:rowOff>104144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AA8DBFDA-DCD7-4009-8CBE-DE799359A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327</xdr:row>
      <xdr:rowOff>0</xdr:rowOff>
    </xdr:from>
    <xdr:to>
      <xdr:col>7</xdr:col>
      <xdr:colOff>282943</xdr:colOff>
      <xdr:row>342</xdr:row>
      <xdr:rowOff>104143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2913CCC-AC3B-420A-B8A1-9FE166BC2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0</xdr:colOff>
      <xdr:row>327</xdr:row>
      <xdr:rowOff>0</xdr:rowOff>
    </xdr:from>
    <xdr:to>
      <xdr:col>14</xdr:col>
      <xdr:colOff>533314</xdr:colOff>
      <xdr:row>342</xdr:row>
      <xdr:rowOff>104143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438E4A7F-B66B-44EC-83CD-E759D5C64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15</xdr:col>
      <xdr:colOff>0</xdr:colOff>
      <xdr:row>327</xdr:row>
      <xdr:rowOff>0</xdr:rowOff>
    </xdr:from>
    <xdr:to>
      <xdr:col>22</xdr:col>
      <xdr:colOff>163200</xdr:colOff>
      <xdr:row>342</xdr:row>
      <xdr:rowOff>104143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72446E46-5903-4BD9-811E-0617EABDF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22</xdr:col>
      <xdr:colOff>381000</xdr:colOff>
      <xdr:row>326</xdr:row>
      <xdr:rowOff>163286</xdr:rowOff>
    </xdr:from>
    <xdr:to>
      <xdr:col>28</xdr:col>
      <xdr:colOff>1589228</xdr:colOff>
      <xdr:row>342</xdr:row>
      <xdr:rowOff>82372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DF2257A2-4268-405A-BC62-FC6C6AE86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29</xdr:col>
      <xdr:colOff>206828</xdr:colOff>
      <xdr:row>326</xdr:row>
      <xdr:rowOff>163286</xdr:rowOff>
    </xdr:from>
    <xdr:to>
      <xdr:col>37</xdr:col>
      <xdr:colOff>370028</xdr:colOff>
      <xdr:row>342</xdr:row>
      <xdr:rowOff>82372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F1C1E0DF-021B-4852-B9EA-0F95131F1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37</xdr:col>
      <xdr:colOff>576943</xdr:colOff>
      <xdr:row>326</xdr:row>
      <xdr:rowOff>87086</xdr:rowOff>
    </xdr:from>
    <xdr:to>
      <xdr:col>44</xdr:col>
      <xdr:colOff>522428</xdr:colOff>
      <xdr:row>342</xdr:row>
      <xdr:rowOff>6172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B0E2B486-13D0-4EF9-B9A3-FCD9DD5C4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45</xdr:col>
      <xdr:colOff>206828</xdr:colOff>
      <xdr:row>326</xdr:row>
      <xdr:rowOff>163286</xdr:rowOff>
    </xdr:from>
    <xdr:to>
      <xdr:col>53</xdr:col>
      <xdr:colOff>370028</xdr:colOff>
      <xdr:row>342</xdr:row>
      <xdr:rowOff>82372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A4A5F1A5-C4AB-44DB-9F8E-E8F419FB2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54</xdr:col>
      <xdr:colOff>206828</xdr:colOff>
      <xdr:row>326</xdr:row>
      <xdr:rowOff>163286</xdr:rowOff>
    </xdr:from>
    <xdr:to>
      <xdr:col>62</xdr:col>
      <xdr:colOff>370028</xdr:colOff>
      <xdr:row>342</xdr:row>
      <xdr:rowOff>82372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D28CF26F-9F52-4A38-95E0-AD25279F9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63</xdr:col>
      <xdr:colOff>206828</xdr:colOff>
      <xdr:row>326</xdr:row>
      <xdr:rowOff>163286</xdr:rowOff>
    </xdr:from>
    <xdr:to>
      <xdr:col>71</xdr:col>
      <xdr:colOff>370028</xdr:colOff>
      <xdr:row>342</xdr:row>
      <xdr:rowOff>82372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26759-B94C-4B16-A312-201D4C1D2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72</xdr:col>
      <xdr:colOff>206828</xdr:colOff>
      <xdr:row>326</xdr:row>
      <xdr:rowOff>163286</xdr:rowOff>
    </xdr:from>
    <xdr:to>
      <xdr:col>80</xdr:col>
      <xdr:colOff>370028</xdr:colOff>
      <xdr:row>342</xdr:row>
      <xdr:rowOff>82372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F18F8F32-DB32-4D0D-ADA4-3E718640B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347</xdr:row>
      <xdr:rowOff>0</xdr:rowOff>
    </xdr:from>
    <xdr:to>
      <xdr:col>7</xdr:col>
      <xdr:colOff>282943</xdr:colOff>
      <xdr:row>362</xdr:row>
      <xdr:rowOff>104144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A8590678-38F5-4449-B893-B135A971E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</xdr:col>
      <xdr:colOff>0</xdr:colOff>
      <xdr:row>347</xdr:row>
      <xdr:rowOff>0</xdr:rowOff>
    </xdr:from>
    <xdr:to>
      <xdr:col>14</xdr:col>
      <xdr:colOff>533314</xdr:colOff>
      <xdr:row>362</xdr:row>
      <xdr:rowOff>104144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371E9CB8-1EF1-4523-B1B7-DFB88D629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15</xdr:col>
      <xdr:colOff>0</xdr:colOff>
      <xdr:row>347</xdr:row>
      <xdr:rowOff>0</xdr:rowOff>
    </xdr:from>
    <xdr:to>
      <xdr:col>22</xdr:col>
      <xdr:colOff>163200</xdr:colOff>
      <xdr:row>362</xdr:row>
      <xdr:rowOff>104144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4B0C5FCA-3C92-4A35-A33C-C19B6AA64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22</xdr:col>
      <xdr:colOff>348343</xdr:colOff>
      <xdr:row>346</xdr:row>
      <xdr:rowOff>141514</xdr:rowOff>
    </xdr:from>
    <xdr:to>
      <xdr:col>28</xdr:col>
      <xdr:colOff>1556571</xdr:colOff>
      <xdr:row>362</xdr:row>
      <xdr:rowOff>60601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19734ECC-14E3-4F06-AD8B-3E6EB8747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30</xdr:col>
      <xdr:colOff>0</xdr:colOff>
      <xdr:row>347</xdr:row>
      <xdr:rowOff>0</xdr:rowOff>
    </xdr:from>
    <xdr:to>
      <xdr:col>38</xdr:col>
      <xdr:colOff>163200</xdr:colOff>
      <xdr:row>362</xdr:row>
      <xdr:rowOff>104144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E125F707-0EA2-4AE5-A257-FECF2D9D0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370115</xdr:colOff>
      <xdr:row>346</xdr:row>
      <xdr:rowOff>108857</xdr:rowOff>
    </xdr:from>
    <xdr:to>
      <xdr:col>45</xdr:col>
      <xdr:colOff>315600</xdr:colOff>
      <xdr:row>362</xdr:row>
      <xdr:rowOff>27944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ADA80E44-BBE4-43A2-9013-BB7909D2A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46</xdr:col>
      <xdr:colOff>0</xdr:colOff>
      <xdr:row>347</xdr:row>
      <xdr:rowOff>0</xdr:rowOff>
    </xdr:from>
    <xdr:to>
      <xdr:col>54</xdr:col>
      <xdr:colOff>163200</xdr:colOff>
      <xdr:row>362</xdr:row>
      <xdr:rowOff>104144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FB315FD0-BE69-408A-8A7C-FB2B7FA3A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55</xdr:col>
      <xdr:colOff>0</xdr:colOff>
      <xdr:row>347</xdr:row>
      <xdr:rowOff>0</xdr:rowOff>
    </xdr:from>
    <xdr:to>
      <xdr:col>63</xdr:col>
      <xdr:colOff>163200</xdr:colOff>
      <xdr:row>362</xdr:row>
      <xdr:rowOff>104144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A7835004-93A5-4B0E-8BDD-18E9E0A56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64</xdr:col>
      <xdr:colOff>0</xdr:colOff>
      <xdr:row>347</xdr:row>
      <xdr:rowOff>0</xdr:rowOff>
    </xdr:from>
    <xdr:to>
      <xdr:col>72</xdr:col>
      <xdr:colOff>163200</xdr:colOff>
      <xdr:row>362</xdr:row>
      <xdr:rowOff>104144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00C49BB-B532-415F-9A92-8722244D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73</xdr:col>
      <xdr:colOff>0</xdr:colOff>
      <xdr:row>347</xdr:row>
      <xdr:rowOff>0</xdr:rowOff>
    </xdr:from>
    <xdr:to>
      <xdr:col>81</xdr:col>
      <xdr:colOff>163200</xdr:colOff>
      <xdr:row>362</xdr:row>
      <xdr:rowOff>104144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EACFE761-08C4-4437-873D-EBF4F563F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82</xdr:col>
      <xdr:colOff>0</xdr:colOff>
      <xdr:row>289</xdr:row>
      <xdr:rowOff>0</xdr:rowOff>
    </xdr:from>
    <xdr:to>
      <xdr:col>90</xdr:col>
      <xdr:colOff>163200</xdr:colOff>
      <xdr:row>304</xdr:row>
      <xdr:rowOff>104144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9D17582A-889A-4E8A-8802-097DBC785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30</xdr:col>
      <xdr:colOff>526869</xdr:colOff>
      <xdr:row>128</xdr:row>
      <xdr:rowOff>67491</xdr:rowOff>
    </xdr:from>
    <xdr:to>
      <xdr:col>41</xdr:col>
      <xdr:colOff>193954</xdr:colOff>
      <xdr:row>147</xdr:row>
      <xdr:rowOff>151405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890ECE1A-66BD-4853-9EFC-A04CCDBC8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21</xdr:col>
      <xdr:colOff>609600</xdr:colOff>
      <xdr:row>248</xdr:row>
      <xdr:rowOff>90055</xdr:rowOff>
    </xdr:from>
    <xdr:to>
      <xdr:col>28</xdr:col>
      <xdr:colOff>1116195</xdr:colOff>
      <xdr:row>264</xdr:row>
      <xdr:rowOff>9141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067EFB39-D4C8-458B-AC8A-4C58496ED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366</xdr:row>
      <xdr:rowOff>23751</xdr:rowOff>
    </xdr:from>
    <xdr:to>
      <xdr:col>7</xdr:col>
      <xdr:colOff>282943</xdr:colOff>
      <xdr:row>381</xdr:row>
      <xdr:rowOff>126089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1F79E0F6-520D-4FF5-BCBA-FC4D22746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</xdr:col>
      <xdr:colOff>431441</xdr:colOff>
      <xdr:row>366</xdr:row>
      <xdr:rowOff>32658</xdr:rowOff>
    </xdr:from>
    <xdr:to>
      <xdr:col>14</xdr:col>
      <xdr:colOff>235412</xdr:colOff>
      <xdr:row>381</xdr:row>
      <xdr:rowOff>131038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203B4D0-13BB-4773-A993-04787D4CC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14</xdr:col>
      <xdr:colOff>396953</xdr:colOff>
      <xdr:row>366</xdr:row>
      <xdr:rowOff>0</xdr:rowOff>
    </xdr:from>
    <xdr:to>
      <xdr:col>21</xdr:col>
      <xdr:colOff>494839</xdr:colOff>
      <xdr:row>381</xdr:row>
      <xdr:rowOff>98380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B4A527B6-CC6E-4052-9AAA-A9C2EAF40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21</xdr:col>
      <xdr:colOff>531422</xdr:colOff>
      <xdr:row>366</xdr:row>
      <xdr:rowOff>2969</xdr:rowOff>
    </xdr:from>
    <xdr:to>
      <xdr:col>28</xdr:col>
      <xdr:colOff>1038017</xdr:colOff>
      <xdr:row>381</xdr:row>
      <xdr:rowOff>101349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0E4C805A-180D-4411-92BF-E88CBC7FE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403411</xdr:colOff>
      <xdr:row>43</xdr:row>
      <xdr:rowOff>156883</xdr:rowOff>
    </xdr:from>
    <xdr:to>
      <xdr:col>28</xdr:col>
      <xdr:colOff>95623</xdr:colOff>
      <xdr:row>58</xdr:row>
      <xdr:rowOff>156883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51A6F7-647E-4D73-AAB8-C20E01EAF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493058</xdr:colOff>
      <xdr:row>45</xdr:row>
      <xdr:rowOff>89647</xdr:rowOff>
    </xdr:from>
    <xdr:to>
      <xdr:col>19</xdr:col>
      <xdr:colOff>188258</xdr:colOff>
      <xdr:row>60</xdr:row>
      <xdr:rowOff>89647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25866D-487E-4B8A-A250-CD2FFB351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127000</xdr:colOff>
      <xdr:row>14</xdr:row>
      <xdr:rowOff>59763</xdr:rowOff>
    </xdr:from>
    <xdr:to>
      <xdr:col>19</xdr:col>
      <xdr:colOff>434788</xdr:colOff>
      <xdr:row>27</xdr:row>
      <xdr:rowOff>100627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762C40-70F4-4870-A62E-291C8979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67235</xdr:colOff>
      <xdr:row>27</xdr:row>
      <xdr:rowOff>41834</xdr:rowOff>
    </xdr:from>
    <xdr:to>
      <xdr:col>26</xdr:col>
      <xdr:colOff>375024</xdr:colOff>
      <xdr:row>40</xdr:row>
      <xdr:rowOff>82698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30968F-456F-4B68-A8B2-1370D11D2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268941</xdr:colOff>
      <xdr:row>34</xdr:row>
      <xdr:rowOff>89647</xdr:rowOff>
    </xdr:from>
    <xdr:to>
      <xdr:col>18</xdr:col>
      <xdr:colOff>576729</xdr:colOff>
      <xdr:row>47</xdr:row>
      <xdr:rowOff>130511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094FA0-8562-4A15-85C9-EF0DFB01E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340659</xdr:colOff>
      <xdr:row>1</xdr:row>
      <xdr:rowOff>107577</xdr:rowOff>
    </xdr:from>
    <xdr:to>
      <xdr:col>28</xdr:col>
      <xdr:colOff>503859</xdr:colOff>
      <xdr:row>17</xdr:row>
      <xdr:rowOff>118871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2741843-CF6F-44ED-BBAC-3426DAFF6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457198</xdr:colOff>
      <xdr:row>1</xdr:row>
      <xdr:rowOff>107577</xdr:rowOff>
    </xdr:from>
    <xdr:to>
      <xdr:col>38</xdr:col>
      <xdr:colOff>10798</xdr:colOff>
      <xdr:row>17</xdr:row>
      <xdr:rowOff>118871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D9981D-A781-4CD9-9898-8D09DF4C8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507402</xdr:colOff>
      <xdr:row>19</xdr:row>
      <xdr:rowOff>5453</xdr:rowOff>
    </xdr:from>
    <xdr:to>
      <xdr:col>35</xdr:col>
      <xdr:colOff>61002</xdr:colOff>
      <xdr:row>37</xdr:row>
      <xdr:rowOff>62753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19D39639-9BD0-4E17-A6CB-F5CA17EF231D}"/>
            </a:ext>
          </a:extLst>
        </xdr:cNvPr>
        <xdr:cNvGrpSpPr/>
      </xdr:nvGrpSpPr>
      <xdr:grpSpPr>
        <a:xfrm>
          <a:off x="16652837" y="3412041"/>
          <a:ext cx="5040000" cy="3284594"/>
          <a:chOff x="16652837" y="3412041"/>
          <a:chExt cx="5040000" cy="3284594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8ADD0AC5-6EAF-4347-8489-6FC878BF327B}"/>
              </a:ext>
            </a:extLst>
          </xdr:cNvPr>
          <xdr:cNvGraphicFramePr/>
        </xdr:nvGraphicFramePr>
        <xdr:xfrm>
          <a:off x="16652837" y="3412041"/>
          <a:ext cx="5040000" cy="32845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ECF380BF-741C-4C93-8C10-0BD841363C85}"/>
              </a:ext>
            </a:extLst>
          </xdr:cNvPr>
          <xdr:cNvGrpSpPr/>
        </xdr:nvGrpSpPr>
        <xdr:grpSpPr>
          <a:xfrm>
            <a:off x="17266023" y="6176684"/>
            <a:ext cx="4312023" cy="439977"/>
            <a:chOff x="17266023" y="6176684"/>
            <a:chExt cx="4312023" cy="439977"/>
          </a:xfrm>
        </xdr:grpSpPr>
        <xdr:sp macro="" textlink="">
          <xdr:nvSpPr>
            <xdr:cNvPr id="3" name="Rectangle 2">
              <a:extLst>
                <a:ext uri="{FF2B5EF4-FFF2-40B4-BE49-F238E27FC236}">
                  <a16:creationId xmlns:a16="http://schemas.microsoft.com/office/drawing/2014/main" id="{58D8EACD-18A6-4370-A8C4-7B8B28090E83}"/>
                </a:ext>
              </a:extLst>
            </xdr:cNvPr>
            <xdr:cNvSpPr/>
          </xdr:nvSpPr>
          <xdr:spPr>
            <a:xfrm>
              <a:off x="17266023" y="6176684"/>
              <a:ext cx="4312023" cy="180000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GB" sz="1000">
                  <a:latin typeface="Arial" panose="020B0604020202020204" pitchFamily="34" charset="0"/>
                  <a:cs typeface="Arial" panose="020B0604020202020204" pitchFamily="34" charset="0"/>
                </a:rPr>
                <a:t>Nitrogen</a:t>
              </a:r>
              <a:r>
                <a:rPr lang="en-GB" sz="1000" baseline="0">
                  <a:latin typeface="Arial" panose="020B0604020202020204" pitchFamily="34" charset="0"/>
                  <a:cs typeface="Arial" panose="020B0604020202020204" pitchFamily="34" charset="0"/>
                </a:rPr>
                <a:t> loading rate, kgN m</a:t>
              </a:r>
              <a:r>
                <a:rPr lang="en-GB" sz="1000" baseline="30000">
                  <a:latin typeface="Arial" panose="020B0604020202020204" pitchFamily="34" charset="0"/>
                  <a:cs typeface="Arial" panose="020B0604020202020204" pitchFamily="34" charset="0"/>
                </a:rPr>
                <a:t>-3</a:t>
              </a:r>
              <a:r>
                <a:rPr lang="en-GB" sz="1000" baseline="0">
                  <a:latin typeface="Arial" panose="020B0604020202020204" pitchFamily="34" charset="0"/>
                  <a:cs typeface="Arial" panose="020B0604020202020204" pitchFamily="34" charset="0"/>
                </a:rPr>
                <a:t>d</a:t>
              </a:r>
              <a:r>
                <a:rPr lang="en-GB" sz="1000" baseline="30000">
                  <a:latin typeface="Arial" panose="020B0604020202020204" pitchFamily="34" charset="0"/>
                  <a:cs typeface="Arial" panose="020B0604020202020204" pitchFamily="34" charset="0"/>
                </a:rPr>
                <a:t>-1</a:t>
              </a:r>
              <a:endParaRPr lang="en-GB" sz="10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4EB1A170-591D-4B3C-A812-37CD788C7C3F}"/>
                </a:ext>
              </a:extLst>
            </xdr:cNvPr>
            <xdr:cNvSpPr/>
          </xdr:nvSpPr>
          <xdr:spPr>
            <a:xfrm>
              <a:off x="17266023" y="6436661"/>
              <a:ext cx="900000" cy="180000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GB" sz="1000">
                  <a:latin typeface="Arial" panose="020B0604020202020204" pitchFamily="34" charset="0"/>
                  <a:cs typeface="Arial" panose="020B0604020202020204" pitchFamily="34" charset="0"/>
                </a:rPr>
                <a:t>0.72 ± 0.46</a:t>
              </a:r>
            </a:p>
          </xdr:txBody>
        </xdr:sp>
        <xdr:sp macro="" textlink="">
          <xdr:nvSpPr>
            <xdr:cNvPr id="12" name="Rectangle 11">
              <a:extLst>
                <a:ext uri="{FF2B5EF4-FFF2-40B4-BE49-F238E27FC236}">
                  <a16:creationId xmlns:a16="http://schemas.microsoft.com/office/drawing/2014/main" id="{35865BFA-14F8-438A-B195-232573272EE7}"/>
                </a:ext>
              </a:extLst>
            </xdr:cNvPr>
            <xdr:cNvSpPr/>
          </xdr:nvSpPr>
          <xdr:spPr>
            <a:xfrm>
              <a:off x="18404542" y="6436661"/>
              <a:ext cx="900000" cy="180000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GB" sz="1000">
                  <a:latin typeface="Arial" panose="020B0604020202020204" pitchFamily="34" charset="0"/>
                  <a:cs typeface="Arial" panose="020B0604020202020204" pitchFamily="34" charset="0"/>
                </a:rPr>
                <a:t>0.33 ± 0.26</a:t>
              </a:r>
            </a:p>
          </xdr:txBody>
        </xdr:sp>
        <xdr:sp macro="" textlink="">
          <xdr:nvSpPr>
            <xdr:cNvPr id="13" name="Rectangle 12">
              <a:extLst>
                <a:ext uri="{FF2B5EF4-FFF2-40B4-BE49-F238E27FC236}">
                  <a16:creationId xmlns:a16="http://schemas.microsoft.com/office/drawing/2014/main" id="{E461E05C-F2FC-43C9-ADE3-5742862646DB}"/>
                </a:ext>
              </a:extLst>
            </xdr:cNvPr>
            <xdr:cNvSpPr/>
          </xdr:nvSpPr>
          <xdr:spPr>
            <a:xfrm>
              <a:off x="19569953" y="6436661"/>
              <a:ext cx="900000" cy="180000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GB" sz="1000">
                  <a:latin typeface="Arial" panose="020B0604020202020204" pitchFamily="34" charset="0"/>
                  <a:cs typeface="Arial" panose="020B0604020202020204" pitchFamily="34" charset="0"/>
                </a:rPr>
                <a:t>0.68 ± 0.27</a:t>
              </a:r>
            </a:p>
          </xdr:txBody>
        </xdr:sp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191496B7-9711-45AE-BC65-0B566F3BD0D2}"/>
                </a:ext>
              </a:extLst>
            </xdr:cNvPr>
            <xdr:cNvSpPr/>
          </xdr:nvSpPr>
          <xdr:spPr>
            <a:xfrm>
              <a:off x="20678046" y="6436661"/>
              <a:ext cx="900000" cy="180000"/>
            </a:xfrm>
            <a:prstGeom prst="rect">
              <a:avLst/>
            </a:prstGeom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en-GB" sz="1000">
                  <a:latin typeface="Arial" panose="020B0604020202020204" pitchFamily="34" charset="0"/>
                  <a:cs typeface="Arial" panose="020B0604020202020204" pitchFamily="34" charset="0"/>
                </a:rPr>
                <a:t>0.29 ± 0.13</a:t>
              </a:r>
            </a:p>
          </xdr:txBody>
        </xdr:sp>
      </xdr:grpSp>
    </xdr:grpSp>
    <xdr:clientData/>
  </xdr:twoCellAnchor>
  <xdr:twoCellAnchor>
    <xdr:from>
      <xdr:col>12</xdr:col>
      <xdr:colOff>8966</xdr:colOff>
      <xdr:row>78</xdr:row>
      <xdr:rowOff>125506</xdr:rowOff>
    </xdr:from>
    <xdr:to>
      <xdr:col>20</xdr:col>
      <xdr:colOff>172166</xdr:colOff>
      <xdr:row>94</xdr:row>
      <xdr:rowOff>136800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2EB6C23-CB47-4266-ACE7-8939AF24B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62</xdr:row>
      <xdr:rowOff>0</xdr:rowOff>
    </xdr:from>
    <xdr:to>
      <xdr:col>20</xdr:col>
      <xdr:colOff>163200</xdr:colOff>
      <xdr:row>78</xdr:row>
      <xdr:rowOff>11294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AD19CE13-DD73-4424-A110-61D4BD5EC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35</xdr:col>
      <xdr:colOff>17929</xdr:colOff>
      <xdr:row>19</xdr:row>
      <xdr:rowOff>35860</xdr:rowOff>
    </xdr:from>
    <xdr:to>
      <xdr:col>43</xdr:col>
      <xdr:colOff>181129</xdr:colOff>
      <xdr:row>34</xdr:row>
      <xdr:rowOff>125506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4D5A00A-E1D1-48DA-A0D8-85454C983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121920</xdr:colOff>
      <xdr:row>1</xdr:row>
      <xdr:rowOff>171450</xdr:rowOff>
    </xdr:from>
    <xdr:to>
      <xdr:col>9</xdr:col>
      <xdr:colOff>426720</xdr:colOff>
      <xdr:row>16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EC2A62-16D6-4C20-B0BF-CB357C27F8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156210</xdr:colOff>
      <xdr:row>5</xdr:row>
      <xdr:rowOff>40005</xdr:rowOff>
    </xdr:from>
    <xdr:to>
      <xdr:col>2</xdr:col>
      <xdr:colOff>487410</xdr:colOff>
      <xdr:row>17</xdr:row>
      <xdr:rowOff>28305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1539857A-FCB1-43B3-BB42-4317C7CD70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6210" y="678180"/>
              <a:ext cx="216000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156210</xdr:colOff>
      <xdr:row>17</xdr:row>
      <xdr:rowOff>144780</xdr:rowOff>
    </xdr:from>
    <xdr:to>
      <xdr:col>2</xdr:col>
      <xdr:colOff>487410</xdr:colOff>
      <xdr:row>29</xdr:row>
      <xdr:rowOff>133080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8326B432-96E5-4B3D-9EE5-BAE9F59A1E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6210" y="678180"/>
              <a:ext cx="216000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180975</xdr:colOff>
      <xdr:row>5</xdr:row>
      <xdr:rowOff>40005</xdr:rowOff>
    </xdr:from>
    <xdr:to>
      <xdr:col>6</xdr:col>
      <xdr:colOff>512175</xdr:colOff>
      <xdr:row>17</xdr:row>
      <xdr:rowOff>28305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0BCE0656-3603-4398-8DE9-39978C568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75" y="678180"/>
              <a:ext cx="216000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180975</xdr:colOff>
      <xdr:row>17</xdr:row>
      <xdr:rowOff>144780</xdr:rowOff>
    </xdr:from>
    <xdr:to>
      <xdr:col>6</xdr:col>
      <xdr:colOff>512175</xdr:colOff>
      <xdr:row>29</xdr:row>
      <xdr:rowOff>133080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6F899744-5ED0-4744-8043-0EFE49A417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75" y="678180"/>
              <a:ext cx="216000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7</xdr:col>
      <xdr:colOff>180975</xdr:colOff>
      <xdr:row>5</xdr:row>
      <xdr:rowOff>40005</xdr:rowOff>
    </xdr:from>
    <xdr:to>
      <xdr:col>10</xdr:col>
      <xdr:colOff>512175</xdr:colOff>
      <xdr:row>17</xdr:row>
      <xdr:rowOff>28305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0A3BB036-5896-4CEE-9174-17F211CD71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7775" y="678180"/>
              <a:ext cx="216000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7</xdr:col>
      <xdr:colOff>180975</xdr:colOff>
      <xdr:row>17</xdr:row>
      <xdr:rowOff>144780</xdr:rowOff>
    </xdr:from>
    <xdr:to>
      <xdr:col>10</xdr:col>
      <xdr:colOff>512175</xdr:colOff>
      <xdr:row>29</xdr:row>
      <xdr:rowOff>133080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829E1C4A-B7C7-4E3C-8E7F-39B0111627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7775" y="678180"/>
              <a:ext cx="216000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11</xdr:col>
      <xdr:colOff>180975</xdr:colOff>
      <xdr:row>5</xdr:row>
      <xdr:rowOff>40005</xdr:rowOff>
    </xdr:from>
    <xdr:to>
      <xdr:col>14</xdr:col>
      <xdr:colOff>512175</xdr:colOff>
      <xdr:row>17</xdr:row>
      <xdr:rowOff>28305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167EE9A7-228E-4700-BB90-1CBBAC2309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96175" y="678180"/>
              <a:ext cx="216000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11</xdr:col>
      <xdr:colOff>180975</xdr:colOff>
      <xdr:row>17</xdr:row>
      <xdr:rowOff>144780</xdr:rowOff>
    </xdr:from>
    <xdr:to>
      <xdr:col>14</xdr:col>
      <xdr:colOff>512175</xdr:colOff>
      <xdr:row>29</xdr:row>
      <xdr:rowOff>133080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CD4F2630-B732-485B-81F8-A5E67CAEF99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96175" y="678180"/>
              <a:ext cx="216000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15</xdr:col>
      <xdr:colOff>90488</xdr:colOff>
      <xdr:row>84</xdr:row>
      <xdr:rowOff>4763</xdr:rowOff>
    </xdr:from>
    <xdr:to>
      <xdr:col>22</xdr:col>
      <xdr:colOff>395288</xdr:colOff>
      <xdr:row>98</xdr:row>
      <xdr:rowOff>157163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305080-961A-4BFE-B2B3-05A12A8EB7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hameswater-my.sharepoint.com/Users/s260278/AppData/Roaming/Microsoft/AddIns/RealStats.xla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XRealStats.xla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chs\AppData\Roaming\Microsoft\AddIns\XRealStats.xla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hameswater-my.sharepoint.com/Users/ochsp/AppData/Roaming/Microsoft/AddIns/RealStat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Wilcoxon Table"/>
      <sheetName val="Mann Table"/>
      <sheetName val="Runs Table"/>
      <sheetName val="KS Table"/>
      <sheetName val="KS2 Table"/>
      <sheetName val="Lil Table"/>
      <sheetName val="AD Table"/>
      <sheetName val="SW Table"/>
      <sheetName val="Stud. Q Table"/>
      <sheetName val="Stud. Q Table 2"/>
      <sheetName val="Sp Rho Table"/>
      <sheetName val="Ken Tau Table"/>
      <sheetName val="Durbin Table"/>
      <sheetName val="Dunnett Table"/>
      <sheetName val="RealStats"/>
    </sheetNames>
    <definedNames>
      <definedName name="T_DIST_2T"/>
      <definedName name="T_DIST_RT"/>
      <definedName name="T_INV"/>
      <definedName name="T_INV_2T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Wilcoxon Table"/>
      <sheetName val="Mann Table"/>
      <sheetName val="Runs Table"/>
      <sheetName val="KS Table"/>
      <sheetName val="KS2 Table"/>
      <sheetName val="Lil Table"/>
      <sheetName val="AD Table"/>
      <sheetName val="AD2 Table"/>
      <sheetName val="SW Table"/>
      <sheetName val="Stud. Q Table"/>
      <sheetName val="Stud. Q Table 2"/>
      <sheetName val="Sp Rho Table"/>
      <sheetName val="Ken Tau Table"/>
      <sheetName val="Durbin Table"/>
      <sheetName val="Dunnett Table"/>
      <sheetName val="Prime"/>
    </sheetNames>
    <definedNames>
      <definedName name="MWDIST"/>
      <definedName name="QCRIT"/>
      <definedName name="QDIST"/>
      <definedName name="RANK_SUM"/>
      <definedName name="T_DIST_2T"/>
      <definedName name="T_DIST_RT"/>
      <definedName name="T_INV"/>
      <definedName name="T_INV_2T"/>
      <definedName name="TiesCorrection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Wilcoxon Table"/>
      <sheetName val="Mann Table"/>
      <sheetName val="Runs Table"/>
      <sheetName val="KS Table"/>
      <sheetName val="KS2 Table"/>
      <sheetName val="Lil Table"/>
      <sheetName val="AD Table"/>
      <sheetName val="AD2 Table"/>
      <sheetName val="SW Table"/>
      <sheetName val="Stud. Q Table"/>
      <sheetName val="Stud. Q Table 2"/>
      <sheetName val="Sp Rho Table"/>
      <sheetName val="Ken Tau Table"/>
      <sheetName val="Durbin Table"/>
      <sheetName val="Dunnett Table"/>
      <sheetName val="Prime"/>
      <sheetName val="XRealStats"/>
    </sheetNames>
    <definedNames>
      <definedName name="MWDIST"/>
      <definedName name="QCRIT"/>
      <definedName name="QDIST"/>
      <definedName name="RANK_SUM"/>
      <definedName name="T_DIST_2T"/>
      <definedName name="T_DIST_RT"/>
      <definedName name="T_INV"/>
      <definedName name="T_INV_2T"/>
      <definedName name="TiesCorrection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Wilcoxon Table"/>
      <sheetName val="Mann Table"/>
      <sheetName val="Runs Table"/>
      <sheetName val="KS Table"/>
      <sheetName val="KS2 Table"/>
      <sheetName val="Lil Table"/>
      <sheetName val="AD Table"/>
      <sheetName val="SW Table"/>
      <sheetName val="Stud. Q Table"/>
      <sheetName val="Stud. Q Table 2"/>
      <sheetName val="Sp Rho Table"/>
      <sheetName val="Ken Tau Table"/>
      <sheetName val="Durbin Table"/>
      <sheetName val="Dunnett Table"/>
      <sheetName val="RealStats"/>
    </sheetNames>
    <definedNames>
      <definedName name="MWDIST"/>
      <definedName name="RANK_SUM"/>
      <definedName name="TiesCorrection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ascal  Ochs" id="{41463EF3-B285-4895-989F-125C9458EB83}" userId="S::pascal.ochs@thameswater.co.uk::6866bb27-bf5b-4db6-b34e-e814cf4175b7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Influent" displayName="Influent" ref="A3:W93" totalsRowShown="0" headerRowDxfId="626">
  <autoFilter ref="A3:W93" xr:uid="{00000000-0009-0000-0100-000002000000}"/>
  <tableColumns count="23">
    <tableColumn id="1" xr3:uid="{00000000-0010-0000-0000-000001000000}" name="Date" dataDxfId="625"/>
    <tableColumn id="2" xr3:uid="{00000000-0010-0000-0000-000002000000}" name="Sample number"/>
    <tableColumn id="18" xr3:uid="{00000000-0010-0000-0000-000012000000}" name="Temperature (°C)"/>
    <tableColumn id="3" xr3:uid="{00000000-0010-0000-0000-000003000000}" name="ORP" dataDxfId="624"/>
    <tableColumn id="4" xr3:uid="{00000000-0010-0000-0000-000004000000}" name="COD (mg L-1)"/>
    <tableColumn id="23" xr3:uid="{00000000-0010-0000-0000-000017000000}" name="sCOD (mg L-1)" dataDxfId="623">
      <calculatedColumnFormula>Influent[[#This Row],[COD (mg L-1)]]*Information!$AK$40</calculatedColumnFormula>
    </tableColumn>
    <tableColumn id="15" xr3:uid="{00000000-0010-0000-0000-00000F000000}" name="Alkalinity (mg CaCO3 L-1) " dataDxfId="622"/>
    <tableColumn id="5" xr3:uid="{00000000-0010-0000-0000-000005000000}" name="pHinf"/>
    <tableColumn id="6" xr3:uid="{00000000-0010-0000-0000-000006000000}" name="TSS (mg L-1)"/>
    <tableColumn id="7" xr3:uid="{00000000-0010-0000-0000-000007000000}" name="VSS (mg L-1)"/>
    <tableColumn id="14" xr3:uid="{00000000-0010-0000-0000-00000E000000}" name="P sol (mg L-1)" dataDxfId="621"/>
    <tableColumn id="12" xr3:uid="{00000000-0010-0000-0000-00000C000000}" name="TON (mg L-1)" dataDxfId="620"/>
    <tableColumn id="20" xr3:uid="{00000000-0010-0000-0000-000014000000}" name="NH4+ (mg L-1)" dataDxfId="619">
      <calculatedColumnFormula>Influent[[#This Row],[NH4-N (mg L-1)]]*1.288</calculatedColumnFormula>
    </tableColumn>
    <tableColumn id="16" xr3:uid="{00000000-0010-0000-0000-000010000000}" name="NO3- (mg L-1)" dataDxfId="618">
      <calculatedColumnFormula>(Influent[[#This Row],[TON (mg L-1)]]-Influent[[#This Row],[NO2- (mg L-1)]])*4.426</calculatedColumnFormula>
    </tableColumn>
    <tableColumn id="19" xr3:uid="{00000000-0010-0000-0000-000013000000}" name="NO2- (mg L-1)" dataDxfId="617">
      <calculatedColumnFormula>Influent[[#This Row],[NO2-N (mg L-1)]]*3.284</calculatedColumnFormula>
    </tableColumn>
    <tableColumn id="11" xr3:uid="{00000000-0010-0000-0000-00000B000000}" name="NH4-N (mg L-1)" dataDxfId="616"/>
    <tableColumn id="10" xr3:uid="{00000000-0010-0000-0000-00000A000000}" name="NO2-N (mg L-1)" dataDxfId="615"/>
    <tableColumn id="9" xr3:uid="{00000000-0010-0000-0000-000009000000}" name="NO3-N (mg L-1)" dataDxfId="614">
      <calculatedColumnFormula>IF(Influent[[#This Row],[TON (mg L-1)]]-Influent[[#This Row],[NO2-N (mg L-1)]]&lt;0,0.2,Influent[[#This Row],[TON (mg L-1)]]-Influent[[#This Row],[NO2-N (mg L-1)]])</calculatedColumnFormula>
    </tableColumn>
    <tableColumn id="13" xr3:uid="{00000000-0010-0000-0000-00000D000000}" name="TN (mg L-1)" dataDxfId="613">
      <calculatedColumnFormula>SUM(Influent[[#This Row],[NO3-N (mg L-1)]],Influent[[#This Row],[NO2-N (mg L-1)]],Influent[[#This Row],[NH4-N (mg L-1)]])</calculatedColumnFormula>
    </tableColumn>
    <tableColumn id="21" xr3:uid="{00000000-0010-0000-0000-000015000000}" name="sC/ N " dataDxfId="612">
      <calculatedColumnFormula>IFERROR(Influent[[#This Row],[sCOD (mg L-1)]]/Influent[[#This Row],[TN (mg L-1)]], 0)</calculatedColumnFormula>
    </tableColumn>
    <tableColumn id="17" xr3:uid="{00000000-0010-0000-0000-000011000000}" name="Alk/ TN" dataDxfId="611">
      <calculatedColumnFormula>Influent[[#This Row],[Alkalinity (mg CaCO3 L-1) ]]/Influent[[#This Row],[TN (mg L-1)]]</calculatedColumnFormula>
    </tableColumn>
    <tableColumn id="8" xr3:uid="{00000000-0010-0000-0000-000008000000}" name="VSS/TSS" dataDxfId="610">
      <calculatedColumnFormula>Influent[[#This Row],[VSS (mg L-1)]]/Influent[[#This Row],[TSS (mg L-1)]]</calculatedColumnFormula>
    </tableColumn>
    <tableColumn id="22" xr3:uid="{00000000-0010-0000-0000-000016000000}" name="Comments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stableMED" displayName="stableMED" ref="A3:BB87" headerRowDxfId="217">
  <autoFilter ref="A3:BB87" xr:uid="{00000000-0009-0000-0100-00000A000000}"/>
  <tableColumns count="54">
    <tableColumn id="1" xr3:uid="{00000000-0010-0000-0800-000001000000}" name="Date" totalsRowLabel="Total" dataDxfId="216" totalsRowDxfId="215"/>
    <tableColumn id="2" xr3:uid="{00000000-0010-0000-0800-000002000000}" name="Sample _x000a_number"/>
    <tableColumn id="31" xr3:uid="{00000000-0010-0000-0800-00001F000000}" name="Flow _x000a_(L h-1)" dataDxfId="214" totalsRowDxfId="213"/>
    <tableColumn id="21" xr3:uid="{00000000-0010-0000-0800-000015000000}" name="Flow _x000a_(m3 d-1)" dataDxfId="212" totalsRowDxfId="211">
      <calculatedColumnFormula>stableMED[[#This Row],[Flow 
(L h-1)]]/1000*24</calculatedColumnFormula>
    </tableColumn>
    <tableColumn id="27" xr3:uid="{00000000-0010-0000-0800-00001B000000}" name="HRT _x000a_(h)" dataDxfId="210" totalsRowDxfId="209">
      <calculatedColumnFormula>IF(IFERROR(Information!$R$47/stableMED[[#This Row],[Flow 
(m3 d-1)]]*24,0)&lt;0,0,IFERROR(Information!$R$47/stableMED[[#This Row],[Flow 
(m3 d-1)]]*24,0))</calculatedColumnFormula>
    </tableColumn>
    <tableColumn id="29" xr3:uid="{00000000-0010-0000-0800-00001D000000}" name="pHreactor" dataDxfId="208" totalsRowDxfId="207"/>
    <tableColumn id="28" xr3:uid="{00000000-0010-0000-0800-00001C000000}" name="DO _x000a_(mg L-1)" dataDxfId="206" totalsRowDxfId="205"/>
    <tableColumn id="30" xr3:uid="{00000000-0010-0000-0800-00001E000000}" name="Temp. _x000a_(°C)" dataDxfId="204" totalsRowDxfId="203"/>
    <tableColumn id="40" xr3:uid="{00000000-0010-0000-0800-000028000000}" name="MLSS _x000a_(mg L-1)" dataDxfId="202" totalsRowDxfId="201"/>
    <tableColumn id="39" xr3:uid="{00000000-0010-0000-0800-000027000000}" name="MLVSS _x000a_(mg L-1)" totalsRowFunction="average" dataDxfId="200" totalsRowDxfId="199"/>
    <tableColumn id="4" xr3:uid="{00000000-0010-0000-0800-000004000000}" name="COD _x000a_(mg L-1)"/>
    <tableColumn id="24" xr3:uid="{00000000-0010-0000-0800-000018000000}" name="sCOD" dataDxfId="198">
      <calculatedColumnFormula>stableMED[[#This Row],[COD 
(mg L-1)]]*Information!$AK$42</calculatedColumnFormula>
    </tableColumn>
    <tableColumn id="15" xr3:uid="{00000000-0010-0000-0800-00000F000000}" name="Alkalinity _x000a_(mg CaCO3 L-1) "/>
    <tableColumn id="5" xr3:uid="{00000000-0010-0000-0800-000005000000}" name="pHeff"/>
    <tableColumn id="6" xr3:uid="{00000000-0010-0000-0800-000006000000}" name="TSS _x000a_(mg L-1)"/>
    <tableColumn id="7" xr3:uid="{00000000-0010-0000-0800-000007000000}" name="VSS _x000a_(mg L-1)"/>
    <tableColumn id="14" xr3:uid="{00000000-0010-0000-0800-00000E000000}" name="P sol _x000a_(mg L-1)"/>
    <tableColumn id="12" xr3:uid="{00000000-0010-0000-0800-00000C000000}" name="TON _x000a_(mg L-1)"/>
    <tableColumn id="23" xr3:uid="{00000000-0010-0000-0800-000017000000}" name="NH4+ (mg L-1)" dataDxfId="197" totalsRowDxfId="196">
      <calculatedColumnFormula>stableMED[[#This Row],[NH4-N 
(mg L-1)]]*1.288</calculatedColumnFormula>
    </tableColumn>
    <tableColumn id="10" xr3:uid="{00000000-0010-0000-0800-00000A000000}" name="NO2- (mg L-1)" dataDxfId="195" totalsRowDxfId="194">
      <calculatedColumnFormula>stableMED[[#This Row],[NO2-N 
(mg L-1)]]*3.284</calculatedColumnFormula>
    </tableColumn>
    <tableColumn id="9" xr3:uid="{00000000-0010-0000-0800-000009000000}" name="NO3- (mg L-1)" dataDxfId="193" totalsRowDxfId="192">
      <calculatedColumnFormula>(stableMED[[#This Row],[NO3-N 
(mg L-1)]])*4.426</calculatedColumnFormula>
    </tableColumn>
    <tableColumn id="11" xr3:uid="{00000000-0010-0000-0800-00000B000000}" name="NH4-N _x000a_(mg L-1)" dataDxfId="191" totalsRowDxfId="190"/>
    <tableColumn id="22" xr3:uid="{00000000-0010-0000-0800-000016000000}" name="NO2-N _x000a_(mg L-1)" dataDxfId="189" totalsRowDxfId="188"/>
    <tableColumn id="20" xr3:uid="{00000000-0010-0000-0800-000014000000}" name="NO3-N _x000a_(mg L-1)" dataDxfId="187" totalsRowDxfId="186">
      <calculatedColumnFormula>IF(stableMED[[#This Row],[TON 
(mg L-1)]]-stableMED[[#This Row],[NO2-N 
(mg L-1)]]&lt;0,0.192,stableMED[[#This Row],[TON 
(mg L-1)]]-stableMED[[#This Row],[NO2-N 
(mg L-1)]])</calculatedColumnFormula>
    </tableColumn>
    <tableColumn id="13" xr3:uid="{00000000-0010-0000-0800-00000D000000}" name="TN _x000a_(mg L-1)" dataDxfId="185" totalsRowDxfId="184">
      <calculatedColumnFormula>SUM(stableMED[[#This Row],[NH4-N 
(mg L-1)]],stableMED[[#This Row],[NO3-N 
(mg L-1)]],stableMED[[#This Row],[NO2-N 
(mg L-1)]])</calculatedColumnFormula>
    </tableColumn>
    <tableColumn id="19" xr3:uid="{00000000-0010-0000-0800-000013000000}" name="NO3-N/ NH4-N" totalsRowFunction="average" dataDxfId="183" totalsRowDxfId="182" dataCellStyle="Percent">
      <calculatedColumnFormula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calculatedColumnFormula>
    </tableColumn>
    <tableColumn id="18" xr3:uid="{00000000-0010-0000-0800-000012000000}" name="NO2-N/ NH4-N" dataDxfId="181" totalsRowDxfId="180" dataCellStyle="Percent">
      <calculatedColumnFormula>IF(IFERROR(stableMED[[#This Row],[NO2-N 
(mg L-1)]]/stableMED[[#This Row],[NH4-N 
(mg L-1)]],0)&lt;0,0,IFERROR(stableMED[[#This Row],[NO2-N 
(mg L-1)]]/stableMED[[#This Row],[NH4-N 
(mg L-1)]],0))</calculatedColumnFormula>
    </tableColumn>
    <tableColumn id="16" xr3:uid="{00000000-0010-0000-0800-000010000000}" name="NO2/ NOx" dataDxfId="179" totalsRowDxfId="178" dataCellStyle="Percent">
      <calculatedColumnFormula>stableMED[[#This Row],[NO2-N 
(mg L-1)]]/(stableMED[[#This Row],[NO3-N 
(mg L-1)]]+stableMED[[#This Row],[NO2-N 
(mg L-1)]])</calculatedColumnFormula>
    </tableColumn>
    <tableColumn id="45" xr3:uid="{00000000-0010-0000-0800-00002D000000}" name="FNA _x000a_(mg L-1)" dataDxfId="177" totalsRowDxfId="176">
      <calculatedColumnFormula>46/14*stableMED[[#This Row],[NO2-N 
(mg L-1)]]/(EXP(-2300/(stableMED[[#This Row],[Temp. 
(°C)]]+273))*10^(stableMED[[#This Row],[pHreactor]]))</calculatedColumnFormula>
    </tableColumn>
    <tableColumn id="8" xr3:uid="{00000000-0010-0000-0800-000008000000}" name="FA _x000a_(mg L-1)" dataDxfId="175" totalsRowDxfId="174">
      <calculatedColumnFormula>17/14*stableMED[NH4-N 
(mg L-1)]*10^stableMED[[#This Row],[pHreactor]]/(EXP((6344/(273+stableMED[[#This Row],[Temp. 
(°C)]])))+10^stableMED[pHreactor])</calculatedColumnFormula>
    </tableColumn>
    <tableColumn id="42" xr3:uid="{00000000-0010-0000-0800-00002A000000}" name="ALRMedia (g N m-2 d-1)" dataDxfId="173" totalsRowDxfId="172">
      <calculatedColumnFormula>Influent[[#This Row],[NH4-N (mg L-1)]]*stableMED[[#This Row],[Flow 
(m3 d-1)]]/(Information!$R$48*Information!$R$49)</calculatedColumnFormula>
    </tableColumn>
    <tableColumn id="41" xr3:uid="{00000000-0010-0000-0800-000029000000}" name="ARRMedia (g N m-2 d-1)" dataDxfId="171" totalsRowDxfId="170">
      <calculatedColumnFormula>(Influent[[#This Row],[NH4-N (mg L-1)]]-stableMED[[#This Row],[NH4-N 
(mg L-1)]])*stableMED[[#This Row],[Flow 
(m3 d-1)]]/(Information!$R$48*Information!$R$49)</calculatedColumnFormula>
    </tableColumn>
    <tableColumn id="44" xr3:uid="{00000000-0010-0000-0800-00002C000000}" name="OLRMedia (g COD m-2 d-1)" dataDxfId="169" totalsRowDxfId="168">
      <calculatedColumnFormula>Influent[[#This Row],[COD (mg L-1)]]*stableMED[[#This Row],[Flow 
(m3 d-1)]]/(Information!$R$48*Information!$R$49)</calculatedColumnFormula>
    </tableColumn>
    <tableColumn id="43" xr3:uid="{00000000-0010-0000-0800-00002B000000}" name="ORRMedia (g COD m-2 d-1)" dataDxfId="167" totalsRowDxfId="166">
      <calculatedColumnFormula>(Influent[[#This Row],[COD (mg L-1)]]-stableMED[[#This Row],[COD 
(mg L-1)]])*stableMED[[#This Row],[Flow 
(m3 d-1)]]/(Information!$R$48*Information!$R$49)</calculatedColumnFormula>
    </tableColumn>
    <tableColumn id="32" xr3:uid="{00000000-0010-0000-0800-000020000000}" name="ΔN (mg L-1)" dataDxfId="165" totalsRowDxfId="164" dataCellStyle="Percent">
      <calculatedColumnFormula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calculatedColumnFormula>
    </tableColumn>
    <tableColumn id="3" xr3:uid="{00000000-0010-0000-0800-000003000000}" name="ΔC (mg L-1)" dataDxfId="163" totalsRowDxfId="162">
      <calculatedColumnFormula>IFERROR(IF(Influent[[#This Row],[COD (mg L-1)]]-stableMED[[#This Row],[COD 
(mg L-1)]]&lt;0,0,Influent[[#This Row],[COD (mg L-1)]]-stableMED[[#This Row],[COD 
(mg L-1)]]),0)</calculatedColumnFormula>
    </tableColumn>
    <tableColumn id="46" xr3:uid="{00000000-0010-0000-0800-00002E000000}" name="ΔAlk (mg L-1)" dataDxfId="161" totalsRowDxfId="160">
      <calculatedColumnFormula>IFERROR(IF(Influent[[#This Row],[Alkalinity (mg CaCO3 L-1) ]]-stableMED[[#This Row],[Alkalinity 
(mg CaCO3 L-1) ]]&lt;0,0,Influent[[#This Row],[Alkalinity (mg CaCO3 L-1) ]]-stableMED[[#This Row],[Alkalinity 
(mg CaCO3 L-1) ]]),0)</calculatedColumnFormula>
    </tableColumn>
    <tableColumn id="38" xr3:uid="{00000000-0010-0000-0800-000026000000}" name="OLR_x000a_(kg COD m-3 d-1)" dataDxfId="159" totalsRowDxfId="158">
      <calculatedColumnFormula>Influent[[#This Row],[COD (mg L-1)]]/stableMED[[#This Row],[HRT 
(h)]]*24/1000</calculatedColumnFormula>
    </tableColumn>
    <tableColumn id="37" xr3:uid="{00000000-0010-0000-0800-000025000000}" name="ORR _x000a_(kg COD m-3 d-1)" dataDxfId="157" totalsRowDxfId="156">
      <calculatedColumnFormula>IF(((stableMED[[#This Row],[ΔC (mg L-1)]])*24/stableMED[[#This Row],[HRT 
(h)]]/1000) &lt;0,0, (stableMED[[#This Row],[ΔC (mg L-1)]])*24/stableMED[[#This Row],[HRT 
(h)]]/1000)</calculatedColumnFormula>
    </tableColumn>
    <tableColumn id="54" xr3:uid="{00000000-0010-0000-0800-000036000000}" name="ARR _x000a_(kg NH4-N m-3 d-1)" dataDxfId="155" totalsRowDxfId="154">
      <calculatedColumnFormula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calculatedColumnFormula>
    </tableColumn>
    <tableColumn id="34" xr3:uid="{00000000-0010-0000-0800-000022000000}" name="NLR _x000a_(kg N m-3 d-1)" dataDxfId="153" totalsRowDxfId="152">
      <calculatedColumnFormula>Influent[[#This Row],[TN (mg L-1)]]/stableMED[[#This Row],[HRT 
(h)]]*24/1000</calculatedColumnFormula>
    </tableColumn>
    <tableColumn id="35" xr3:uid="{00000000-0010-0000-0800-000023000000}" name="NRR _x000a_(kg N m-3 d-1)" dataDxfId="151" totalsRowDxfId="150">
      <calculatedColumnFormula>stableMED[[#This Row],[NRE 
(%)]]*stableMED[[#This Row],[NLR 
(kg N m-3 d-1)]]</calculatedColumnFormula>
    </tableColumn>
    <tableColumn id="26" xr3:uid="{00000000-0010-0000-0800-00001A000000}" name="ARE _x000a_(%)" dataDxfId="149" totalsRowDxfId="148" dataCellStyle="Percent">
      <calculatedColumnFormula>IFERROR(IF((Influent[[#This Row],[NH4-N (mg L-1)]]-stableMED[[#This Row],[NH4-N 
(mg L-1)]])/Influent[[#This Row],[NH4-N (mg L-1)]]&lt;0,0,(Influent[[#This Row],[NH4-N (mg L-1)]]-stableMED[[#This Row],[NH4-N 
(mg L-1)]])/Influent[[#This Row],[NH4-N (mg L-1)]]),0)</calculatedColumnFormula>
    </tableColumn>
    <tableColumn id="25" xr3:uid="{00000000-0010-0000-0800-000019000000}" name="NRE _x000a_(%)" dataDxfId="147" totalsRowDxfId="146" dataCellStyle="Percent">
      <calculatedColumnFormula>IF(IFERROR((Influent[[#This Row],[TN (mg L-1)]]-stableMED[[#This Row],[TN 
(mg L-1)]])/Influent[[#This Row],[TN (mg L-1)]],0)&lt;0,0,IFERROR((Influent[[#This Row],[TN (mg L-1)]]-stableMED[[#This Row],[TN 
(mg L-1)]])/Influent[[#This Row],[TN (mg L-1)]],0))</calculatedColumnFormula>
    </tableColumn>
    <tableColumn id="48" xr3:uid="{1DBEBD6E-BD74-4D72-8BE1-B9A0097C1BE7}" name="MLVSS per carrier _x000a_(mg L-1 carrier-1)" dataDxfId="145" dataCellStyle="Percent"/>
    <tableColumn id="47" xr3:uid="{CC005F03-FF77-4DCA-8374-08F3E2D6A7A5}" name="SAAcarrier_x000a_(g N g VSS-1d-1)" dataDxfId="144" totalsRowDxfId="143" dataCellStyle="Percent"/>
    <tableColumn id="33" xr3:uid="{9140DBEF-3699-4A24-9656-69B20F570665}" name="SAAsuspension_x000a_(g N g VSS-1d-1)" dataDxfId="142" totalsRowDxfId="141" dataCellStyle="Percent"/>
    <tableColumn id="36" xr3:uid="{00000000-0010-0000-0800-000024000000}" name="SAAcombined_x000a_(g N g VSS-1d-1)" dataDxfId="140" totalsRowDxfId="139"/>
    <tableColumn id="52" xr3:uid="{FEB66811-AAE7-4701-B94C-B9C2A98E412E}" name="MSAA (%) biofilm" totalsRowDxfId="138" dataCellStyle="Percent">
      <calculatedColumnFormula>stableMED[[#This Row],[SAAcarrier
(g N g VSS-1d-1)]]/MAX(stableMED[SAAcombined
(g N g VSS-1d-1)])</calculatedColumnFormula>
    </tableColumn>
    <tableColumn id="53" xr3:uid="{A10939B7-6C9B-4181-9181-A8ECD1953726}" name="MSAA (%) susp" totalsRowDxfId="137" dataCellStyle="Percent">
      <calculatedColumnFormula>stableMED[[#This Row],[SAAsuspension
(g N g VSS-1d-1)]]/MAX(stableMED[SAAcombined
(g N g VSS-1d-1)])</calculatedColumnFormula>
    </tableColumn>
    <tableColumn id="51" xr3:uid="{B4D503EC-C4B9-4D61-8F92-00B906CCD71B}" name="Ammonia residual to reach target" dataDxfId="136" totalsRowDxfId="135">
      <calculatedColumnFormula>stableMED[[#This Row],[NH4-N 
(mg L-1)]]-20</calculatedColumnFormula>
    </tableColumn>
    <tableColumn id="50" xr3:uid="{8BEEC41D-FBA9-40A2-88DA-6423260A3260}" name="Alkalinity need" dataDxfId="134" totalsRowDxfId="133">
      <calculatedColumnFormula>stableMED[[#This Row],[Ammonia residual to reach target]]*2.9</calculatedColumnFormula>
    </tableColumn>
    <tableColumn id="49" xr3:uid="{E6213063-2AB7-4F01-A454-74C27E96E896}" name="Alkalinity left" dataDxfId="132" totalsRowDxfId="131">
      <calculatedColumnFormula>stableMED[[#This Row],[Alkalinity 
(mg CaCO3 L-1) ]]-stableMED[[#This Row],[Alkalinity need]]-70</calculatedColumnFormula>
    </tableColumn>
    <tableColumn id="17" xr3:uid="{00000000-0010-0000-0800-000011000000}" name="Comments" totalsRowFunction="count"/>
  </tableColumns>
  <tableStyleInfo name="TableStyleLight2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stableGSBR" displayName="stableGSBR" ref="A3:AU93" headerRowDxfId="123">
  <autoFilter ref="A3:AU93" xr:uid="{00000000-0009-0000-0100-00000B000000}"/>
  <tableColumns count="47">
    <tableColumn id="1" xr3:uid="{00000000-0010-0000-0900-000001000000}" name="Date" totalsRowLabel="Total" dataDxfId="122" totalsRowDxfId="121"/>
    <tableColumn id="2" xr3:uid="{00000000-0010-0000-0900-000002000000}" name="Sample number"/>
    <tableColumn id="29" xr3:uid="{00000000-0010-0000-0900-00001D000000}" name="Flow _x000a_(m3 d-1)" dataDxfId="120" totalsRowDxfId="119">
      <calculatedColumnFormula>Information!$R$54/stableGSBR[[#This Row],[HRT 
(h)]]*24</calculatedColumnFormula>
    </tableColumn>
    <tableColumn id="21" xr3:uid="{00000000-0010-0000-0900-000015000000}" name="HRT _x000a_(h)" totalsRowFunction="stdDev" dataDxfId="118"/>
    <tableColumn id="24" xr3:uid="{00000000-0010-0000-0900-000018000000}" name="Temp. _x000a_(°C)" dataDxfId="117"/>
    <tableColumn id="27" xr3:uid="{00000000-0010-0000-0900-00001B000000}" name="pHreactor" dataDxfId="116" totalsRowDxfId="115"/>
    <tableColumn id="26" xr3:uid="{00000000-0010-0000-0900-00001A000000}" name="DO _x000a_(mg L-1)" dataDxfId="114" totalsRowDxfId="113"/>
    <tableColumn id="25" xr3:uid="{00000000-0010-0000-0900-000019000000}" name="COND. _x000a_(mS cm-2)" dataDxfId="112"/>
    <tableColumn id="23" xr3:uid="{00000000-0010-0000-0900-000017000000}" name="ORP _x000a_(mV)" dataDxfId="111" totalsRowDxfId="110"/>
    <tableColumn id="42" xr3:uid="{00000000-0010-0000-0900-00002A000000}" name="MLSS _x000a_(mg L-1)" dataDxfId="109" totalsRowDxfId="108"/>
    <tableColumn id="41" xr3:uid="{00000000-0010-0000-0900-000029000000}" name="MLVSS _x000a_(mg L-1)" dataDxfId="107" totalsRowDxfId="106"/>
    <tableColumn id="4" xr3:uid="{00000000-0010-0000-0900-000004000000}" name="COD _x000a_(mg L-1)"/>
    <tableColumn id="16" xr3:uid="{00000000-0010-0000-0900-000010000000}" name="sCOD" dataDxfId="105">
      <calculatedColumnFormula>stableGSBR[[#This Row],[COD 
(mg L-1)]]*Information!$AK$43</calculatedColumnFormula>
    </tableColumn>
    <tableColumn id="15" xr3:uid="{00000000-0010-0000-0900-00000F000000}" name="Alkalinity _x000a_(mg CaCO3 L-1) "/>
    <tableColumn id="5" xr3:uid="{00000000-0010-0000-0900-000005000000}" name="pHeff"/>
    <tableColumn id="6" xr3:uid="{00000000-0010-0000-0900-000006000000}" name="TSS  _x000a_(mg L-1)"/>
    <tableColumn id="7" xr3:uid="{00000000-0010-0000-0900-000007000000}" name="VSS  _x000a_(mg L-1)"/>
    <tableColumn id="14" xr3:uid="{00000000-0010-0000-0900-00000E000000}" name="P sol _x000a_(mg L-1)"/>
    <tableColumn id="12" xr3:uid="{00000000-0010-0000-0900-00000C000000}" name="TON _x000a_(mg L-1)"/>
    <tableColumn id="28" xr3:uid="{00000000-0010-0000-0900-00001C000000}" name="NH4+ (mg L-1)" dataDxfId="104">
      <calculatedColumnFormula>stableGSBR[[#This Row],[NH4-N 
(mg L-1)]]*1.288</calculatedColumnFormula>
    </tableColumn>
    <tableColumn id="20" xr3:uid="{00000000-0010-0000-0900-000014000000}" name="NO2- (mg L-1)" dataDxfId="103">
      <calculatedColumnFormula>stableGSBR[[#This Row],[NO2-N 
(mg L-1)]]*3.284</calculatedColumnFormula>
    </tableColumn>
    <tableColumn id="19" xr3:uid="{00000000-0010-0000-0900-000013000000}" name="NO3- (mg L-1)" dataDxfId="102">
      <calculatedColumnFormula>(stableGSBR[[#This Row],[NO3-N 
(mg L-1)]])*4.426</calculatedColumnFormula>
    </tableColumn>
    <tableColumn id="11" xr3:uid="{00000000-0010-0000-0900-00000B000000}" name="NH4-N _x000a_(mg L-1)" dataDxfId="101"/>
    <tableColumn id="10" xr3:uid="{00000000-0010-0000-0900-00000A000000}" name="NO2-N _x000a_(mg L-1)"/>
    <tableColumn id="9" xr3:uid="{00000000-0010-0000-0900-000009000000}" name="NO3-N _x000a_(mg L-1)" dataDxfId="100">
      <calculatedColumnFormula>IF((stableGSBR[[#This Row],[TON 
(mg L-1)]]-stableGSBR[[#This Row],[NO2-N 
(mg L-1)]])&lt;0,0.2,(stableGSBR[[#This Row],[TON 
(mg L-1)]]-stableGSBR[[#This Row],[NO2-N 
(mg L-1)]]))</calculatedColumnFormula>
    </tableColumn>
    <tableColumn id="13" xr3:uid="{00000000-0010-0000-0900-00000D000000}" name="TN _x000a_(mg L-1)" dataDxfId="99">
      <calculatedColumnFormula>SUM(stableGSBR[[#This Row],[NO3-N 
(mg L-1)]],stableGSBR[[#This Row],[NO2-N 
(mg L-1)]],stableGSBR[[#This Row],[NH4-N 
(mg L-1)]])</calculatedColumnFormula>
    </tableColumn>
    <tableColumn id="30" xr3:uid="{00000000-0010-0000-0900-00001E000000}" name="NO3-N/ NH4-N" dataDxfId="98">
      <calculatedColumnFormula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calculatedColumnFormula>
    </tableColumn>
    <tableColumn id="17" xr3:uid="{00000000-0010-0000-0900-000011000000}" name="NO2-N/ NH4-N " dataDxfId="97" totalsRowDxfId="96" dataCellStyle="Percent">
      <calculatedColumnFormula>IF(IFERROR(stableGSBR[[#This Row],[NO2-N 
(mg L-1)]]/stableGSBR[[#This Row],[NH4-N 
(mg L-1)]],0)&lt;0,0,IFERROR(stableGSBR[[#This Row],[NO2-N 
(mg L-1)]]/stableGSBR[[#This Row],[NH4-N 
(mg L-1)]],0))</calculatedColumnFormula>
    </tableColumn>
    <tableColumn id="22" xr3:uid="{00000000-0010-0000-0900-000016000000}" name="NO2/ NOx" dataDxfId="95" totalsRowDxfId="94" dataCellStyle="Percent">
      <calculatedColumnFormula>stableGSBR[[#This Row],[NO2-N 
(mg L-1)]]/(stableGSBR[[#This Row],[NO2-N 
(mg L-1)]]+stableGSBR[[#This Row],[NO3-N 
(mg L-1)]])</calculatedColumnFormula>
    </tableColumn>
    <tableColumn id="43" xr3:uid="{00000000-0010-0000-0900-00002B000000}" name="FNA _x000a_(mg L-1)" dataDxfId="93">
      <calculatedColumnFormula>46/14*stableGSBR[[#This Row],[NO2-N 
(mg L-1)]]/(EXP(-2300/(stableGSBR[[#This Row],[Temp. 
(°C)]]+273))*10^(stableGSBR[[#This Row],[pHreactor]]))</calculatedColumnFormula>
    </tableColumn>
    <tableColumn id="8" xr3:uid="{00000000-0010-0000-0900-000008000000}" name="FA _x000a_(mg L-1)" dataDxfId="92">
      <calculatedColumnFormula>17/14*(stableGSBR[[#This Row],[NH4+ (mg L-1)]]*10^stableGSBR[[#This Row],[pHreactor]])/(EXP(6344/(273+stableGSBR[[#This Row],[Temp. 
(°C)]]))+10^stableGSBR[pHreactor])</calculatedColumnFormula>
    </tableColumn>
    <tableColumn id="38" xr3:uid="{00000000-0010-0000-0900-000026000000}" name="ΔN (mg L-1)" dataDxfId="91" totalsRowDxfId="90" dataCellStyle="Percent">
      <calculatedColumnFormula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calculatedColumnFormula>
    </tableColumn>
    <tableColumn id="3" xr3:uid="{00000000-0010-0000-0900-000003000000}" name="ΔC (mg L-1)" dataDxfId="89">
      <calculatedColumnFormula>IFERROR(IF(Influent[[#This Row],[COD (mg L-1)]]-MEDIA[[#This Row],[COD 
(mg L-1)]]&lt;0,0,Influent[[#This Row],[COD (mg L-1)]]-MEDIA[[#This Row],[COD 
(mg L-1)]]),0)</calculatedColumnFormula>
    </tableColumn>
    <tableColumn id="18" xr3:uid="{00000000-0010-0000-0900-000012000000}" name="ΔAlk (mg L-1)" dataDxfId="88">
      <calculatedColumnFormula>IF(IFERROR(Influent[[#This Row],[Alkalinity (mg CaCO3 L-1) ]]-stableGSBR[[#This Row],[Alkalinity 
(mg CaCO3 L-1) ]],0)&lt;0,0,IFERROR(Influent[[#This Row],[Alkalinity (mg CaCO3 L-1) ]]-stableGSBR[[#This Row],[Alkalinity 
(mg CaCO3 L-1) ]],0))</calculatedColumnFormula>
    </tableColumn>
    <tableColumn id="56" xr3:uid="{00000000-0010-0000-0900-000038000000}" name="OLR _x000a_(kg COD m-3 d-1)" dataDxfId="87">
      <calculatedColumnFormula>Influent[[#This Row],[COD (mg L-1)]]/stableGSBR[[#This Row],[HRT 
(h)]]*24/1000</calculatedColumnFormula>
    </tableColumn>
    <tableColumn id="39" xr3:uid="{00000000-0010-0000-0900-000027000000}" name="ORR _x000a_(kg COD m-3 d-1)" dataDxfId="86">
      <calculatedColumnFormula>IFERROR(IF(((stableGSBR[[#This Row],[ΔC (mg L-1)]])/stableGSBR[[#This Row],[HRT 
(h)]]*24/1000) &lt;0,0, (stableGSBR[[#This Row],[ΔC (mg L-1)]])/stableGSBR[[#This Row],[HRT 
(h)]]*24/1000),0)</calculatedColumnFormula>
    </tableColumn>
    <tableColumn id="58" xr3:uid="{00000000-0010-0000-0900-00003A000000}" name="ARR _x000a_(kg NH4-N m-3 d-1)" dataDxfId="85">
      <calculatedColumnFormula>IF(IFERROR((Influent[[#This Row],[NH4-N (mg L-1)]])*stableGSBR[[#This Row],[ARE 
(%)]]/stableGSBR[[#This Row],[HRT 
(h)]]*24/1000,0)&lt;0,0,IFERROR((Influent[[#This Row],[NH4-N (mg L-1)]])*stableGSBR[[#This Row],[ARE 
(%)]]/stableGSBR[[#This Row],[HRT 
(h)]]*24/1000,0))</calculatedColumnFormula>
    </tableColumn>
    <tableColumn id="36" xr3:uid="{00000000-0010-0000-0900-000024000000}" name="NLR _x000a_(kg N m-3 d-1)" dataDxfId="84" totalsRowDxfId="83">
      <calculatedColumnFormula>Influent[[#This Row],[TN (mg L-1)]]/stableGSBR[[#This Row],[HRT 
(h)]]*24/1000</calculatedColumnFormula>
    </tableColumn>
    <tableColumn id="35" xr3:uid="{00000000-0010-0000-0900-000023000000}" name="NRR _x000a_(kg N m-3 d-1)" dataDxfId="82">
      <calculatedColumnFormula>stableGSBR[[#This Row],[NLR 
(kg N m-3 d-1)]]*stableGSBR[[#This Row],[NRE 
(%)]]</calculatedColumnFormula>
    </tableColumn>
    <tableColumn id="32" xr3:uid="{00000000-0010-0000-0900-000020000000}" name="ARE _x000a_(%)" dataDxfId="81" totalsRowDxfId="80" dataCellStyle="Percent">
      <calculatedColumnFormula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calculatedColumnFormula>
    </tableColumn>
    <tableColumn id="31" xr3:uid="{00000000-0010-0000-0900-00001F000000}" name="NRE _x000a_(%)" dataDxfId="79" totalsRowDxfId="78" dataCellStyle="Percent">
      <calculatedColumnFormula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calculatedColumnFormula>
    </tableColumn>
    <tableColumn id="40" xr3:uid="{00000000-0010-0000-0900-000028000000}" name="SAA _x000a_(g N  g VSS-1 d-1)" dataDxfId="77"/>
    <tableColumn id="45" xr3:uid="{25D697AA-9A2A-44DB-97F5-24199407122E}" name="MSAA (%)" dataCellStyle="Percent">
      <calculatedColumnFormula>stableGSBR[[#This Row],[SAA 
(g N  g VSS-1 d-1)]]/MAX(stableGSBR[SAA 
(g N  g VSS-1 d-1)])</calculatedColumnFormula>
    </tableColumn>
    <tableColumn id="44" xr3:uid="{075F82EE-FC2C-4624-8800-D1437349BEC8}" name="Ammonia residual to reach target" dataDxfId="76">
      <calculatedColumnFormula>stableGSBR[[#This Row],[NH4-N 
(mg L-1)]]-20</calculatedColumnFormula>
    </tableColumn>
    <tableColumn id="37" xr3:uid="{7800DBDE-F58D-4F83-A061-3A260E820A07}" name="Alkalinity need" dataDxfId="75">
      <calculatedColumnFormula>stableGSBR[[#This Row],[Ammonia residual to reach target]]*2.9</calculatedColumnFormula>
    </tableColumn>
    <tableColumn id="33" xr3:uid="{B3EC6668-12E4-420C-9614-FDC4F821E597}" name="Alkalinity left" dataDxfId="74">
      <calculatedColumnFormula>stableGSBR[[#This Row],[Alkalinity 
(mg CaCO3 L-1) ]]-70-stableGSBR[[#This Row],[Alkalinity need]]</calculatedColumnFormula>
    </tableColumn>
    <tableColumn id="34" xr3:uid="{00000000-0010-0000-0900-000022000000}" name="Comments" totalsRowFunction="count" dataDxfId="73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stableLTP" displayName="stableLTP" ref="A3:AO93" totalsRowShown="0" headerRowDxfId="69">
  <autoFilter ref="A3:AO93" xr:uid="{00000000-0009-0000-0100-00000C000000}"/>
  <tableColumns count="41">
    <tableColumn id="1" xr3:uid="{00000000-0010-0000-0A00-000001000000}" name="Date" dataDxfId="68"/>
    <tableColumn id="2" xr3:uid="{00000000-0010-0000-0A00-000002000000}" name="Sample number"/>
    <tableColumn id="38" xr3:uid="{00000000-0010-0000-0A00-000026000000}" name="Flow _x000a_(m3 d-1)" dataDxfId="67"/>
    <tableColumn id="44" xr3:uid="{00000000-0010-0000-0A00-00002C000000}" name="Cycles per day" dataDxfId="66">
      <calculatedColumnFormula>24/(stableLTP[[#This Row],[Cycle duration 
(h)]]+2)</calculatedColumnFormula>
    </tableColumn>
    <tableColumn id="43" xr3:uid="{00000000-0010-0000-0A00-00002B000000}" name="Cycle duration _x000a_(h)" dataDxfId="65"/>
    <tableColumn id="4" xr3:uid="{00000000-0010-0000-0A00-000004000000}" name="HRT _x000a_(h)" dataDxfId="64">
      <calculatedColumnFormula>Information!$R$61/(stableLTP[Flow 
(m3 d-1)]/24*stableLTP[[#This Row],[Cycles per day]]*stableLTP[[#This Row],[Cycle duration 
(h)]])*24</calculatedColumnFormula>
    </tableColumn>
    <tableColumn id="28" xr3:uid="{75BE9074-C215-4FAD-8CAB-5E6FA0BC9A40}" name="Return sludge (m3/d)" dataDxfId="63">
      <calculatedColumnFormula>stableLTP[[#This Row],[Flow 
(m3 d-1)]]*0.2</calculatedColumnFormula>
    </tableColumn>
    <tableColumn id="29" xr3:uid="{B054CC86-9054-4206-A206-084510E78818}" name="SRT (d)" dataDxfId="62">
      <calculatedColumnFormula>Information!$R$61*stableLTP[[#This Row],[TSS  
(mg L-1)]]/(stableLTP[[#This Row],[Flow 
(m3 d-1)]]*stableLTP[[#This Row],[TSS  
(mg L-1)]])</calculatedColumnFormula>
    </tableColumn>
    <tableColumn id="5" xr3:uid="{00000000-0010-0000-0A00-000005000000}" name="Temp. _x000a_(°C)" dataDxfId="61"/>
    <tableColumn id="6" xr3:uid="{00000000-0010-0000-0A00-000006000000}" name="pHreactor" dataDxfId="60"/>
    <tableColumn id="7" xr3:uid="{00000000-0010-0000-0A00-000007000000}" name="DO _x000a_(mg L-1)" dataDxfId="59"/>
    <tableColumn id="8" xr3:uid="{00000000-0010-0000-0A00-000008000000}" name="Sodium dosing _x000a_(L h-1)" dataDxfId="58"/>
    <tableColumn id="37" xr3:uid="{00000000-0010-0000-0A00-000025000000}" name="MLSS _x000a_(mg L-1)" dataDxfId="57">
      <calculatedColumnFormula>stableLTP[[#This Row],[TSS  
(mg L-1)]]</calculatedColumnFormula>
    </tableColumn>
    <tableColumn id="26" xr3:uid="{00000000-0010-0000-0A00-00001A000000}" name="MLVSS_x000a_(mg L-1)" dataDxfId="56">
      <calculatedColumnFormula>stableLTP[[#This Row],[VSS 
(mg L-1)]]</calculatedColumnFormula>
    </tableColumn>
    <tableColumn id="10" xr3:uid="{00000000-0010-0000-0A00-00000A000000}" name="COD _x000a_(mg L-1)"/>
    <tableColumn id="27" xr3:uid="{00000000-0010-0000-0A00-00001B000000}" name="sCOD" dataDxfId="55">
      <calculatedColumnFormula>stableLTP[[#This Row],[COD 
(mg L-1)]]*Information!$AK$44</calculatedColumnFormula>
    </tableColumn>
    <tableColumn id="11" xr3:uid="{00000000-0010-0000-0A00-00000B000000}" name="Alkalinity _x000a_(mg CaCO3 L-1) "/>
    <tableColumn id="12" xr3:uid="{00000000-0010-0000-0A00-00000C000000}" name="pHeff"/>
    <tableColumn id="13" xr3:uid="{00000000-0010-0000-0A00-00000D000000}" name="TSS  _x000a_(mg L-1)"/>
    <tableColumn id="14" xr3:uid="{00000000-0010-0000-0A00-00000E000000}" name="VSS _x000a_(mg L-1)"/>
    <tableColumn id="15" xr3:uid="{00000000-0010-0000-0A00-00000F000000}" name="P sol _x000a_(mg L-1)"/>
    <tableColumn id="16" xr3:uid="{00000000-0010-0000-0A00-000010000000}" name="TON _x000a_(mg L-1)"/>
    <tableColumn id="17" xr3:uid="{00000000-0010-0000-0A00-000011000000}" name="NH4+ (mg L-1)" dataDxfId="54"/>
    <tableColumn id="18" xr3:uid="{00000000-0010-0000-0A00-000012000000}" name="NO2- (mg L-1)" dataDxfId="53"/>
    <tableColumn id="19" xr3:uid="{00000000-0010-0000-0A00-000013000000}" name="NO3- (mg L-1)" dataDxfId="52"/>
    <tableColumn id="20" xr3:uid="{00000000-0010-0000-0A00-000014000000}" name="NH4-N _x000a_(mg L-1)"/>
    <tableColumn id="21" xr3:uid="{00000000-0010-0000-0A00-000015000000}" name="NO2-N _x000a_(mg L-1)"/>
    <tableColumn id="22" xr3:uid="{00000000-0010-0000-0A00-000016000000}" name="NO3-N _x000a_(mg L-1)" dataDxfId="51">
      <calculatedColumnFormula>IF(stableLTP[[#This Row],[TON 
(mg L-1)]]-stableLTP[[#This Row],[NO2-N 
(mg L-1)]]&lt;0,0.2,stableLTP[[#This Row],[TON 
(mg L-1)]]-stableLTP[[#This Row],[NO2-N 
(mg L-1)]])</calculatedColumnFormula>
    </tableColumn>
    <tableColumn id="23" xr3:uid="{00000000-0010-0000-0A00-000017000000}" name="TN _x000a_(mg L-1)" dataDxfId="50">
      <calculatedColumnFormula>SUM(stableLTP[[#This Row],[NH4-N 
(mg L-1)]:[NO3-N 
(mg L-1)]])</calculatedColumnFormula>
    </tableColumn>
    <tableColumn id="24" xr3:uid="{00000000-0010-0000-0A00-000018000000}" name="NO3-N/ NH4-N" dataDxfId="49" dataCellStyle="Percent">
      <calculatedColumnFormula>stableLTP[[#This Row],[NO3-N 
(mg L-1)]]/(Influent[[#This Row],[NH4-N (mg L-1)]]-stableLTP[[#This Row],[NH4-N 
(mg L-1)]])</calculatedColumnFormula>
    </tableColumn>
    <tableColumn id="25" xr3:uid="{00000000-0010-0000-0A00-000019000000}" name="NO2-N/ NH4-N " dataDxfId="48">
      <calculatedColumnFormula>stableLTP[[#This Row],[NO2-N 
(mg L-1)]]/(Influent[[#This Row],[NH4-N (mg L-1)]]-stableLTP[[#This Row],[NH4-N 
(mg L-1)]])</calculatedColumnFormula>
    </tableColumn>
    <tableColumn id="9" xr3:uid="{00000000-0010-0000-0A00-000009000000}" name="FNA _x000a_(mg L-1)" dataDxfId="47">
      <calculatedColumnFormula>46/14*stableLTP[[#This Row],[NO2-N 
(mg L-1)]]/(EXP(-2300/(273+stableLTP[[#This Row],[Temp. 
(°C)]]))*10^stableLTP[[#This Row],[pHreactor]])</calculatedColumnFormula>
    </tableColumn>
    <tableColumn id="30" xr3:uid="{00000000-0010-0000-0A00-00001E000000}" name="FA _x000a_(mg L-1)" dataDxfId="46">
      <calculatedColumnFormula>17/14*(stableLTP[[#This Row],[NH4-N 
(mg L-1)]]*10^stableLTP[[#This Row],[pHeff]])/(EXP(6344/(273+stableLTP[[#This Row],[Temp. 
(°C)]]))+10^stableLTP[[#This Row],[pHreactor]])</calculatedColumnFormula>
    </tableColumn>
    <tableColumn id="33" xr3:uid="{00000000-0010-0000-0A00-000021000000}" name="OLR _x000a_(kg COD m-3 d-1)" dataDxfId="45">
      <calculatedColumnFormula>Influent[[#This Row],[sCOD (mg L-1)]]/stableLTP[[#This Row],[HRT 
(h)]]*24/1000</calculatedColumnFormula>
    </tableColumn>
    <tableColumn id="34" xr3:uid="{00000000-0010-0000-0A00-000022000000}" name="ORR _x000a_(kg COD m-3 d-1)" dataDxfId="44">
      <calculatedColumnFormula>IFERROR(IF(((Influent[[#This Row],[COD (mg L-1)]]-stableLTP[[#This Row],[sCOD]])/stableLTP[[#This Row],[HRT 
(h)]]*24/1000) &lt;0,0, (Influent[[#This Row],[sCOD (mg L-1)]]-stableLTP[[#This Row],[sCOD]])/stableLTP[[#This Row],[HRT 
(h)]]*24/1000),0)</calculatedColumnFormula>
    </tableColumn>
    <tableColumn id="41" xr3:uid="{00000000-0010-0000-0A00-000029000000}" name="ARR _x000a_(kg NH4-N m-3 d-1)" dataDxfId="43">
      <calculatedColumnFormula>(Influent[[#This Row],[NH4-N (mg L-1)]]*stableLTP[ARE 
(%)])*24/stableLTP[[#This Row],[HRT 
(h)]]/1000</calculatedColumnFormula>
    </tableColumn>
    <tableColumn id="31" xr3:uid="{00000000-0010-0000-0A00-00001F000000}" name="NLR _x000a_(kg N m-3 d-1)" dataDxfId="42">
      <calculatedColumnFormula>Influent[[#This Row],[TN (mg L-1)]]/stableLTP[[#This Row],[HRT 
(h)]]*24/1000</calculatedColumnFormula>
    </tableColumn>
    <tableColumn id="32" xr3:uid="{00000000-0010-0000-0A00-000020000000}" name="NRR _x000a_(kg N m-3 d-1)" dataDxfId="41">
      <calculatedColumnFormula>(Influent[[#This Row],[NH4-N (mg L-1)]])*stableLTP[NRE 
(%)]/stableLTP[[#This Row],[HRT 
(h)]]*24/1000</calculatedColumnFormula>
    </tableColumn>
    <tableColumn id="35" xr3:uid="{00000000-0010-0000-0A00-000023000000}" name="ARE _x000a_(%)" dataDxfId="40" dataCellStyle="Percent">
      <calculatedColumnFormula>1-(stableLTP[[#This Row],[NH4-N 
(mg L-1)]]/Influent[[#This Row],[NH4-N (mg L-1)]])</calculatedColumnFormula>
    </tableColumn>
    <tableColumn id="36" xr3:uid="{00000000-0010-0000-0A00-000024000000}" name="NRE _x000a_(%)" dataDxfId="39" dataCellStyle="Percent">
      <calculatedColumnFormula>1-(stableLTP[[#This Row],[TN 
(mg L-1)]]/Influent[[#This Row],[TN (mg L-1)]])</calculatedColumnFormula>
    </tableColumn>
    <tableColumn id="3" xr3:uid="{00000000-0010-0000-0A00-000003000000}" name="Comments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92" totalsRowShown="0">
  <autoFilter ref="A1:D92" xr:uid="{00000000-0009-0000-0100-00000D000000}"/>
  <sortState xmlns:xlrd2="http://schemas.microsoft.com/office/spreadsheetml/2017/richdata2" ref="A2:D92">
    <sortCondition ref="C1:C92"/>
  </sortState>
  <tableColumns count="4">
    <tableColumn id="1" xr3:uid="{00000000-0010-0000-0B00-000001000000}" name="G-SBR"/>
    <tableColumn id="2" xr3:uid="{00000000-0010-0000-0B00-000002000000}" name="MEDIA"/>
    <tableColumn id="3" xr3:uid="{00000000-0010-0000-0B00-000003000000}" name="S-SBR"/>
    <tableColumn id="4" xr3:uid="{00000000-0010-0000-0B00-000004000000}" name="LT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C4:F63" totalsRowShown="0" dataDxfId="38">
  <autoFilter ref="C4:F63" xr:uid="{00000000-0009-0000-0100-00000E000000}"/>
  <tableColumns count="4">
    <tableColumn id="1" xr3:uid="{00000000-0010-0000-0C00-000001000000}" name="G-SBR" dataDxfId="37"/>
    <tableColumn id="2" xr3:uid="{00000000-0010-0000-0C00-000002000000}" name="MEDIA" dataDxfId="36"/>
    <tableColumn id="3" xr3:uid="{00000000-0010-0000-0C00-000003000000}" name="S-SBR" dataDxfId="35"/>
    <tableColumn id="4" xr3:uid="{00000000-0010-0000-0C00-000004000000}" name="N-SBR" dataDxfId="34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D000000}" name="Table15" displayName="Table15" ref="C69:F119" totalsRowShown="0" dataDxfId="33">
  <autoFilter ref="C69:F119" xr:uid="{00000000-0009-0000-0100-00000F000000}"/>
  <tableColumns count="4">
    <tableColumn id="1" xr3:uid="{00000000-0010-0000-0D00-000001000000}" name="G-SBR" dataDxfId="32"/>
    <tableColumn id="2" xr3:uid="{00000000-0010-0000-0D00-000002000000}" name="S-SBR" dataDxfId="31"/>
    <tableColumn id="3" xr3:uid="{00000000-0010-0000-0D00-000003000000}" name="MEDA" dataDxfId="30"/>
    <tableColumn id="4" xr3:uid="{00000000-0010-0000-0D00-000004000000}" name="N-SBR" dataDxfId="29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E000000}" name="Table16" displayName="Table16" ref="AE4:AF48" totalsRowShown="0">
  <autoFilter ref="AE4:AF48" xr:uid="{00000000-0009-0000-0100-000010000000}"/>
  <tableColumns count="2">
    <tableColumn id="1" xr3:uid="{00000000-0010-0000-0E00-000001000000}" name="G-SBR"/>
    <tableColumn id="2" xr3:uid="{00000000-0010-0000-0E00-000002000000}" name="S-SBR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F000000}" name="Table17" displayName="Table17" ref="AE54:AF98" totalsRowShown="0">
  <autoFilter ref="AE54:AF98" xr:uid="{00000000-0009-0000-0100-000011000000}"/>
  <tableColumns count="2">
    <tableColumn id="1" xr3:uid="{00000000-0010-0000-0F00-000001000000}" name="G-SBR"/>
    <tableColumn id="2" xr3:uid="{00000000-0010-0000-0F00-000002000000}" name="S-SBR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le18" displayName="Table18" ref="AE104:AF148" totalsRowShown="0">
  <autoFilter ref="AE104:AF148" xr:uid="{00000000-0009-0000-0100-000012000000}"/>
  <tableColumns count="2">
    <tableColumn id="1" xr3:uid="{00000000-0010-0000-1000-000001000000}" name="G-SBR"/>
    <tableColumn id="2" xr3:uid="{00000000-0010-0000-1000-000002000000}" name="S-SBR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Table19" displayName="Table19" ref="AE154:AF198" totalsRowShown="0">
  <autoFilter ref="AE154:AF198" xr:uid="{00000000-0009-0000-0100-000013000000}"/>
  <tableColumns count="2">
    <tableColumn id="1" xr3:uid="{00000000-0010-0000-1100-000001000000}" name="G-SBR"/>
    <tableColumn id="2" xr3:uid="{00000000-0010-0000-1100-000002000000}" name="S-SBR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SSBR" displayName="SSBR" ref="A3:AQ74" headerRowDxfId="606">
  <autoFilter ref="A3:AQ74" xr:uid="{00000000-0009-0000-0100-000003000000}"/>
  <tableColumns count="43">
    <tableColumn id="1" xr3:uid="{00000000-0010-0000-0100-000001000000}" name="Date" totalsRowLabel="Total"/>
    <tableColumn id="2" xr3:uid="{00000000-0010-0000-0100-000002000000}" name="Sample number"/>
    <tableColumn id="32" xr3:uid="{00000000-0010-0000-0100-000020000000}" name="Flow (L h-1)" dataDxfId="605" totalsRowDxfId="604"/>
    <tableColumn id="23" xr3:uid="{00000000-0010-0000-0100-000017000000}" name="Flow (m3 d-1)" dataDxfId="603" totalsRowDxfId="602">
      <calculatedColumnFormula>C4/1000*24</calculatedColumnFormula>
    </tableColumn>
    <tableColumn id="38" xr3:uid="{00000000-0010-0000-0100-000026000000}" name="Batch cycles" dataDxfId="601" totalsRowDxfId="600"/>
    <tableColumn id="40" xr3:uid="{00000000-0010-0000-0100-000028000000}" name="Cycle duration (h)" dataDxfId="599" totalsRowDxfId="598"/>
    <tableColumn id="27" xr3:uid="{00000000-0010-0000-0100-00001B000000}" name="HRT (h)" dataDxfId="597" totalsRowDxfId="596">
      <calculatedColumnFormula>IFERROR(Information!$R$40/(SSBR[[#This Row],[Flow (L h-1)]]*SSBR[[#This Row],[Batch cycles]]*SSBR[[#This Row],[Cycle duration (h)]]/1000)*24,0)</calculatedColumnFormula>
    </tableColumn>
    <tableColumn id="28" xr3:uid="{00000000-0010-0000-0100-00001C000000}" name="DO (mg L-1)" totalsRowFunction="stdDev" dataDxfId="595" totalsRowDxfId="594"/>
    <tableColumn id="29" xr3:uid="{00000000-0010-0000-0100-00001D000000}" name="pHreactor" dataDxfId="593" totalsRowDxfId="592">
      <calculatedColumnFormula>SSBR[[#This Row],[pHeff]]</calculatedColumnFormula>
    </tableColumn>
    <tableColumn id="30" xr3:uid="{00000000-0010-0000-0100-00001E000000}" name="Temp. (°C)" dataDxfId="591" totalsRowDxfId="590"/>
    <tableColumn id="44" xr3:uid="{00000000-0010-0000-0100-00002C000000}" name="MLSS (mg L-1)" dataDxfId="589" totalsRowDxfId="588"/>
    <tableColumn id="43" xr3:uid="{00000000-0010-0000-0100-00002B000000}" name="MLVSS (mg L-1)" dataDxfId="587" totalsRowDxfId="586"/>
    <tableColumn id="4" xr3:uid="{00000000-0010-0000-0100-000004000000}" name="COD (mg L-1)"/>
    <tableColumn id="25" xr3:uid="{00000000-0010-0000-0100-000019000000}" name="sCOD" dataDxfId="585">
      <calculatedColumnFormula>SSBR[[#This Row],[COD (mg L-1)]]*Information!$AK$41</calculatedColumnFormula>
    </tableColumn>
    <tableColumn id="15" xr3:uid="{00000000-0010-0000-0100-00000F000000}" name="Alkalinity (mg CaCO3 L-1) "/>
    <tableColumn id="5" xr3:uid="{00000000-0010-0000-0100-000005000000}" name="pHeff"/>
    <tableColumn id="6" xr3:uid="{00000000-0010-0000-0100-000006000000}" name="TSS (mg L-1)"/>
    <tableColumn id="7" xr3:uid="{00000000-0010-0000-0100-000007000000}" name="VSS (mg L-1)"/>
    <tableColumn id="14" xr3:uid="{00000000-0010-0000-0100-00000E000000}" name="P sol (mg L-1)"/>
    <tableColumn id="12" xr3:uid="{00000000-0010-0000-0100-00000C000000}" name="TON (mg L-1)"/>
    <tableColumn id="21" xr3:uid="{00000000-0010-0000-0100-000015000000}" name="NH4+ (mg L-1)" dataDxfId="584" totalsRowDxfId="583">
      <calculatedColumnFormula>SSBR[[#This Row],[NH4-N (mg L-1)]]*1.288</calculatedColumnFormula>
    </tableColumn>
    <tableColumn id="19" xr3:uid="{00000000-0010-0000-0100-000013000000}" name="NO3- (mg L-1)" dataDxfId="582" totalsRowDxfId="581">
      <calculatedColumnFormula>(SSBR[[#This Row],[NO3-N (mg L-1)]])*4.426</calculatedColumnFormula>
    </tableColumn>
    <tableColumn id="20" xr3:uid="{00000000-0010-0000-0100-000014000000}" name="NO2- (mg L-1)" dataDxfId="580" totalsRowDxfId="579">
      <calculatedColumnFormula>SSBR[[#This Row],[NO2-N (mg L-1)]]*3.284</calculatedColumnFormula>
    </tableColumn>
    <tableColumn id="11" xr3:uid="{00000000-0010-0000-0100-00000B000000}" name="NH4-N (mg L-1)"/>
    <tableColumn id="10" xr3:uid="{00000000-0010-0000-0100-00000A000000}" name="NO2-N (mg L-1)"/>
    <tableColumn id="9" xr3:uid="{00000000-0010-0000-0100-000009000000}" name="NO3-N (mg L-1)" dataDxfId="578" totalsRowDxfId="577">
      <calculatedColumnFormula>IF(SSBR[[#This Row],[TON (mg L-1)]]-SSBR[[#This Row],[NO2-N (mg L-1)]]&lt;0,0.19,SSBR[[#This Row],[TON (mg L-1)]]-SSBR[[#This Row],[NO2-N (mg L-1)]])</calculatedColumnFormula>
    </tableColumn>
    <tableColumn id="13" xr3:uid="{00000000-0010-0000-0100-00000D000000}" name="TN (mg L-1)" dataDxfId="576" totalsRowDxfId="575">
      <calculatedColumnFormula>SUM(SSBR[[#This Row],[NO3-N (mg L-1)]],SSBR[[#This Row],[NO2-N (mg L-1)]],SSBR[[#This Row],[NH4-N (mg L-1)]])</calculatedColumnFormula>
    </tableColumn>
    <tableColumn id="24" xr3:uid="{00000000-0010-0000-0100-000018000000}" name="NO3-N/ NH4-N" dataDxfId="574" totalsRowDxfId="573" dataCellStyle="Percent">
      <calculatedColumnFormula>IF(IFERROR(SSBR[[#This Row],[NO3-N (mg L-1)]]/(Influent[[#This Row],[NH4-N (mg L-1)]]-SSBR[[#This Row],[NH4-N (mg L-1)]]),0)&lt;0,0,IFERROR(SSBR[[#This Row],[NO3-N (mg L-1)]]/(Influent[[#This Row],[NH4-N (mg L-1)]]-SSBR[[#This Row],[NH4-N (mg L-1)]]),0))</calculatedColumnFormula>
    </tableColumn>
    <tableColumn id="37" xr3:uid="{00000000-0010-0000-0100-000025000000}" name="NO2-N/ NH4-N" dataDxfId="572" totalsRowDxfId="571" dataCellStyle="Percent">
      <calculatedColumnFormula>IF(IFERROR(SSBR[[#This Row],[NO2-N (mg L-1)]]/SSBR[[#This Row],[NH4-N (mg L-1)]],0)&lt;0,0,IFERROR(SSBR[[#This Row],[NO2-N (mg L-1)]]/SSBR[[#This Row],[NH4-N (mg L-1)]],0))</calculatedColumnFormula>
    </tableColumn>
    <tableColumn id="16" xr3:uid="{00000000-0010-0000-0100-000010000000}" name="NO2/NOx" dataDxfId="570" totalsRowDxfId="569" dataCellStyle="Percent">
      <calculatedColumnFormula>SSBR[[#This Row],[NO2-N (mg L-1)]]/(SSBR[[#This Row],[NO3-N (mg L-1)]]+SSBR[[#This Row],[NO2-N (mg L-1)]])</calculatedColumnFormula>
    </tableColumn>
    <tableColumn id="45" xr3:uid="{00000000-0010-0000-0100-00002D000000}" name="FNA (mg L-1)" dataDxfId="568" totalsRowDxfId="567">
      <calculatedColumnFormula>46/14*SSBR[[#This Row],[NO2-N (mg L-1)]]/(EXP(-2300/(SSBR[[#This Row],[Temp. (°C)]]+273))*10^(SSBR[[#This Row],[pHreactor]]))</calculatedColumnFormula>
    </tableColumn>
    <tableColumn id="8" xr3:uid="{00000000-0010-0000-0100-000008000000}" name="FA (mg L-1)" dataDxfId="566" totalsRowDxfId="565">
      <calculatedColumnFormula>17/14*(SSBR[NH4-N (mg L-1)]*10^SSBR[[#This Row],[pHreactor]])/(EXP((6344/(273+SSBR[[#This Row],[Temp. (°C)]])))+10^SSBR[pHreactor])</calculatedColumnFormula>
    </tableColumn>
    <tableColumn id="33" xr3:uid="{00000000-0010-0000-0100-000021000000}" name="ΔN   (mg L-1)" dataDxfId="564" totalsRowDxfId="563" dataCellStyle="Percent">
      <calculatedColumnFormula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calculatedColumnFormula>
    </tableColumn>
    <tableColumn id="31" xr3:uid="{00000000-0010-0000-0100-00001F000000}" name="ΔC   (mg L-1)" dataDxfId="562" totalsRowDxfId="561">
      <calculatedColumnFormula>IFERROR(IF(Influent[[#This Row],[COD (mg L-1)]]-SSBR[[#This Row],[COD (mg L-1)]]&lt;0,0,Influent[[#This Row],[COD (mg L-1)]]-SSBR[[#This Row],[COD (mg L-1)]]),0)</calculatedColumnFormula>
    </tableColumn>
    <tableColumn id="18" xr3:uid="{00000000-0010-0000-0100-000012000000}" name="OLR (kg COD m-3 d-1)" dataDxfId="560" totalsRowDxfId="559">
      <calculatedColumnFormula>Influent[[#This Row],[COD (mg L-1)]]/SSBR[HRT (h)]*24/1000</calculatedColumnFormula>
    </tableColumn>
    <tableColumn id="3" xr3:uid="{00000000-0010-0000-0100-000003000000}" name="ORR (kg COD m-3 d-1)" dataDxfId="558" totalsRowDxfId="557">
      <calculatedColumnFormula>IF(((SSBR[[#This Row],[ΔC   (mg L-1)]])/SSBR[[#This Row],[HRT (h)]]*24/1000) &lt;0,0, (SSBR[[#This Row],[ΔC   (mg L-1)]])/SSBR[HRT (h)]*24/1000)</calculatedColumnFormula>
    </tableColumn>
    <tableColumn id="42" xr3:uid="{00000000-0010-0000-0100-00002A000000}" name="ARR (kg NH4-N m-3 d-1)" dataDxfId="556" totalsRowDxfId="555">
      <calculatedColumnFormula>IF(IFERROR((Influent[[#This Row],[NH4-N (mg L-1)]])*SSBR[ARE (%)]/SSBR[HRT (h)]*24/1000,0)&lt;0,0,IFERROR((Influent[[#This Row],[NH4-N (mg L-1)]])*SSBR[ARE (%)]/SSBR[HRT (h)]*24/1000,0))</calculatedColumnFormula>
    </tableColumn>
    <tableColumn id="46" xr3:uid="{00000000-0010-0000-0100-00002E000000}" name="NLR (kg N m-3 d-1)" dataDxfId="554" totalsRowDxfId="553">
      <calculatedColumnFormula>Influent[[#This Row],[TN (mg L-1)]]/SSBR[[#This Row],[HRT (h)]]*24/1000</calculatedColumnFormula>
    </tableColumn>
    <tableColumn id="47" xr3:uid="{00000000-0010-0000-0100-00002F000000}" name="NRR (kg N m-3 d-1)" dataDxfId="552" totalsRowDxfId="551">
      <calculatedColumnFormula>SSBR[[#This Row],[NLR (kg N m-3 d-1)]]*SSBR[[#This Row],[NRE (%)]]</calculatedColumnFormula>
    </tableColumn>
    <tableColumn id="22" xr3:uid="{00000000-0010-0000-0100-000016000000}" name="ARE (%)" totalsRowFunction="average" dataDxfId="550" totalsRowDxfId="549" dataCellStyle="Percent">
      <calculatedColumnFormula>IFERROR(IF((Influent[[#This Row],[NH4-N (mg L-1)]]-SSBR[[#This Row],[NH4-N (mg L-1)]])/Influent[[#This Row],[NH4-N (mg L-1)]]&lt;0, 0,(Influent[[#This Row],[NH4-N (mg L-1)]]-SSBR[[#This Row],[NH4-N (mg L-1)]])/Influent[[#This Row],[NH4-N (mg L-1)]]), 0)</calculatedColumnFormula>
    </tableColumn>
    <tableColumn id="26" xr3:uid="{00000000-0010-0000-0100-00001A000000}" name="NRE (%)" totalsRowFunction="average" dataDxfId="548" totalsRowDxfId="547" dataCellStyle="Percent">
      <calculatedColumnFormula>IF(IFERROR((Influent[[#This Row],[TN (mg L-1)]]-SSBR[[#This Row],[TN (mg L-1)]])/Influent[[#This Row],[TN (mg L-1)]],0)&lt;0,0,IFERROR((Influent[[#This Row],[TN (mg L-1)]]-SSBR[[#This Row],[TN (mg L-1)]])/Influent[[#This Row],[TN (mg L-1)]],0))</calculatedColumnFormula>
    </tableColumn>
    <tableColumn id="39" xr3:uid="{00000000-0010-0000-0100-000027000000}" name="SAA (g N g VSS-1 d-1)" dataDxfId="546" totalsRowDxfId="545"/>
    <tableColumn id="17" xr3:uid="{00000000-0010-0000-0100-000011000000}" name="Comment" totalsRowFunction="count"/>
  </tableColumns>
  <tableStyleInfo name="TableStyleLight18"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2000000}" name="Table20" displayName="Table20" ref="AE204:AF248" totalsRowShown="0">
  <autoFilter ref="AE204:AF248" xr:uid="{00000000-0009-0000-0100-000014000000}"/>
  <tableColumns count="2">
    <tableColumn id="1" xr3:uid="{00000000-0010-0000-1200-000001000000}" name="G-SBR"/>
    <tableColumn id="2" xr3:uid="{00000000-0010-0000-1200-000002000000}" name="S-SBR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3000000}" name="Table21" displayName="Table21" ref="AE254:AF274" totalsRowShown="0">
  <autoFilter ref="AE254:AF274" xr:uid="{00000000-0009-0000-0100-000015000000}"/>
  <tableColumns count="2">
    <tableColumn id="1" xr3:uid="{00000000-0010-0000-1300-000001000000}" name="G-SBR"/>
    <tableColumn id="2" xr3:uid="{00000000-0010-0000-1300-000002000000}" name="S-SBR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B4488EA6-83D3-4971-9222-65B48046D875}" name="Table22" displayName="Table22" ref="AE280:AF287" totalsRowShown="0">
  <autoFilter ref="AE280:AF287" xr:uid="{23CDB75F-48A8-43A6-A8F9-E4CA860DB388}"/>
  <tableColumns count="2">
    <tableColumn id="1" xr3:uid="{0835032C-CA19-4D00-862B-F91DFB198754}" name="G-SBR"/>
    <tableColumn id="2" xr3:uid="{29020F8C-2723-495F-9762-0F40979E868B}" name="S-SBR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F49AC39-49BE-42A5-93ED-554AECA8317C}" name="Table24" displayName="Table24" ref="C125:F184" totalsRowShown="0" dataCellStyle="Percent">
  <autoFilter ref="C125:F184" xr:uid="{7B527AB6-BBC7-4401-8389-08495B3C738F}"/>
  <tableColumns count="4">
    <tableColumn id="1" xr3:uid="{73DAB70C-EE04-463B-9201-8451AF8E3089}" name="G-SBR" dataCellStyle="Percent"/>
    <tableColumn id="2" xr3:uid="{CF53E076-DCE1-4B76-BF85-513DC9C836BA}" name="S-SBR" dataCellStyle="Percent"/>
    <tableColumn id="3" xr3:uid="{CCD328D9-34E0-48A0-B7ED-08B23D8FB277}" name="MEDA" dataCellStyle="Percent"/>
    <tableColumn id="4" xr3:uid="{0A272F90-8E20-4922-9279-11642E4056CC}" name="N-SBR" dataCellStyle="Percent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3515AA2-C91D-44A3-89FE-340836992472}" name="Table25" displayName="Table25" ref="C191:F250" totalsRowShown="0" headerRowDxfId="28" headerRowBorderDxfId="27" tableBorderDxfId="26">
  <autoFilter ref="C191:F250" xr:uid="{CCE4BB10-7F29-4920-978E-05BBC43A51B4}"/>
  <tableColumns count="4">
    <tableColumn id="1" xr3:uid="{513A3245-D355-4207-872B-5B971351F14C}" name="G-SBR"/>
    <tableColumn id="2" xr3:uid="{B3AC86EE-F8DB-43E5-8D66-1651A35ACECA}" name="S-SBR"/>
    <tableColumn id="3" xr3:uid="{680669E3-B5FB-45F6-BC90-AB6BA5E46FB9}" name="MEDIA"/>
    <tableColumn id="4" xr3:uid="{453E6895-128E-4A7B-B690-3017D0A82D4F}" name="N-SBR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14000000}" name="Table6" displayName="Table6" ref="A37:I81" totalsRowShown="0" headerRowDxfId="24">
  <autoFilter ref="A37:I81" xr:uid="{00000000-0009-0000-0100-000006000000}"/>
  <sortState xmlns:xlrd2="http://schemas.microsoft.com/office/spreadsheetml/2017/richdata2" ref="A38:I81">
    <sortCondition ref="A37:A81"/>
  </sortState>
  <tableColumns count="9">
    <tableColumn id="1" xr3:uid="{00000000-0010-0000-1400-000001000000}" name="Date" dataDxfId="23">
      <calculatedColumnFormula>'1-Influent'!B4</calculatedColumnFormula>
    </tableColumn>
    <tableColumn id="2" xr3:uid="{00000000-0010-0000-1400-000002000000}" name="SSBR" dataDxfId="22">
      <calculatedColumnFormula>'S-SBR'!AM4</calculatedColumnFormula>
    </tableColumn>
    <tableColumn id="3" xr3:uid="{00000000-0010-0000-1400-000003000000}" name="MED" dataDxfId="21">
      <calculatedColumnFormula>'1-Media'!AP4</calculatedColumnFormula>
    </tableColumn>
    <tableColumn id="4" xr3:uid="{00000000-0010-0000-1400-000004000000}" name="GSBR" dataDxfId="20">
      <calculatedColumnFormula>'G-SBR'!AM4</calculatedColumnFormula>
    </tableColumn>
    <tableColumn id="5" xr3:uid="{00000000-0010-0000-1400-000005000000}" name="LTP" dataDxfId="19">
      <calculatedColumnFormula>'1-LTP'!AJ4</calculatedColumnFormula>
    </tableColumn>
    <tableColumn id="6" xr3:uid="{00000000-0010-0000-1400-000006000000}" name="SSBR T" dataDxfId="18">
      <calculatedColumnFormula>IFERROR(LOG(2+B38),0)</calculatedColumnFormula>
    </tableColumn>
    <tableColumn id="7" xr3:uid="{00000000-0010-0000-1400-000007000000}" name="MED T" dataDxfId="17">
      <calculatedColumnFormula>IFERROR(LOG(2+C38),0)</calculatedColumnFormula>
    </tableColumn>
    <tableColumn id="8" xr3:uid="{00000000-0010-0000-1400-000008000000}" name="GSBR T" dataDxfId="16">
      <calculatedColumnFormula>IFERROR(LOG(2+D38),0)</calculatedColumnFormula>
    </tableColumn>
    <tableColumn id="9" xr3:uid="{00000000-0010-0000-1400-000009000000}" name="LTP T" dataDxfId="15">
      <calculatedColumnFormula>IFERROR(LOG(2+E38),0)</calculatedColumnFormula>
    </tableColumn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MEDIA" displayName="MEDIA" ref="A3:AW87" headerRowDxfId="544">
  <autoFilter ref="A3:AW87" xr:uid="{00000000-0009-0000-0100-000005000000}"/>
  <tableColumns count="49">
    <tableColumn id="1" xr3:uid="{00000000-0010-0000-0200-000001000000}" name="Date" totalsRowLabel="Total" dataDxfId="543" totalsRowDxfId="542"/>
    <tableColumn id="2" xr3:uid="{00000000-0010-0000-0200-000002000000}" name="Sample _x000a_number"/>
    <tableColumn id="31" xr3:uid="{00000000-0010-0000-0200-00001F000000}" name="Flow _x000a_(L h-1)" dataDxfId="541" totalsRowDxfId="540"/>
    <tableColumn id="21" xr3:uid="{00000000-0010-0000-0200-000015000000}" name="Flow _x000a_(m3 d-1)" dataDxfId="539" totalsRowDxfId="538">
      <calculatedColumnFormula>MEDIA[[#This Row],[Flow 
(L h-1)]]/1000*24</calculatedColumnFormula>
    </tableColumn>
    <tableColumn id="27" xr3:uid="{00000000-0010-0000-0200-00001B000000}" name="HRT _x000a_(h)" dataDxfId="537" totalsRowDxfId="536">
      <calculatedColumnFormula>IF(IFERROR(Information!$R$47/MEDIA[[#This Row],[Flow 
(m3 d-1)]]*24,0)&lt;0,0,IFERROR(Information!$R$47/MEDIA[[#This Row],[Flow 
(m3 d-1)]]*24,0))</calculatedColumnFormula>
    </tableColumn>
    <tableColumn id="29" xr3:uid="{00000000-0010-0000-0200-00001D000000}" name="pHreactor" dataDxfId="535" totalsRowDxfId="534"/>
    <tableColumn id="28" xr3:uid="{00000000-0010-0000-0200-00001C000000}" name="DO _x000a_(mg L-1)" dataDxfId="533" totalsRowDxfId="532"/>
    <tableColumn id="30" xr3:uid="{00000000-0010-0000-0200-00001E000000}" name="Temp. _x000a_(°C)" dataDxfId="531" totalsRowDxfId="530"/>
    <tableColumn id="40" xr3:uid="{00000000-0010-0000-0200-000028000000}" name="MLSS _x000a_(mg L-1)" dataDxfId="529" totalsRowDxfId="528"/>
    <tableColumn id="39" xr3:uid="{00000000-0010-0000-0200-000027000000}" name="MLVSS _x000a_(mg L-1)" totalsRowFunction="average" dataDxfId="527" totalsRowDxfId="526"/>
    <tableColumn id="4" xr3:uid="{00000000-0010-0000-0200-000004000000}" name="COD _x000a_(mg L-1)"/>
    <tableColumn id="24" xr3:uid="{00000000-0010-0000-0200-000018000000}" name="sCOD" dataDxfId="525">
      <calculatedColumnFormula>MEDIA[[#This Row],[COD 
(mg L-1)]]*Information!$AK$42</calculatedColumnFormula>
    </tableColumn>
    <tableColumn id="15" xr3:uid="{00000000-0010-0000-0200-00000F000000}" name="Alkalinity _x000a_(mg CaCO3 L-1) "/>
    <tableColumn id="5" xr3:uid="{00000000-0010-0000-0200-000005000000}" name="pHeff"/>
    <tableColumn id="6" xr3:uid="{00000000-0010-0000-0200-000006000000}" name="TSS _x000a_(mg L-1)"/>
    <tableColumn id="7" xr3:uid="{00000000-0010-0000-0200-000007000000}" name="VSS _x000a_(mg L-1)"/>
    <tableColumn id="14" xr3:uid="{00000000-0010-0000-0200-00000E000000}" name="P sol _x000a_(mg L-1)"/>
    <tableColumn id="12" xr3:uid="{00000000-0010-0000-0200-00000C000000}" name="TON _x000a_(mg L-1)"/>
    <tableColumn id="23" xr3:uid="{00000000-0010-0000-0200-000017000000}" name="NH4+ (mg L-1)" dataDxfId="524" totalsRowDxfId="523">
      <calculatedColumnFormula>MEDIA[[#This Row],[NH4-N 
(mg L-1)]]*1.288</calculatedColumnFormula>
    </tableColumn>
    <tableColumn id="10" xr3:uid="{00000000-0010-0000-0200-00000A000000}" name="NO2- (mg L-1)" dataDxfId="522" totalsRowDxfId="521">
      <calculatedColumnFormula>MEDIA[[#This Row],[NO2-N 
(mg L-1)]]*3.284</calculatedColumnFormula>
    </tableColumn>
    <tableColumn id="9" xr3:uid="{00000000-0010-0000-0200-000009000000}" name="NO3- (mg L-1)" dataDxfId="520" totalsRowDxfId="519">
      <calculatedColumnFormula>(MEDIA[[#This Row],[NO3-N 
(mg L-1)]])*4.426</calculatedColumnFormula>
    </tableColumn>
    <tableColumn id="11" xr3:uid="{00000000-0010-0000-0200-00000B000000}" name="NH4-N _x000a_(mg L-1)" dataDxfId="518" totalsRowDxfId="517"/>
    <tableColumn id="22" xr3:uid="{00000000-0010-0000-0200-000016000000}" name="NO2-N _x000a_(mg L-1)" dataDxfId="516" totalsRowDxfId="515"/>
    <tableColumn id="20" xr3:uid="{00000000-0010-0000-0200-000014000000}" name="NO3-N _x000a_(mg L-1)" dataDxfId="514" totalsRowDxfId="513">
      <calculatedColumnFormula>IF(MEDIA[[#This Row],[TON 
(mg L-1)]]-MEDIA[[#This Row],[NO2-N 
(mg L-1)]]&lt;0,0.192,MEDIA[[#This Row],[TON 
(mg L-1)]]-MEDIA[[#This Row],[NO2-N 
(mg L-1)]])</calculatedColumnFormula>
    </tableColumn>
    <tableColumn id="13" xr3:uid="{00000000-0010-0000-0200-00000D000000}" name="TN _x000a_(mg L-1)" dataDxfId="512" totalsRowDxfId="511">
      <calculatedColumnFormula>SUM(MEDIA[[#This Row],[NH4-N 
(mg L-1)]],MEDIA[[#This Row],[NO3-N 
(mg L-1)]],MEDIA[[#This Row],[NO2-N 
(mg L-1)]])</calculatedColumnFormula>
    </tableColumn>
    <tableColumn id="19" xr3:uid="{00000000-0010-0000-0200-000013000000}" name="NO3-N/ NH4-N" totalsRowFunction="average" dataDxfId="510" totalsRowDxfId="509" dataCellStyle="Percent">
      <calculatedColumnFormula>IF(IFERROR(MEDIA[[#This Row],[NO3-N 
(mg L-1)]]/(Influent[[#This Row],[NH4-N (mg L-1)]]-MEDIA[[#This Row],[NH4-N 
(mg L-1)]]),0)&lt;0,0,IFERROR(MEDIA[[#This Row],[NO3-N 
(mg L-1)]]/(Influent[[#This Row],[NH4-N (mg L-1)]]-MEDIA[[#This Row],[NH4-N 
(mg L-1)]]),0))</calculatedColumnFormula>
    </tableColumn>
    <tableColumn id="18" xr3:uid="{00000000-0010-0000-0200-000012000000}" name="NO2-N/ NH4-N" dataDxfId="508" totalsRowDxfId="507" dataCellStyle="Percent">
      <calculatedColumnFormula>IF(IFERROR(MEDIA[[#This Row],[NO2-N 
(mg L-1)]]/MEDIA[[#This Row],[NH4-N 
(mg L-1)]],0)&lt;0,0,IFERROR(MEDIA[[#This Row],[NO2-N 
(mg L-1)]]/MEDIA[[#This Row],[NH4-N 
(mg L-1)]],0))</calculatedColumnFormula>
    </tableColumn>
    <tableColumn id="16" xr3:uid="{00000000-0010-0000-0200-000010000000}" name="NO2/ NOx" dataDxfId="506" totalsRowDxfId="505" dataCellStyle="Percent">
      <calculatedColumnFormula>MEDIA[[#This Row],[NO2-N 
(mg L-1)]]/(MEDIA[[#This Row],[NO3-N 
(mg L-1)]]+MEDIA[[#This Row],[NO2-N 
(mg L-1)]])</calculatedColumnFormula>
    </tableColumn>
    <tableColumn id="45" xr3:uid="{00000000-0010-0000-0200-00002D000000}" name="FNA _x000a_(mg L-1)" dataDxfId="504" totalsRowDxfId="503">
      <calculatedColumnFormula>46/14*MEDIA[[#This Row],[NO2-N 
(mg L-1)]]/(EXP(-2300/(MEDIA[[#This Row],[Temp. 
(°C)]]+273))*10^(MEDIA[[#This Row],[pHreactor]]))</calculatedColumnFormula>
    </tableColumn>
    <tableColumn id="8" xr3:uid="{00000000-0010-0000-0200-000008000000}" name="FA _x000a_(mg L-1)" dataDxfId="502" totalsRowDxfId="501">
      <calculatedColumnFormula>17/14*MEDIA[NH4-N 
(mg L-1)]*10^MEDIA[[#This Row],[pHreactor]]/(EXP((6344/(273+MEDIA[[#This Row],[Temp. 
(°C)]])))+10^MEDIA[pHreactor])</calculatedColumnFormula>
    </tableColumn>
    <tableColumn id="42" xr3:uid="{00000000-0010-0000-0200-00002A000000}" name="ALRMedia (g N m-2 d-1)" dataDxfId="500" totalsRowDxfId="499">
      <calculatedColumnFormula>Influent[[#This Row],[NH4-N (mg L-1)]]*MEDIA[[#This Row],[Flow 
(m3 d-1)]]/(Information!$R$48*Information!$R$49)</calculatedColumnFormula>
    </tableColumn>
    <tableColumn id="41" xr3:uid="{00000000-0010-0000-0200-000029000000}" name="ARRMedia (g N m-2 d-1)" dataDxfId="498" totalsRowDxfId="497">
      <calculatedColumnFormula>(Influent[[#This Row],[NH4-N (mg L-1)]]-MEDIA[[#This Row],[NH4-N 
(mg L-1)]])*MEDIA[[#This Row],[Flow 
(m3 d-1)]]/(Information!$R$48*Information!$R$49)</calculatedColumnFormula>
    </tableColumn>
    <tableColumn id="44" xr3:uid="{00000000-0010-0000-0200-00002C000000}" name="OLRMedia (g COD m-2 d-1)" dataDxfId="496" totalsRowDxfId="495">
      <calculatedColumnFormula>Influent[[#This Row],[COD (mg L-1)]]*MEDIA[[#This Row],[Flow 
(m3 d-1)]]/(Information!$R$48*Information!$R$49)</calculatedColumnFormula>
    </tableColumn>
    <tableColumn id="43" xr3:uid="{00000000-0010-0000-0200-00002B000000}" name="ORRMedia (g COD m-2 d-1)" dataDxfId="494" totalsRowDxfId="493">
      <calculatedColumnFormula>(Influent[[#This Row],[COD (mg L-1)]]-MEDIA[[#This Row],[COD 
(mg L-1)]])*MEDIA[[#This Row],[Flow 
(m3 d-1)]]/(Information!$R$48*Information!$R$49)</calculatedColumnFormula>
    </tableColumn>
    <tableColumn id="32" xr3:uid="{00000000-0010-0000-0200-000020000000}" name="ΔN (mg L-1)" dataDxfId="492" totalsRowDxfId="491" dataCellStyle="Percent">
      <calculatedColumnFormula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calculatedColumnFormula>
    </tableColumn>
    <tableColumn id="3" xr3:uid="{00000000-0010-0000-0200-000003000000}" name="ΔC (mg L-1)" dataDxfId="490" totalsRowDxfId="489">
      <calculatedColumnFormula>IFERROR(IF(Influent[[#This Row],[COD (mg L-1)]]-MEDIA[[#This Row],[COD 
(mg L-1)]]&lt;0,0,Influent[[#This Row],[COD (mg L-1)]]-MEDIA[[#This Row],[COD 
(mg L-1)]]),0)</calculatedColumnFormula>
    </tableColumn>
    <tableColumn id="46" xr3:uid="{00000000-0010-0000-0200-00002E000000}" name="ΔAlk (mg L-1)" dataDxfId="488" totalsRowDxfId="487">
      <calculatedColumnFormula>IFERROR(IF(Influent[[#This Row],[Alkalinity (mg CaCO3 L-1) ]]-MEDIA[[#This Row],[Alkalinity 
(mg CaCO3 L-1) ]]&lt;0,0,Influent[[#This Row],[Alkalinity (mg CaCO3 L-1) ]]-MEDIA[[#This Row],[Alkalinity 
(mg CaCO3 L-1) ]]),0)</calculatedColumnFormula>
    </tableColumn>
    <tableColumn id="38" xr3:uid="{00000000-0010-0000-0200-000026000000}" name="OLR_x000a_(kg COD m-3 d-1)" dataDxfId="486" totalsRowDxfId="485">
      <calculatedColumnFormula>Influent[[#This Row],[COD (mg L-1)]]/MEDIA[[#This Row],[HRT 
(h)]]*24/1000</calculatedColumnFormula>
    </tableColumn>
    <tableColumn id="37" xr3:uid="{00000000-0010-0000-0200-000025000000}" name="ORR _x000a_(kg COD m-3 d-1)" dataDxfId="484" totalsRowDxfId="483">
      <calculatedColumnFormula>IF(((MEDIA[[#This Row],[ΔC (mg L-1)]])*24/MEDIA[[#This Row],[HRT 
(h)]]/1000) &lt;0,0, (MEDIA[[#This Row],[ΔC (mg L-1)]])*24/MEDIA[[#This Row],[HRT 
(h)]]/1000)</calculatedColumnFormula>
    </tableColumn>
    <tableColumn id="54" xr3:uid="{00000000-0010-0000-0200-000036000000}" name="ARR _x000a_(kg NH4-N m-3 d-1)" dataDxfId="482" totalsRowDxfId="481">
      <calculatedColumnFormula>IF(IFERROR((Influent[[#This Row],[NH4-N (mg L-1)]]-MEDIA[[#This Row],[NH4-N 
(mg L-1)]])/MEDIA[[#This Row],[HRT 
(h)]]*24/1000,0)&lt;0,0,IFERROR((Influent[[#This Row],[NH4-N (mg L-1)]]-MEDIA[[#This Row],[NH4-N 
(mg L-1)]])/MEDIA[[#This Row],[HRT 
(h)]]*24/1000,0))</calculatedColumnFormula>
    </tableColumn>
    <tableColumn id="34" xr3:uid="{00000000-0010-0000-0200-000022000000}" name="NLR _x000a_(kg N m-3 d-1)" dataDxfId="480" totalsRowDxfId="479">
      <calculatedColumnFormula>Influent[[#This Row],[TN (mg L-1)]]/MEDIA[[#This Row],[HRT 
(h)]]*24/1000</calculatedColumnFormula>
    </tableColumn>
    <tableColumn id="35" xr3:uid="{00000000-0010-0000-0200-000023000000}" name="NRR _x000a_(kg N m-3 d-1)" dataDxfId="478" totalsRowDxfId="477">
      <calculatedColumnFormula>MEDIA[[#This Row],[NRE 
(%)]]*MEDIA[[#This Row],[NLR 
(kg N m-3 d-1)]]</calculatedColumnFormula>
    </tableColumn>
    <tableColumn id="26" xr3:uid="{00000000-0010-0000-0200-00001A000000}" name="ARE _x000a_(%)" dataDxfId="476" totalsRowDxfId="475" dataCellStyle="Percent">
      <calculatedColumnFormula>IFERROR(IF((Influent[[#This Row],[NH4-N (mg L-1)]]-MEDIA[[#This Row],[NH4-N 
(mg L-1)]])/Influent[[#This Row],[NH4-N (mg L-1)]]&lt;0,0,(Influent[[#This Row],[NH4-N (mg L-1)]]-MEDIA[[#This Row],[NH4-N 
(mg L-1)]])/Influent[[#This Row],[NH4-N (mg L-1)]]),0)</calculatedColumnFormula>
    </tableColumn>
    <tableColumn id="25" xr3:uid="{00000000-0010-0000-0200-000019000000}" name="NRE _x000a_(%)" dataDxfId="474" totalsRowDxfId="473" dataCellStyle="Percent">
      <calculatedColumnFormula>IF(IFERROR((Influent[[#This Row],[TN (mg L-1)]]-MEDIA[[#This Row],[TN 
(mg L-1)]])/Influent[[#This Row],[TN (mg L-1)]],0)&lt;0,0,IFERROR((Influent[[#This Row],[TN (mg L-1)]]-MEDIA[[#This Row],[TN 
(mg L-1)]])/Influent[[#This Row],[TN (mg L-1)]],0))</calculatedColumnFormula>
    </tableColumn>
    <tableColumn id="48" xr3:uid="{53B705D0-EEB3-4690-88B1-0F7A7C0133AF}" name="MLVSS per carrier_x000a_(mg L-1 carrier-1)" dataDxfId="472" totalsRowDxfId="471" dataCellStyle="Percent"/>
    <tableColumn id="47" xr3:uid="{EB52A3B6-8CEA-4B3A-9909-348AD94E137A}" name="SAAcarrier_x000a_(g N g VSS-1d-1)" dataDxfId="470" totalsRowDxfId="469" dataCellStyle="Percent"/>
    <tableColumn id="33" xr3:uid="{3639832E-794A-4DE9-9C1E-12C25C9C6EF6}" name="SAAsuspended_x000a_(g N g VSS-1d-1)" dataDxfId="468" totalsRowDxfId="467" dataCellStyle="Percent"/>
    <tableColumn id="36" xr3:uid="{00000000-0010-0000-0200-000024000000}" name="SAAcombined_x000a_(g N g VSS-1d-1)" dataDxfId="466" totalsRowDxfId="465"/>
    <tableColumn id="17" xr3:uid="{00000000-0010-0000-0200-000011000000}" name="Comments" totalsRowFunction="count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GSBR" displayName="GSBR" ref="A3:AQ93" headerRowDxfId="463">
  <autoFilter ref="A3:AQ93" xr:uid="{00000000-0009-0000-0100-000004000000}"/>
  <tableColumns count="43">
    <tableColumn id="1" xr3:uid="{00000000-0010-0000-0300-000001000000}" name="Date" totalsRowLabel="Total" dataDxfId="462" totalsRowDxfId="461"/>
    <tableColumn id="2" xr3:uid="{00000000-0010-0000-0300-000002000000}" name="Sample number"/>
    <tableColumn id="29" xr3:uid="{00000000-0010-0000-0300-00001D000000}" name="Flow _x000a_(m3 d-1)" dataDxfId="460" totalsRowDxfId="459">
      <calculatedColumnFormula>Information!$R$54/GSBR[[#This Row],[HRT 
(h)]]*24</calculatedColumnFormula>
    </tableColumn>
    <tableColumn id="21" xr3:uid="{00000000-0010-0000-0300-000015000000}" name="HRT _x000a_(h)" totalsRowFunction="stdDev" dataDxfId="458"/>
    <tableColumn id="24" xr3:uid="{00000000-0010-0000-0300-000018000000}" name="Temp. _x000a_(°C)" dataDxfId="457"/>
    <tableColumn id="27" xr3:uid="{00000000-0010-0000-0300-00001B000000}" name="pHreactor" dataDxfId="456" totalsRowDxfId="455"/>
    <tableColumn id="26" xr3:uid="{00000000-0010-0000-0300-00001A000000}" name="DO _x000a_(mg L-1)" dataDxfId="454" totalsRowDxfId="453"/>
    <tableColumn id="25" xr3:uid="{00000000-0010-0000-0300-000019000000}" name="COND. _x000a_(mS cm-2)" dataDxfId="452"/>
    <tableColumn id="23" xr3:uid="{00000000-0010-0000-0300-000017000000}" name="ORP _x000a_(mV)" dataDxfId="451" totalsRowDxfId="450"/>
    <tableColumn id="42" xr3:uid="{00000000-0010-0000-0300-00002A000000}" name="MLSS _x000a_(mg L-1)" dataDxfId="449" totalsRowDxfId="448"/>
    <tableColumn id="41" xr3:uid="{00000000-0010-0000-0300-000029000000}" name="MLVSS _x000a_(mg L-1)" dataDxfId="447" totalsRowDxfId="446"/>
    <tableColumn id="4" xr3:uid="{00000000-0010-0000-0300-000004000000}" name="COD _x000a_(mg L-1)"/>
    <tableColumn id="16" xr3:uid="{00000000-0010-0000-0300-000010000000}" name="sCOD" dataDxfId="445">
      <calculatedColumnFormula>GSBR[[#This Row],[COD 
(mg L-1)]]*Information!$AK$43</calculatedColumnFormula>
    </tableColumn>
    <tableColumn id="15" xr3:uid="{00000000-0010-0000-0300-00000F000000}" name="Alkalinity _x000a_(mg CaCO3 L-1) "/>
    <tableColumn id="5" xr3:uid="{00000000-0010-0000-0300-000005000000}" name="pHeff"/>
    <tableColumn id="6" xr3:uid="{00000000-0010-0000-0300-000006000000}" name="TSS  _x000a_(mg L-1)"/>
    <tableColumn id="7" xr3:uid="{00000000-0010-0000-0300-000007000000}" name="VSS  _x000a_(mg L-1)"/>
    <tableColumn id="14" xr3:uid="{00000000-0010-0000-0300-00000E000000}" name="P sol _x000a_(mg L-1)"/>
    <tableColumn id="12" xr3:uid="{00000000-0010-0000-0300-00000C000000}" name="TON _x000a_(mg L-1)"/>
    <tableColumn id="28" xr3:uid="{00000000-0010-0000-0300-00001C000000}" name="NH4+ (mg L-1)" dataDxfId="444">
      <calculatedColumnFormula>GSBR[[#This Row],[NH4-N 
(mg L-1)]]*1.288</calculatedColumnFormula>
    </tableColumn>
    <tableColumn id="20" xr3:uid="{00000000-0010-0000-0300-000014000000}" name="NO2- (mg L-1)" dataDxfId="443">
      <calculatedColumnFormula>GSBR[[#This Row],[NO2-N 
(mg L-1)]]*3.284</calculatedColumnFormula>
    </tableColumn>
    <tableColumn id="19" xr3:uid="{00000000-0010-0000-0300-000013000000}" name="NO3- (mg L-1)" dataDxfId="442">
      <calculatedColumnFormula>(GSBR[[#This Row],[NO3-N 
(mg L-1)]])*4.426</calculatedColumnFormula>
    </tableColumn>
    <tableColumn id="11" xr3:uid="{00000000-0010-0000-0300-00000B000000}" name="NH4-N _x000a_(mg L-1)" dataDxfId="441"/>
    <tableColumn id="10" xr3:uid="{00000000-0010-0000-0300-00000A000000}" name="NO2-N _x000a_(mg L-1)"/>
    <tableColumn id="9" xr3:uid="{00000000-0010-0000-0300-000009000000}" name="NO3-N _x000a_(mg L-1)" dataDxfId="440">
      <calculatedColumnFormula>IF((GSBR[[#This Row],[TON 
(mg L-1)]]-GSBR[[#This Row],[NO2-N 
(mg L-1)]])&lt;0,0.2,(GSBR[[#This Row],[TON 
(mg L-1)]]-GSBR[[#This Row],[NO2-N 
(mg L-1)]]))</calculatedColumnFormula>
    </tableColumn>
    <tableColumn id="13" xr3:uid="{00000000-0010-0000-0300-00000D000000}" name="TN _x000a_(mg L-1)" dataDxfId="439">
      <calculatedColumnFormula>SUM(GSBR[[#This Row],[NO3-N 
(mg L-1)]],GSBR[[#This Row],[NO2-N 
(mg L-1)]],GSBR[[#This Row],[NH4-N 
(mg L-1)]])</calculatedColumnFormula>
    </tableColumn>
    <tableColumn id="30" xr3:uid="{00000000-0010-0000-0300-00001E000000}" name="NO3-N/ NH4-N" dataDxfId="438">
      <calculatedColumnFormula>IF(IFERROR(GSBR[[#This Row],[NO3-N 
(mg L-1)]]/(Influent[[#This Row],[NH4-N (mg L-1)]]-GSBR[[#This Row],[NH4-N 
(mg L-1)]]), 0)&lt;0,0,IFERROR(GSBR[[#This Row],[NO3-N 
(mg L-1)]]/(Influent[[#This Row],[NH4-N (mg L-1)]]-GSBR[[#This Row],[NH4-N 
(mg L-1)]]), 0))</calculatedColumnFormula>
    </tableColumn>
    <tableColumn id="17" xr3:uid="{00000000-0010-0000-0300-000011000000}" name="NO2-N/ NH4-N " dataDxfId="437" totalsRowDxfId="436" dataCellStyle="Percent">
      <calculatedColumnFormula>IF(IFERROR(GSBR[[#This Row],[NO2-N 
(mg L-1)]]/GSBR[[#This Row],[NH4-N 
(mg L-1)]],0)&lt;0,0,IFERROR(GSBR[[#This Row],[NO2-N 
(mg L-1)]]/GSBR[[#This Row],[NH4-N 
(mg L-1)]],0))</calculatedColumnFormula>
    </tableColumn>
    <tableColumn id="22" xr3:uid="{00000000-0010-0000-0300-000016000000}" name="NO2/ NOx" dataDxfId="435" totalsRowDxfId="434" dataCellStyle="Percent">
      <calculatedColumnFormula>GSBR[[#This Row],[NO2-N 
(mg L-1)]]/(GSBR[[#This Row],[NO2-N 
(mg L-1)]]+GSBR[[#This Row],[NO3-N 
(mg L-1)]])</calculatedColumnFormula>
    </tableColumn>
    <tableColumn id="43" xr3:uid="{00000000-0010-0000-0300-00002B000000}" name="FNA _x000a_(mg L-1)" dataDxfId="433">
      <calculatedColumnFormula>46/14*GSBR[[#This Row],[NO2-N 
(mg L-1)]]/(EXP(-2300/(GSBR[[#This Row],[Temp. 
(°C)]]+273))*10^(GSBR[[#This Row],[pHreactor]]))</calculatedColumnFormula>
    </tableColumn>
    <tableColumn id="8" xr3:uid="{00000000-0010-0000-0300-000008000000}" name="FA _x000a_(mg L-1)" dataDxfId="432">
      <calculatedColumnFormula>17/14*(GSBR[[#This Row],[NH4+ (mg L-1)]]*10^GSBR[[#This Row],[pHreactor]])/(EXP(6344/(273+GSBR[[#This Row],[Temp. 
(°C)]]))+10^GSBR[pHreactor])</calculatedColumnFormula>
    </tableColumn>
    <tableColumn id="38" xr3:uid="{00000000-0010-0000-0300-000026000000}" name="ΔN (mg L-1)" dataDxfId="431" totalsRowDxfId="430" dataCellStyle="Percent">
      <calculatedColumnFormula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calculatedColumnFormula>
    </tableColumn>
    <tableColumn id="3" xr3:uid="{00000000-0010-0000-0300-000003000000}" name="ΔC (mg L-1)" dataDxfId="429">
      <calculatedColumnFormula>IFERROR(IF(Influent[[#This Row],[COD (mg L-1)]]-MEDIA[[#This Row],[COD 
(mg L-1)]]&lt;0,0,Influent[[#This Row],[COD (mg L-1)]]-MEDIA[[#This Row],[COD 
(mg L-1)]]),0)</calculatedColumnFormula>
    </tableColumn>
    <tableColumn id="18" xr3:uid="{00000000-0010-0000-0300-000012000000}" name="ΔAlk (mg L-1)" dataDxfId="428">
      <calculatedColumnFormula>IF(IFERROR(Influent[[#This Row],[Alkalinity (mg CaCO3 L-1) ]]-GSBR[[#This Row],[Alkalinity 
(mg CaCO3 L-1) ]],0)&lt;0,0,IFERROR(Influent[[#This Row],[Alkalinity (mg CaCO3 L-1) ]]-GSBR[[#This Row],[Alkalinity 
(mg CaCO3 L-1) ]],0))</calculatedColumnFormula>
    </tableColumn>
    <tableColumn id="56" xr3:uid="{00000000-0010-0000-0300-000038000000}" name="OLR _x000a_(kg COD m-3 d-1)" dataDxfId="427">
      <calculatedColumnFormula>Influent[[#This Row],[COD (mg L-1)]]/GSBR[[#This Row],[HRT 
(h)]]*24/1000</calculatedColumnFormula>
    </tableColumn>
    <tableColumn id="39" xr3:uid="{00000000-0010-0000-0300-000027000000}" name="ORR _x000a_(kg COD m-3 d-1)" dataDxfId="426">
      <calculatedColumnFormula>IFERROR(IF(((GSBR[[#This Row],[ΔC (mg L-1)]])/GSBR[[#This Row],[HRT 
(h)]]*24/1000) &lt;0,0, (GSBR[[#This Row],[ΔC (mg L-1)]])/GSBR[[#This Row],[HRT 
(h)]]*24/1000),0)</calculatedColumnFormula>
    </tableColumn>
    <tableColumn id="58" xr3:uid="{00000000-0010-0000-0300-00003A000000}" name="ARR _x000a_(kg NH4-N m-3 d-1)" dataDxfId="425">
      <calculatedColumnFormula>IF(IFERROR((Influent[[#This Row],[NH4-N (mg L-1)]])*GSBR[[#This Row],[ARE 
(%)]]/GSBR[[#This Row],[HRT 
(h)]]*24/1000,0)&lt;0,0,IFERROR((Influent[[#This Row],[NH4-N (mg L-1)]])*GSBR[[#This Row],[ARE 
(%)]]/GSBR[[#This Row],[HRT 
(h)]]*24/1000,0))</calculatedColumnFormula>
    </tableColumn>
    <tableColumn id="36" xr3:uid="{00000000-0010-0000-0300-000024000000}" name="NLR _x000a_(kg N m-3 d-1)" dataDxfId="424" totalsRowDxfId="423">
      <calculatedColumnFormula>Influent[[#This Row],[TN (mg L-1)]]/GSBR[[#This Row],[HRT 
(h)]]*24/1000</calculatedColumnFormula>
    </tableColumn>
    <tableColumn id="35" xr3:uid="{00000000-0010-0000-0300-000023000000}" name="NRR _x000a_(kg N m-3 d-1)" dataDxfId="422">
      <calculatedColumnFormula>GSBR[[#This Row],[NLR 
(kg N m-3 d-1)]]*GSBR[[#This Row],[NRE 
(%)]]</calculatedColumnFormula>
    </tableColumn>
    <tableColumn id="32" xr3:uid="{00000000-0010-0000-0300-000020000000}" name="ARE _x000a_(%)" dataDxfId="421" totalsRowDxfId="420" dataCellStyle="Percent">
      <calculatedColumnFormula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calculatedColumnFormula>
    </tableColumn>
    <tableColumn id="31" xr3:uid="{00000000-0010-0000-0300-00001F000000}" name="NRE _x000a_(%)" dataDxfId="419" totalsRowDxfId="418" dataCellStyle="Percent">
      <calculatedColumnFormula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calculatedColumnFormula>
    </tableColumn>
    <tableColumn id="40" xr3:uid="{00000000-0010-0000-0300-000028000000}" name="SAA _x000a_(g N  g VSS-1 d-1)" dataDxfId="417"/>
    <tableColumn id="34" xr3:uid="{00000000-0010-0000-0300-000022000000}" name="Comments" totalsRowFunction="count" dataDxfId="416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Influent9" displayName="Influent9" ref="A3:W93" totalsRowShown="0" headerRowDxfId="415">
  <autoFilter ref="A3:W93" xr:uid="{00000000-0009-0000-0100-000008000000}"/>
  <tableColumns count="23">
    <tableColumn id="1" xr3:uid="{00000000-0010-0000-0400-000001000000}" name="Date" dataDxfId="414"/>
    <tableColumn id="2" xr3:uid="{00000000-0010-0000-0400-000002000000}" name="Sample number"/>
    <tableColumn id="18" xr3:uid="{00000000-0010-0000-0400-000012000000}" name="Temperature (°C)"/>
    <tableColumn id="3" xr3:uid="{00000000-0010-0000-0400-000003000000}" name="ORP" dataDxfId="413"/>
    <tableColumn id="4" xr3:uid="{00000000-0010-0000-0400-000004000000}" name="COD (mg L-1)"/>
    <tableColumn id="23" xr3:uid="{00000000-0010-0000-0400-000017000000}" name="sCOD (mg L-1)" dataDxfId="412">
      <calculatedColumnFormula>Influent9[[#This Row],[COD (mg L-1)]]*Information!$AK$40</calculatedColumnFormula>
    </tableColumn>
    <tableColumn id="15" xr3:uid="{00000000-0010-0000-0400-00000F000000}" name="Alkalinity (mg CaCO3 L-1) " dataDxfId="411"/>
    <tableColumn id="5" xr3:uid="{00000000-0010-0000-0400-000005000000}" name="pHinf"/>
    <tableColumn id="6" xr3:uid="{00000000-0010-0000-0400-000006000000}" name="TSS (mg L-1)"/>
    <tableColumn id="7" xr3:uid="{00000000-0010-0000-0400-000007000000}" name="VSS (mg L-1)"/>
    <tableColumn id="14" xr3:uid="{00000000-0010-0000-0400-00000E000000}" name="P sol (mg L-1)" dataDxfId="410"/>
    <tableColumn id="12" xr3:uid="{00000000-0010-0000-0400-00000C000000}" name="TON (mg L-1)" dataDxfId="409"/>
    <tableColumn id="20" xr3:uid="{00000000-0010-0000-0400-000014000000}" name="NH4+ (mg L-1)" dataDxfId="408">
      <calculatedColumnFormula>Influent9[[#This Row],[NH4-N (mg L-1)]]*1.288</calculatedColumnFormula>
    </tableColumn>
    <tableColumn id="16" xr3:uid="{00000000-0010-0000-0400-000010000000}" name="NO3- (mg L-1)" dataDxfId="407">
      <calculatedColumnFormula>(Influent9[[#This Row],[TON (mg L-1)]]-Influent9[[#This Row],[NO2- (mg L-1)]])*4.426</calculatedColumnFormula>
    </tableColumn>
    <tableColumn id="19" xr3:uid="{00000000-0010-0000-0400-000013000000}" name="NO2- (mg L-1)" dataDxfId="406">
      <calculatedColumnFormula>Influent9[[#This Row],[NO2-N (mg L-1)]]*3.284</calculatedColumnFormula>
    </tableColumn>
    <tableColumn id="11" xr3:uid="{00000000-0010-0000-0400-00000B000000}" name="NH4-N (mg L-1)" dataDxfId="405"/>
    <tableColumn id="10" xr3:uid="{00000000-0010-0000-0400-00000A000000}" name="NO2-N (mg L-1)" dataDxfId="404"/>
    <tableColumn id="9" xr3:uid="{00000000-0010-0000-0400-000009000000}" name="NO3-N (mg L-1)" dataDxfId="403">
      <calculatedColumnFormula>IF(Influent9[[#This Row],[TON (mg L-1)]]-Influent9[[#This Row],[NO2-N (mg L-1)]]&lt;0,0.2,Influent9[[#This Row],[TON (mg L-1)]]-Influent9[[#This Row],[NO2-N (mg L-1)]])</calculatedColumnFormula>
    </tableColumn>
    <tableColumn id="13" xr3:uid="{00000000-0010-0000-0400-00000D000000}" name="TN (mg L-1)" dataDxfId="402">
      <calculatedColumnFormula>SUM(Influent9[[#This Row],[NO3-N (mg L-1)]],Influent9[[#This Row],[NO2-N (mg L-1)]],Influent9[[#This Row],[NH4-N (mg L-1)]])</calculatedColumnFormula>
    </tableColumn>
    <tableColumn id="21" xr3:uid="{00000000-0010-0000-0400-000015000000}" name="sC/ N " dataDxfId="401">
      <calculatedColumnFormula>IFERROR(Influent9[[#This Row],[sCOD (mg L-1)]]/Influent9[[#This Row],[TN (mg L-1)]], 0)</calculatedColumnFormula>
    </tableColumn>
    <tableColumn id="17" xr3:uid="{00000000-0010-0000-0400-000011000000}" name="Alk/ TN" dataDxfId="400">
      <calculatedColumnFormula>Influent9[[#This Row],[Alkalinity (mg CaCO3 L-1) ]]/Influent9[[#This Row],[TN (mg L-1)]]</calculatedColumnFormula>
    </tableColumn>
    <tableColumn id="8" xr3:uid="{00000000-0010-0000-0400-000008000000}" name="VSS/TSS" dataDxfId="399">
      <calculatedColumnFormula>Influent9[[#This Row],[VSS (mg L-1)]]/Influent9[[#This Row],[TSS (mg L-1)]]</calculatedColumnFormula>
    </tableColumn>
    <tableColumn id="22" xr3:uid="{00000000-0010-0000-0400-000016000000}" name="Comments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GSBR8" displayName="GSBR8" ref="A3:AQ93" headerRowDxfId="386">
  <autoFilter ref="A3:AQ93" xr:uid="{00000000-0009-0000-0100-000007000000}"/>
  <tableColumns count="43">
    <tableColumn id="1" xr3:uid="{00000000-0010-0000-0500-000001000000}" name="Date" totalsRowLabel="Total" dataDxfId="385" totalsRowDxfId="384"/>
    <tableColumn id="2" xr3:uid="{00000000-0010-0000-0500-000002000000}" name="Sample number"/>
    <tableColumn id="29" xr3:uid="{00000000-0010-0000-0500-00001D000000}" name="Flow _x000a_(m3 d-1)" dataDxfId="383" totalsRowDxfId="382">
      <calculatedColumnFormula>Information!$R$54/GSBR8[[#This Row],[HRT 
(h)]]*24</calculatedColumnFormula>
    </tableColumn>
    <tableColumn id="21" xr3:uid="{00000000-0010-0000-0500-000015000000}" name="HRT _x000a_(h)" totalsRowFunction="stdDev" dataDxfId="381"/>
    <tableColumn id="24" xr3:uid="{00000000-0010-0000-0500-000018000000}" name="Temp. _x000a_(°C)" dataDxfId="380"/>
    <tableColumn id="27" xr3:uid="{00000000-0010-0000-0500-00001B000000}" name="pHreactor" dataDxfId="379" totalsRowDxfId="378"/>
    <tableColumn id="26" xr3:uid="{00000000-0010-0000-0500-00001A000000}" name="DO _x000a_(mg L-1)" dataDxfId="377" totalsRowDxfId="376"/>
    <tableColumn id="25" xr3:uid="{00000000-0010-0000-0500-000019000000}" name="COND. _x000a_(mS cm-2)" dataDxfId="375"/>
    <tableColumn id="23" xr3:uid="{00000000-0010-0000-0500-000017000000}" name="ORP _x000a_(mV)" dataDxfId="374" totalsRowDxfId="373"/>
    <tableColumn id="42" xr3:uid="{00000000-0010-0000-0500-00002A000000}" name="MLSS _x000a_(mg L-1)" dataDxfId="372" totalsRowDxfId="371"/>
    <tableColumn id="41" xr3:uid="{00000000-0010-0000-0500-000029000000}" name="MLVSS _x000a_(mg L-1)" dataDxfId="370" totalsRowDxfId="369"/>
    <tableColumn id="4" xr3:uid="{00000000-0010-0000-0500-000004000000}" name="COD _x000a_(mg L-1)"/>
    <tableColumn id="16" xr3:uid="{00000000-0010-0000-0500-000010000000}" name="sCOD" dataDxfId="368">
      <calculatedColumnFormula>GSBR8[[#This Row],[COD 
(mg L-1)]]*Information!$AK$43</calculatedColumnFormula>
    </tableColumn>
    <tableColumn id="15" xr3:uid="{00000000-0010-0000-0500-00000F000000}" name="Alkalinity _x000a_(mg CaCO3 L-1) "/>
    <tableColumn id="5" xr3:uid="{00000000-0010-0000-0500-000005000000}" name="pHeff"/>
    <tableColumn id="6" xr3:uid="{00000000-0010-0000-0500-000006000000}" name="TSS  _x000a_(mg L-1)"/>
    <tableColumn id="7" xr3:uid="{00000000-0010-0000-0500-000007000000}" name="VSS  _x000a_(mg L-1)"/>
    <tableColumn id="14" xr3:uid="{00000000-0010-0000-0500-00000E000000}" name="P sol _x000a_(mg L-1)"/>
    <tableColumn id="12" xr3:uid="{00000000-0010-0000-0500-00000C000000}" name="TON _x000a_(mg L-1)"/>
    <tableColumn id="28" xr3:uid="{00000000-0010-0000-0500-00001C000000}" name="NH4+ (mg L-1)" dataDxfId="367">
      <calculatedColumnFormula>GSBR8[[#This Row],[NH4-N 
(mg L-1)]]*1.288</calculatedColumnFormula>
    </tableColumn>
    <tableColumn id="20" xr3:uid="{00000000-0010-0000-0500-000014000000}" name="NO2- (mg L-1)" dataDxfId="366">
      <calculatedColumnFormula>GSBR8[[#This Row],[NO2-N 
(mg L-1)]]*3.284</calculatedColumnFormula>
    </tableColumn>
    <tableColumn id="19" xr3:uid="{00000000-0010-0000-0500-000013000000}" name="NO3- (mg L-1)" dataDxfId="365">
      <calculatedColumnFormula>(GSBR8[[#This Row],[NO3-N 
(mg L-1)]])*4.426</calculatedColumnFormula>
    </tableColumn>
    <tableColumn id="11" xr3:uid="{00000000-0010-0000-0500-00000B000000}" name="NH4-N _x000a_(mg L-1)" dataDxfId="364"/>
    <tableColumn id="10" xr3:uid="{00000000-0010-0000-0500-00000A000000}" name="NO2-N _x000a_(mg L-1)"/>
    <tableColumn id="9" xr3:uid="{00000000-0010-0000-0500-000009000000}" name="NO3-N _x000a_(mg L-1)" dataDxfId="363">
      <calculatedColumnFormula>IF((GSBR8[[#This Row],[TON 
(mg L-1)]]-GSBR8[[#This Row],[NO2-N 
(mg L-1)]])&lt;0,0.2,(GSBR8[[#This Row],[TON 
(mg L-1)]]-GSBR8[[#This Row],[NO2-N 
(mg L-1)]]))</calculatedColumnFormula>
    </tableColumn>
    <tableColumn id="13" xr3:uid="{00000000-0010-0000-0500-00000D000000}" name="TN _x000a_(mg L-1)" dataDxfId="362">
      <calculatedColumnFormula>SUM(GSBR8[[#This Row],[NO3-N 
(mg L-1)]],GSBR8[[#This Row],[NO2-N 
(mg L-1)]],GSBR8[[#This Row],[NH4-N 
(mg L-1)]])</calculatedColumnFormula>
    </tableColumn>
    <tableColumn id="30" xr3:uid="{00000000-0010-0000-0500-00001E000000}" name="NO3-N/ NH4-N" dataDxfId="361">
      <calculatedColumnFormula>IF(IFERROR(GSBR8[[#This Row],[NO3-N 
(mg L-1)]]/(Influent[[#This Row],[NH4-N (mg L-1)]]-GSBR8[[#This Row],[NH4-N 
(mg L-1)]]), 0)&lt;0,0,IFERROR(GSBR8[[#This Row],[NO3-N 
(mg L-1)]]/(Influent[[#This Row],[NH4-N (mg L-1)]]-GSBR8[[#This Row],[NH4-N 
(mg L-1)]]), 0))</calculatedColumnFormula>
    </tableColumn>
    <tableColumn id="17" xr3:uid="{00000000-0010-0000-0500-000011000000}" name="NO2-N/ NH4-N " dataDxfId="360" totalsRowDxfId="359" dataCellStyle="Percent">
      <calculatedColumnFormula>IF(IFERROR(GSBR8[[#This Row],[NO2-N 
(mg L-1)]]/GSBR8[[#This Row],[NH4-N 
(mg L-1)]],0)&lt;0,0,IFERROR(GSBR8[[#This Row],[NO2-N 
(mg L-1)]]/GSBR8[[#This Row],[NH4-N 
(mg L-1)]],0))</calculatedColumnFormula>
    </tableColumn>
    <tableColumn id="22" xr3:uid="{00000000-0010-0000-0500-000016000000}" name="NO2/ NOx" dataDxfId="358" totalsRowDxfId="357" dataCellStyle="Percent">
      <calculatedColumnFormula>GSBR8[[#This Row],[NO2-N 
(mg L-1)]]/(GSBR8[[#This Row],[NO2-N 
(mg L-1)]]+GSBR8[[#This Row],[NO3-N 
(mg L-1)]])</calculatedColumnFormula>
    </tableColumn>
    <tableColumn id="43" xr3:uid="{00000000-0010-0000-0500-00002B000000}" name="FNA _x000a_(mg L-1)" dataDxfId="356">
      <calculatedColumnFormula>46/14*GSBR8[[#This Row],[NO2-N 
(mg L-1)]]/(EXP(-2300/(GSBR8[[#This Row],[Temp. 
(°C)]]+273))*10^(GSBR8[[#This Row],[pHreactor]]))</calculatedColumnFormula>
    </tableColumn>
    <tableColumn id="8" xr3:uid="{00000000-0010-0000-0500-000008000000}" name="FA _x000a_(mg L-1)" dataDxfId="355">
      <calculatedColumnFormula>17/14*(GSBR8[[#This Row],[NH4+ (mg L-1)]]*10^GSBR8[[#This Row],[pHreactor]])/(EXP(6344/(273+GSBR8[[#This Row],[Temp. 
(°C)]]))+10^GSBR8[pHreactor])</calculatedColumnFormula>
    </tableColumn>
    <tableColumn id="38" xr3:uid="{00000000-0010-0000-0500-000026000000}" name="ΔN (mg L-1)" dataDxfId="354" totalsRowDxfId="353" dataCellStyle="Percent">
      <calculatedColumnFormula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calculatedColumnFormula>
    </tableColumn>
    <tableColumn id="3" xr3:uid="{00000000-0010-0000-0500-000003000000}" name="ΔC (mg L-1)" dataDxfId="352">
      <calculatedColumnFormula>IFERROR(IF(Influent[[#This Row],[COD (mg L-1)]]-MEDIA[[#This Row],[COD 
(mg L-1)]]&lt;0,0,Influent[[#This Row],[COD (mg L-1)]]-MEDIA[[#This Row],[COD 
(mg L-1)]]),0)</calculatedColumnFormula>
    </tableColumn>
    <tableColumn id="18" xr3:uid="{00000000-0010-0000-0500-000012000000}" name="ΔAlk (mg L-1)" dataDxfId="351">
      <calculatedColumnFormula>IF(IFERROR(Influent[[#This Row],[Alkalinity (mg CaCO3 L-1) ]]-GSBR8[[#This Row],[Alkalinity 
(mg CaCO3 L-1) ]],0)&lt;0,0,IFERROR(Influent[[#This Row],[Alkalinity (mg CaCO3 L-1) ]]-GSBR8[[#This Row],[Alkalinity 
(mg CaCO3 L-1) ]],0))</calculatedColumnFormula>
    </tableColumn>
    <tableColumn id="56" xr3:uid="{00000000-0010-0000-0500-000038000000}" name="OLR _x000a_(kg COD m-3 d-1)" dataDxfId="350">
      <calculatedColumnFormula>Influent[[#This Row],[COD (mg L-1)]]/GSBR8[[#This Row],[HRT 
(h)]]*24/1000</calculatedColumnFormula>
    </tableColumn>
    <tableColumn id="39" xr3:uid="{00000000-0010-0000-0500-000027000000}" name="ORR _x000a_(kg COD m-3 d-1)" dataDxfId="349">
      <calculatedColumnFormula>IFERROR(IF(((GSBR8[[#This Row],[ΔC (mg L-1)]])/GSBR8[[#This Row],[HRT 
(h)]]*24/1000) &lt;0,0, (GSBR8[[#This Row],[ΔC (mg L-1)]])/GSBR8[[#This Row],[HRT 
(h)]]*24/1000),0)</calculatedColumnFormula>
    </tableColumn>
    <tableColumn id="58" xr3:uid="{00000000-0010-0000-0500-00003A000000}" name="ARR _x000a_(kg NH4-N m-3 d-1)" dataDxfId="348">
      <calculatedColumnFormula>IF(IFERROR((Influent[[#This Row],[NH4-N (mg L-1)]])*GSBR8[[#This Row],[ARE 
(%)]]/GSBR8[[#This Row],[HRT 
(h)]]*24/1000,0)&lt;0,0,IFERROR((Influent[[#This Row],[NH4-N (mg L-1)]])*GSBR8[[#This Row],[ARE 
(%)]]/GSBR8[[#This Row],[HRT 
(h)]]*24/1000,0))</calculatedColumnFormula>
    </tableColumn>
    <tableColumn id="36" xr3:uid="{00000000-0010-0000-0500-000024000000}" name="NLR _x000a_(kg N m-3 d-1)" dataDxfId="347" totalsRowDxfId="346">
      <calculatedColumnFormula>Influent[[#This Row],[TN (mg L-1)]]/GSBR8[[#This Row],[HRT 
(h)]]*24/1000</calculatedColumnFormula>
    </tableColumn>
    <tableColumn id="35" xr3:uid="{00000000-0010-0000-0500-000023000000}" name="NRR _x000a_(kg N m-3 d-1)" dataDxfId="345">
      <calculatedColumnFormula>GSBR8[[#This Row],[NLR 
(kg N m-3 d-1)]]*GSBR8[[#This Row],[NRE 
(%)]]</calculatedColumnFormula>
    </tableColumn>
    <tableColumn id="32" xr3:uid="{00000000-0010-0000-0500-000020000000}" name="ARE _x000a_(%)" dataDxfId="344" totalsRowDxfId="343" dataCellStyle="Percent">
      <calculatedColumnFormula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calculatedColumnFormula>
    </tableColumn>
    <tableColumn id="31" xr3:uid="{00000000-0010-0000-0500-00001F000000}" name="NRE _x000a_(%)" dataDxfId="342" totalsRowDxfId="341" dataCellStyle="Percent">
      <calculatedColumnFormula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calculatedColumnFormula>
    </tableColumn>
    <tableColumn id="40" xr3:uid="{00000000-0010-0000-0500-000028000000}" name="SAA _x000a_(g N  g VSS-1 d-1)" dataDxfId="340"/>
    <tableColumn id="34" xr3:uid="{00000000-0010-0000-0500-000022000000}" name="Comments" totalsRowFunction="count" dataDxfId="339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LTP" displayName="LTP" ref="A3:AM93" totalsRowShown="0" headerRowDxfId="337">
  <autoFilter ref="A3:AM93" xr:uid="{00000000-0009-0000-0100-000001000000}"/>
  <tableColumns count="39">
    <tableColumn id="1" xr3:uid="{00000000-0010-0000-0600-000001000000}" name="Date" dataDxfId="336"/>
    <tableColumn id="2" xr3:uid="{00000000-0010-0000-0600-000002000000}" name="Sample number"/>
    <tableColumn id="38" xr3:uid="{00000000-0010-0000-0600-000026000000}" name="Flow _x000a_(m3 d-1)" dataDxfId="335"/>
    <tableColumn id="44" xr3:uid="{00000000-0010-0000-0600-00002C000000}" name="Cycles per day" dataDxfId="334">
      <calculatedColumnFormula>24/(LTP[[#This Row],[Cycle duration 
(h)]]+2)</calculatedColumnFormula>
    </tableColumn>
    <tableColumn id="43" xr3:uid="{00000000-0010-0000-0600-00002B000000}" name="Cycle duration _x000a_(h)" dataDxfId="333"/>
    <tableColumn id="4" xr3:uid="{00000000-0010-0000-0600-000004000000}" name="HRT _x000a_(h)" dataDxfId="332">
      <calculatedColumnFormula>Information!$R$61/(LTP[Flow 
(m3 d-1)]/24*LTP[[#This Row],[Cycles per day]]*LTP[[#This Row],[Cycle duration 
(h)]])*24</calculatedColumnFormula>
    </tableColumn>
    <tableColumn id="5" xr3:uid="{00000000-0010-0000-0600-000005000000}" name="Temp. _x000a_(°C)" dataDxfId="331"/>
    <tableColumn id="6" xr3:uid="{00000000-0010-0000-0600-000006000000}" name="pHreactor" dataDxfId="330"/>
    <tableColumn id="7" xr3:uid="{00000000-0010-0000-0600-000007000000}" name="DO _x000a_(mg L-1)" dataDxfId="329"/>
    <tableColumn id="8" xr3:uid="{00000000-0010-0000-0600-000008000000}" name="Sodium dosing _x000a_(L h-1)" dataDxfId="328"/>
    <tableColumn id="37" xr3:uid="{00000000-0010-0000-0600-000025000000}" name="MLSS _x000a_(mg L-1)" dataDxfId="327">
      <calculatedColumnFormula>LTP[[#This Row],[TSS  
(mg L-1)]]</calculatedColumnFormula>
    </tableColumn>
    <tableColumn id="26" xr3:uid="{00000000-0010-0000-0600-00001A000000}" name="MLVSS_x000a_(mg L-1)" dataDxfId="326">
      <calculatedColumnFormula>LTP[[#This Row],[VSS 
(mg L-1)]]</calculatedColumnFormula>
    </tableColumn>
    <tableColumn id="10" xr3:uid="{00000000-0010-0000-0600-00000A000000}" name="COD _x000a_(mg L-1)"/>
    <tableColumn id="27" xr3:uid="{00000000-0010-0000-0600-00001B000000}" name="sCOD" dataDxfId="325">
      <calculatedColumnFormula>LTP[[#This Row],[COD 
(mg L-1)]]*Information!$AK$44</calculatedColumnFormula>
    </tableColumn>
    <tableColumn id="11" xr3:uid="{00000000-0010-0000-0600-00000B000000}" name="Alkalinity _x000a_(mg CaCO3 L-1) "/>
    <tableColumn id="12" xr3:uid="{00000000-0010-0000-0600-00000C000000}" name="pHeff"/>
    <tableColumn id="13" xr3:uid="{00000000-0010-0000-0600-00000D000000}" name="TSS  _x000a_(mg L-1)"/>
    <tableColumn id="14" xr3:uid="{00000000-0010-0000-0600-00000E000000}" name="VSS _x000a_(mg L-1)"/>
    <tableColumn id="15" xr3:uid="{00000000-0010-0000-0600-00000F000000}" name="P sol _x000a_(mg L-1)"/>
    <tableColumn id="16" xr3:uid="{00000000-0010-0000-0600-000010000000}" name="TON _x000a_(mg L-1)"/>
    <tableColumn id="17" xr3:uid="{00000000-0010-0000-0600-000011000000}" name="NH4+ (mg L-1)" dataDxfId="324"/>
    <tableColumn id="18" xr3:uid="{00000000-0010-0000-0600-000012000000}" name="NO2- (mg L-1)" dataDxfId="323"/>
    <tableColumn id="19" xr3:uid="{00000000-0010-0000-0600-000013000000}" name="NO3- (mg L-1)" dataDxfId="322"/>
    <tableColumn id="20" xr3:uid="{00000000-0010-0000-0600-000014000000}" name="NH4-N _x000a_(mg L-1)"/>
    <tableColumn id="21" xr3:uid="{00000000-0010-0000-0600-000015000000}" name="NO2-N _x000a_(mg L-1)"/>
    <tableColumn id="22" xr3:uid="{00000000-0010-0000-0600-000016000000}" name="NO3-N _x000a_(mg L-1)" dataDxfId="321">
      <calculatedColumnFormula>IF(LTP[[#This Row],[TON 
(mg L-1)]]-LTP[[#This Row],[NO2-N 
(mg L-1)]]&lt;0,0.2,LTP[[#This Row],[TON 
(mg L-1)]]-LTP[[#This Row],[NO2-N 
(mg L-1)]])</calculatedColumnFormula>
    </tableColumn>
    <tableColumn id="23" xr3:uid="{00000000-0010-0000-0600-000017000000}" name="TN _x000a_(mg L-1)" dataDxfId="320">
      <calculatedColumnFormula>SUM(LTP[[#This Row],[NH4-N 
(mg L-1)]:[NO3-N 
(mg L-1)]])</calculatedColumnFormula>
    </tableColumn>
    <tableColumn id="24" xr3:uid="{00000000-0010-0000-0600-000018000000}" name="NO3-N/ NH4-N" dataDxfId="319" dataCellStyle="Percent">
      <calculatedColumnFormula>LTP[[#This Row],[NO3-N 
(mg L-1)]]/(Influent[[#This Row],[NH4-N (mg L-1)]]-LTP[[#This Row],[NH4-N 
(mg L-1)]])</calculatedColumnFormula>
    </tableColumn>
    <tableColumn id="25" xr3:uid="{00000000-0010-0000-0600-000019000000}" name="NO2-N/ NH4-N " dataDxfId="318">
      <calculatedColumnFormula>LTP[[#This Row],[NO2-N 
(mg L-1)]]/(Influent[[#This Row],[NH4-N (mg L-1)]]-LTP[[#This Row],[NH4-N 
(mg L-1)]])</calculatedColumnFormula>
    </tableColumn>
    <tableColumn id="9" xr3:uid="{00000000-0010-0000-0600-000009000000}" name="FNA _x000a_(mg L-1)" dataDxfId="317">
      <calculatedColumnFormula>46/14*LTP[[#This Row],[NO2-N 
(mg L-1)]]/(EXP(-2300/(273+LTP[[#This Row],[Temp. 
(°C)]]))*10^LTP[[#This Row],[pHreactor]])</calculatedColumnFormula>
    </tableColumn>
    <tableColumn id="30" xr3:uid="{00000000-0010-0000-0600-00001E000000}" name="FA _x000a_(mg L-1)" dataDxfId="316">
      <calculatedColumnFormula>17/14*(LTP[[#This Row],[NH4-N 
(mg L-1)]]*10^LTP[[#This Row],[pHeff]])/(EXP(6344/(273+LTP[[#This Row],[Temp. 
(°C)]]))+10^LTP[[#This Row],[pHreactor]])</calculatedColumnFormula>
    </tableColumn>
    <tableColumn id="33" xr3:uid="{00000000-0010-0000-0600-000021000000}" name="OLR _x000a_(kg COD m-3 d-1)" dataDxfId="315">
      <calculatedColumnFormula>Influent[[#This Row],[sCOD (mg L-1)]]/LTP[[#This Row],[HRT 
(h)]]*24/1000</calculatedColumnFormula>
    </tableColumn>
    <tableColumn id="34" xr3:uid="{00000000-0010-0000-0600-000022000000}" name="ORR _x000a_(kg COD m-3 d-1)" dataDxfId="314">
      <calculatedColumnFormula>IFERROR(IF(((Influent[[#This Row],[COD (mg L-1)]]-LTP[[#This Row],[sCOD]])/LTP[[#This Row],[HRT 
(h)]]*24/1000) &lt;0,0, (Influent[[#This Row],[sCOD (mg L-1)]]-LTP[[#This Row],[sCOD]])/LTP[[#This Row],[HRT 
(h)]]*24/1000),0)</calculatedColumnFormula>
    </tableColumn>
    <tableColumn id="41" xr3:uid="{00000000-0010-0000-0600-000029000000}" name="ARR _x000a_(kg NH4-N m-3 d-1)" dataDxfId="313">
      <calculatedColumnFormula>(Influent[[#This Row],[NH4-N (mg L-1)]]*LTP[ARE 
(%)])*24/LTP[[#This Row],[HRT 
(h)]]/1000</calculatedColumnFormula>
    </tableColumn>
    <tableColumn id="31" xr3:uid="{00000000-0010-0000-0600-00001F000000}" name="NLR _x000a_(kg N m-3 d-1)" dataDxfId="312">
      <calculatedColumnFormula>Influent[[#This Row],[TN (mg L-1)]]/LTP[[#This Row],[HRT 
(h)]]*24/1000</calculatedColumnFormula>
    </tableColumn>
    <tableColumn id="32" xr3:uid="{00000000-0010-0000-0600-000020000000}" name="NRR _x000a_(kg N m-3 d-1)" dataDxfId="311">
      <calculatedColumnFormula>(Influent[[#This Row],[NH4-N (mg L-1)]])*LTP[NRE 
(%)]/LTP[[#This Row],[HRT 
(h)]]*24/1000</calculatedColumnFormula>
    </tableColumn>
    <tableColumn id="35" xr3:uid="{00000000-0010-0000-0600-000023000000}" name="ARE _x000a_(%)" dataDxfId="310" dataCellStyle="Percent">
      <calculatedColumnFormula>1-(LTP[[#This Row],[NH4-N 
(mg L-1)]]/Influent[[#This Row],[NH4-N (mg L-1)]])</calculatedColumnFormula>
    </tableColumn>
    <tableColumn id="36" xr3:uid="{00000000-0010-0000-0600-000024000000}" name="NRE _x000a_(%)" dataDxfId="309" dataCellStyle="Percent">
      <calculatedColumnFormula>1-(LTP[[#This Row],[TN 
(mg L-1)]]/Influent[[#This Row],[TN (mg L-1)]])</calculatedColumnFormula>
    </tableColumn>
    <tableColumn id="3" xr3:uid="{00000000-0010-0000-0600-000003000000}" name="Comments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0700B8F-CA44-4A3D-AC42-BB0792FD24A9}" name="Table23" displayName="Table23" ref="A1:C91" totalsRowShown="0">
  <autoFilter ref="A1:C91" xr:uid="{17F0846B-7E63-4B95-823A-2000196403DE}"/>
  <sortState xmlns:xlrd2="http://schemas.microsoft.com/office/spreadsheetml/2017/richdata2" ref="A2:C91">
    <sortCondition ref="C1:C91"/>
  </sortState>
  <tableColumns count="3">
    <tableColumn id="1" xr3:uid="{8F9C6D40-6C0A-4E8F-A0BC-83C39C4E1E7F}" name="DEM alk"/>
    <tableColumn id="2" xr3:uid="{2F2E4909-243B-43DB-99C7-89D6B95A786F}" name="Anita alk"/>
    <tableColumn id="3" xr3:uid="{3F185E3A-A471-4833-AAA0-673283C40351}" name="ELA alk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stableSSBR" displayName="stableSSBR" ref="A3:AU74" headerRowDxfId="298">
  <autoFilter ref="A3:AU74" xr:uid="{00000000-0009-0000-0100-000009000000}"/>
  <tableColumns count="47">
    <tableColumn id="1" xr3:uid="{00000000-0010-0000-0700-000001000000}" name="Date" totalsRowLabel="Total"/>
    <tableColumn id="2" xr3:uid="{00000000-0010-0000-0700-000002000000}" name="Sample number"/>
    <tableColumn id="32" xr3:uid="{00000000-0010-0000-0700-000020000000}" name="Flow _x000a_(L h-1)" dataDxfId="297" totalsRowDxfId="296"/>
    <tableColumn id="23" xr3:uid="{00000000-0010-0000-0700-000017000000}" name="Flow _x000a_(m3 d-1)" dataDxfId="295" totalsRowDxfId="294">
      <calculatedColumnFormula>C4/1000*24</calculatedColumnFormula>
    </tableColumn>
    <tableColumn id="38" xr3:uid="{00000000-0010-0000-0700-000026000000}" name="Batch cycles" dataDxfId="293" totalsRowDxfId="292"/>
    <tableColumn id="40" xr3:uid="{00000000-0010-0000-0700-000028000000}" name="Cycle duration _x000a_(h)" dataDxfId="291" totalsRowDxfId="290"/>
    <tableColumn id="27" xr3:uid="{00000000-0010-0000-0700-00001B000000}" name="HRT _x000a_(h)" dataDxfId="289" totalsRowDxfId="288">
      <calculatedColumnFormula>IFERROR(Information!$R$40/(stableSSBR[[#This Row],[Flow 
(L h-1)]]*stableSSBR[[#This Row],[Batch cycles]]*stableSSBR[[#This Row],[Cycle duration 
(h)]]/1000)*24,0)</calculatedColumnFormula>
    </tableColumn>
    <tableColumn id="28" xr3:uid="{00000000-0010-0000-0700-00001C000000}" name="DO _x000a_(mg L-1)" totalsRowFunction="stdDev" dataDxfId="287" totalsRowDxfId="286"/>
    <tableColumn id="29" xr3:uid="{00000000-0010-0000-0700-00001D000000}" name="pHreactor" dataDxfId="285" totalsRowDxfId="284">
      <calculatedColumnFormula>stableSSBR[[#This Row],[pHeff]]</calculatedColumnFormula>
    </tableColumn>
    <tableColumn id="30" xr3:uid="{00000000-0010-0000-0700-00001E000000}" name="Temp. _x000a_(°C)" dataDxfId="283" totalsRowDxfId="282"/>
    <tableColumn id="44" xr3:uid="{00000000-0010-0000-0700-00002C000000}" name="MLSS _x000a_(mg L-1)" dataDxfId="281" totalsRowDxfId="280"/>
    <tableColumn id="43" xr3:uid="{00000000-0010-0000-0700-00002B000000}" name="MLVSS _x000a_(mg L-1)" dataDxfId="279" totalsRowDxfId="278"/>
    <tableColumn id="4" xr3:uid="{00000000-0010-0000-0700-000004000000}" name="COD _x000a_(mg L-1)"/>
    <tableColumn id="25" xr3:uid="{00000000-0010-0000-0700-000019000000}" name="sCOD_x000a_(mg L-1)" dataDxfId="277">
      <calculatedColumnFormula>stableSSBR[[#This Row],[COD 
(mg L-1)]]*Information!$AK$41</calculatedColumnFormula>
    </tableColumn>
    <tableColumn id="15" xr3:uid="{00000000-0010-0000-0700-00000F000000}" name="Alkalinity _x000a_(mg CaCO3 L-1) "/>
    <tableColumn id="5" xr3:uid="{00000000-0010-0000-0700-000005000000}" name="pHeff"/>
    <tableColumn id="6" xr3:uid="{00000000-0010-0000-0700-000006000000}" name="TSS _x000a_(mg L-1)"/>
    <tableColumn id="7" xr3:uid="{00000000-0010-0000-0700-000007000000}" name="VSS _x000a_(mg L-1)"/>
    <tableColumn id="14" xr3:uid="{00000000-0010-0000-0700-00000E000000}" name="P sol _x000a_(mg L-1)"/>
    <tableColumn id="12" xr3:uid="{00000000-0010-0000-0700-00000C000000}" name="TON _x000a_(mg L-1)"/>
    <tableColumn id="21" xr3:uid="{00000000-0010-0000-0700-000015000000}" name="NH4+ (mg L-1)" dataDxfId="276" totalsRowDxfId="275">
      <calculatedColumnFormula>stableSSBR[[#This Row],[NH4-N 
(mg L-1)]]*1.288</calculatedColumnFormula>
    </tableColumn>
    <tableColumn id="19" xr3:uid="{00000000-0010-0000-0700-000013000000}" name="NO3- (mg L-1)" dataDxfId="274" totalsRowDxfId="273">
      <calculatedColumnFormula>(stableSSBR[[#This Row],[NO3-N 
(mg L-1)]])*4.426</calculatedColumnFormula>
    </tableColumn>
    <tableColumn id="20" xr3:uid="{00000000-0010-0000-0700-000014000000}" name="NO2- (mg L-1)" dataDxfId="272" totalsRowDxfId="271">
      <calculatedColumnFormula>stableSSBR[[#This Row],[NO2-N 
(mg L-1)]]*3.284</calculatedColumnFormula>
    </tableColumn>
    <tableColumn id="11" xr3:uid="{00000000-0010-0000-0700-00000B000000}" name="NH4-N _x000a_(mg L-1)"/>
    <tableColumn id="10" xr3:uid="{00000000-0010-0000-0700-00000A000000}" name="NO2-N _x000a_(mg L-1)"/>
    <tableColumn id="9" xr3:uid="{00000000-0010-0000-0700-000009000000}" name="NO3-N _x000a_(mg L-1)" dataDxfId="270" totalsRowDxfId="269">
      <calculatedColumnFormula>IF(stableSSBR[[#This Row],[TON 
(mg L-1)]]-stableSSBR[[#This Row],[NO2-N 
(mg L-1)]]&lt;0,0.19,stableSSBR[[#This Row],[TON 
(mg L-1)]]-stableSSBR[[#This Row],[NO2-N 
(mg L-1)]])</calculatedColumnFormula>
    </tableColumn>
    <tableColumn id="13" xr3:uid="{00000000-0010-0000-0700-00000D000000}" name="TN _x000a_(mg L-1)" dataDxfId="268" totalsRowDxfId="267">
      <calculatedColumnFormula>SUM(stableSSBR[[#This Row],[NO3-N 
(mg L-1)]],stableSSBR[[#This Row],[NO2-N 
(mg L-1)]],stableSSBR[[#This Row],[NH4-N 
(mg L-1)]])</calculatedColumnFormula>
    </tableColumn>
    <tableColumn id="24" xr3:uid="{00000000-0010-0000-0700-000018000000}" name="NO3-N/ NH4-N" dataDxfId="266" totalsRowDxfId="265" dataCellStyle="Percent">
      <calculatedColumnFormula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calculatedColumnFormula>
    </tableColumn>
    <tableColumn id="37" xr3:uid="{00000000-0010-0000-0700-000025000000}" name="NO2-N/ NH4-N" dataDxfId="264" totalsRowDxfId="263" dataCellStyle="Percent">
      <calculatedColumnFormula>IF(IFERROR(stableSSBR[[#This Row],[NO2-N 
(mg L-1)]]/stableSSBR[[#This Row],[NH4-N 
(mg L-1)]],0)&lt;0,0,IFERROR(stableSSBR[[#This Row],[NO2-N 
(mg L-1)]]/stableSSBR[[#This Row],[NH4-N 
(mg L-1)]],0))</calculatedColumnFormula>
    </tableColumn>
    <tableColumn id="16" xr3:uid="{00000000-0010-0000-0700-000010000000}" name="NO2/NOx" dataDxfId="262" totalsRowDxfId="261" dataCellStyle="Percent">
      <calculatedColumnFormula>stableSSBR[[#This Row],[NO2-N 
(mg L-1)]]/(stableSSBR[[#This Row],[NO3-N 
(mg L-1)]]+stableSSBR[[#This Row],[NO2-N 
(mg L-1)]])</calculatedColumnFormula>
    </tableColumn>
    <tableColumn id="45" xr3:uid="{00000000-0010-0000-0700-00002D000000}" name="FNA _x000a_(mg L-1)" dataDxfId="260" totalsRowDxfId="259">
      <calculatedColumnFormula>46/14*stableSSBR[[#This Row],[NO2-N 
(mg L-1)]]/(EXP(-2300/(stableSSBR[[#This Row],[Temp. 
(°C)]]+273))*10^(stableSSBR[[#This Row],[pHreactor]]))</calculatedColumnFormula>
    </tableColumn>
    <tableColumn id="8" xr3:uid="{00000000-0010-0000-0700-000008000000}" name="FA _x000a_(mg L-1)" dataDxfId="258" totalsRowDxfId="257">
      <calculatedColumnFormula>17/14*(stableSSBR[NH4-N 
(mg L-1)]*10^stableSSBR[[#This Row],[pHreactor]])/(EXP((6344/(273+stableSSBR[[#This Row],[Temp. 
(°C)]])))+10^stableSSBR[pHreactor])</calculatedColumnFormula>
    </tableColumn>
    <tableColumn id="33" xr3:uid="{00000000-0010-0000-0700-000021000000}" name="ΔN   (mg L-1)" dataDxfId="256" totalsRowDxfId="255" dataCellStyle="Percent">
      <calculatedColumnFormula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calculatedColumnFormula>
    </tableColumn>
    <tableColumn id="31" xr3:uid="{00000000-0010-0000-0700-00001F000000}" name="ΔC   (mg L-1)" dataDxfId="254" totalsRowDxfId="253">
      <calculatedColumnFormula>IFERROR(IF(Influent[[#This Row],[COD (mg L-1)]]-stableSSBR[[#This Row],[COD 
(mg L-1)]]&lt;0,0,Influent[[#This Row],[COD (mg L-1)]]-stableSSBR[[#This Row],[COD 
(mg L-1)]]),0)</calculatedColumnFormula>
    </tableColumn>
    <tableColumn id="18" xr3:uid="{00000000-0010-0000-0700-000012000000}" name="OLR _x000a_(kg COD m-3 d-1)" dataDxfId="252" totalsRowDxfId="251">
      <calculatedColumnFormula>Influent[[#This Row],[COD (mg L-1)]]/stableSSBR[HRT 
(h)]*24/1000</calculatedColumnFormula>
    </tableColumn>
    <tableColumn id="3" xr3:uid="{00000000-0010-0000-0700-000003000000}" name="ORR _x000a_(kg COD m-3 d-1)" dataDxfId="250" totalsRowDxfId="249">
      <calculatedColumnFormula>IF(((stableSSBR[[#This Row],[ΔC   (mg L-1)]])/stableSSBR[[#This Row],[HRT 
(h)]]*24/1000) &lt;0,0, (stableSSBR[[#This Row],[ΔC   (mg L-1)]])/stableSSBR[HRT 
(h)]*24/1000)</calculatedColumnFormula>
    </tableColumn>
    <tableColumn id="42" xr3:uid="{00000000-0010-0000-0700-00002A000000}" name="ARR_x000a_(kg NH4-N m-3 d-1)" dataDxfId="248" totalsRowDxfId="247">
      <calculatedColumnFormula>IF(IFERROR((Influent[[#This Row],[NH4-N (mg L-1)]])*stableSSBR[ARE 
(%)]/stableSSBR[HRT 
(h)]*24/1000,0)&lt;0,0,IFERROR((Influent[[#This Row],[NH4-N (mg L-1)]])*stableSSBR[ARE 
(%)]/stableSSBR[HRT 
(h)]*24/1000,0))</calculatedColumnFormula>
    </tableColumn>
    <tableColumn id="46" xr3:uid="{00000000-0010-0000-0700-00002E000000}" name="NLR _x000a_(kg N m-3 d-1)" dataDxfId="246" totalsRowDxfId="245">
      <calculatedColumnFormula>Influent[[#This Row],[TN (mg L-1)]]/stableSSBR[[#This Row],[HRT 
(h)]]*24/1000</calculatedColumnFormula>
    </tableColumn>
    <tableColumn id="47" xr3:uid="{00000000-0010-0000-0700-00002F000000}" name="NRR _x000a_(kg N m-3 d-1)" dataDxfId="244" totalsRowDxfId="243">
      <calculatedColumnFormula>stableSSBR[[#This Row],[NLR 
(kg N m-3 d-1)]]*stableSSBR[[#This Row],[NRE 
(%)]]</calculatedColumnFormula>
    </tableColumn>
    <tableColumn id="22" xr3:uid="{00000000-0010-0000-0700-000016000000}" name="ARE _x000a_(%)" totalsRowFunction="average" dataDxfId="242" totalsRowDxfId="241" dataCellStyle="Percent">
      <calculatedColumnFormula>IFERROR(IF((Influent[[#This Row],[NH4-N (mg L-1)]]-stableSSBR[[#This Row],[NH4-N 
(mg L-1)]])/Influent[[#This Row],[NH4-N (mg L-1)]]&lt;0, 0,(Influent[[#This Row],[NH4-N (mg L-1)]]-stableSSBR[[#This Row],[NH4-N 
(mg L-1)]])/Influent[[#This Row],[NH4-N (mg L-1)]]), 0)</calculatedColumnFormula>
    </tableColumn>
    <tableColumn id="26" xr3:uid="{00000000-0010-0000-0700-00001A000000}" name="NRE _x000a_(%)" totalsRowFunction="average" dataDxfId="240" totalsRowDxfId="239" dataCellStyle="Percent">
      <calculatedColumnFormula>IF(IFERROR((Influent[[#This Row],[TN (mg L-1)]]-stableSSBR[[#This Row],[TN 
(mg L-1)]])/Influent[[#This Row],[TN (mg L-1)]],0)&lt;0,0,IFERROR((Influent[[#This Row],[TN (mg L-1)]]-stableSSBR[[#This Row],[TN 
(mg L-1)]])/Influent[[#This Row],[TN (mg L-1)]],0))</calculatedColumnFormula>
    </tableColumn>
    <tableColumn id="39" xr3:uid="{00000000-0010-0000-0700-000027000000}" name="SAA _x000a_(g N g VSS-1 d-1)" dataDxfId="238" totalsRowDxfId="237"/>
    <tableColumn id="41" xr3:uid="{F5986271-6C92-48C4-BE9A-47F7D56AD133}" name="MSAA (%)" dataDxfId="236" totalsRowDxfId="235">
      <calculatedColumnFormula>stableSSBR[[#This Row],[SAA 
(g N g VSS-1 d-1)]]/MAX(stableSSBR[SAA 
(g N g VSS-1 d-1)])</calculatedColumnFormula>
    </tableColumn>
    <tableColumn id="34" xr3:uid="{36F42819-E914-4ED8-ADAB-B3D193A21758}" name="Ammonia residual to reach target" dataDxfId="234" totalsRowDxfId="233">
      <calculatedColumnFormula>stableSSBR[[#This Row],[NH4-N 
(mg L-1)]]-20</calculatedColumnFormula>
    </tableColumn>
    <tableColumn id="35" xr3:uid="{28CB4BE5-A848-4569-B847-694E73DC0A3C}" name="Alkalinity need" dataDxfId="232" totalsRowDxfId="231">
      <calculatedColumnFormula>stableSSBR[[#This Row],[Ammonia residual to reach target]]*2.19</calculatedColumnFormula>
    </tableColumn>
    <tableColumn id="36" xr3:uid="{C4E3AE0A-E9B6-41A2-A73C-C6F6A44D6399}" name="Alkalinity left" dataDxfId="230" totalsRowDxfId="229">
      <calculatedColumnFormula>stableSSBR[[#This Row],[Alkalinity 
(mg CaCO3 L-1) ]]-stableSSBR[[#This Row],[Alkalinity need]]-70</calculatedColumnFormula>
    </tableColumn>
    <tableColumn id="17" xr3:uid="{00000000-0010-0000-0700-000011000000}" name="Comment" totalsRowFunction="count"/>
  </tableColumns>
  <tableStyleInfo name="TableStyleLight18"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A59" dT="2020-01-27T13:51:36.85" personId="{41463EF3-B285-4895-989F-125C9458EB83}" id="{F6E61D12-F9CA-43FF-BF85-79E0B97B1E18}">
    <text>What was here?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table" Target="../tables/table15.xml"/><Relationship Id="rId7" Type="http://schemas.openxmlformats.org/officeDocument/2006/relationships/table" Target="../tables/table19.xml"/><Relationship Id="rId12" Type="http://schemas.openxmlformats.org/officeDocument/2006/relationships/table" Target="../tables/table24.xml"/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Relationship Id="rId6" Type="http://schemas.openxmlformats.org/officeDocument/2006/relationships/table" Target="../tables/table18.xml"/><Relationship Id="rId11" Type="http://schemas.openxmlformats.org/officeDocument/2006/relationships/table" Target="../tables/table23.xml"/><Relationship Id="rId5" Type="http://schemas.openxmlformats.org/officeDocument/2006/relationships/table" Target="../tables/table17.xml"/><Relationship Id="rId10" Type="http://schemas.openxmlformats.org/officeDocument/2006/relationships/table" Target="../tables/table22.xml"/><Relationship Id="rId4" Type="http://schemas.openxmlformats.org/officeDocument/2006/relationships/table" Target="../tables/table16.xml"/><Relationship Id="rId9" Type="http://schemas.openxmlformats.org/officeDocument/2006/relationships/table" Target="../tables/table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AO99"/>
  <sheetViews>
    <sheetView topLeftCell="A34" zoomScale="70" zoomScaleNormal="70" workbookViewId="0">
      <selection activeCell="R61" sqref="R61"/>
    </sheetView>
  </sheetViews>
  <sheetFormatPr defaultRowHeight="14.4" x14ac:dyDescent="0.3"/>
  <cols>
    <col min="2" max="3" width="10.109375" customWidth="1"/>
    <col min="4" max="4" width="7.5546875" bestFit="1" customWidth="1"/>
    <col min="5" max="5" width="16.109375" bestFit="1" customWidth="1"/>
    <col min="6" max="6" width="16" customWidth="1"/>
    <col min="7" max="7" width="12" customWidth="1"/>
    <col min="9" max="9" width="18.88671875" bestFit="1" customWidth="1"/>
    <col min="10" max="10" width="6.109375" customWidth="1"/>
    <col min="11" max="11" width="6.88671875" customWidth="1"/>
    <col min="12" max="12" width="2" bestFit="1" customWidth="1"/>
    <col min="13" max="13" width="5.6640625" bestFit="1" customWidth="1"/>
    <col min="14" max="14" width="4" customWidth="1"/>
    <col min="15" max="15" width="2" bestFit="1" customWidth="1"/>
    <col min="16" max="16" width="6" bestFit="1" customWidth="1"/>
    <col min="17" max="17" width="7" customWidth="1"/>
    <col min="18" max="18" width="8.88671875" bestFit="1" customWidth="1"/>
    <col min="19" max="19" width="7.5546875" bestFit="1" customWidth="1"/>
    <col min="20" max="20" width="3.33203125" bestFit="1" customWidth="1"/>
    <col min="21" max="21" width="2" style="29" bestFit="1" customWidth="1"/>
    <col min="22" max="22" width="5.6640625" style="29" bestFit="1" customWidth="1"/>
    <col min="23" max="23" width="5.5546875" style="29" customWidth="1"/>
    <col min="24" max="24" width="3" bestFit="1" customWidth="1"/>
    <col min="25" max="25" width="5.6640625" bestFit="1" customWidth="1"/>
    <col min="26" max="26" width="5.5546875" customWidth="1"/>
    <col min="27" max="27" width="2" bestFit="1" customWidth="1"/>
    <col min="28" max="28" width="6" customWidth="1"/>
    <col min="29" max="29" width="5.5546875" bestFit="1" customWidth="1"/>
    <col min="30" max="30" width="2" bestFit="1" customWidth="1"/>
    <col min="31" max="31" width="5.6640625" bestFit="1" customWidth="1"/>
    <col min="32" max="32" width="4.6640625" bestFit="1" customWidth="1"/>
    <col min="33" max="33" width="2" bestFit="1" customWidth="1"/>
    <col min="34" max="34" width="6" bestFit="1" customWidth="1"/>
    <col min="35" max="35" width="14.109375" bestFit="1" customWidth="1"/>
    <col min="36" max="36" width="2" bestFit="1" customWidth="1"/>
    <col min="37" max="37" width="6.33203125" bestFit="1" customWidth="1"/>
    <col min="38" max="38" width="3.44140625" bestFit="1" customWidth="1"/>
    <col min="39" max="39" width="2" bestFit="1" customWidth="1"/>
    <col min="40" max="40" width="5.6640625" bestFit="1" customWidth="1"/>
    <col min="41" max="41" width="5.5546875" bestFit="1" customWidth="1"/>
  </cols>
  <sheetData>
    <row r="1" spans="1:41" ht="20.399999999999999" thickBot="1" x14ac:dyDescent="0.45">
      <c r="A1" s="1" t="s">
        <v>3</v>
      </c>
      <c r="B1" s="1"/>
      <c r="C1" s="1"/>
      <c r="D1" s="1"/>
      <c r="E1" s="1"/>
      <c r="F1" s="1"/>
    </row>
    <row r="2" spans="1:41" ht="15" thickTop="1" x14ac:dyDescent="0.3"/>
    <row r="4" spans="1:41" ht="29.25" customHeight="1" thickBot="1" x14ac:dyDescent="0.45">
      <c r="A4" s="18" t="s">
        <v>4</v>
      </c>
      <c r="B4" s="314" t="s">
        <v>245</v>
      </c>
      <c r="C4" s="314"/>
      <c r="D4" s="314"/>
      <c r="E4" s="314"/>
      <c r="F4" s="314"/>
      <c r="I4" s="301" t="s">
        <v>269</v>
      </c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3"/>
    </row>
    <row r="5" spans="1:41" ht="29.25" customHeight="1" thickTop="1" x14ac:dyDescent="0.3">
      <c r="A5" s="18" t="s">
        <v>5</v>
      </c>
      <c r="B5" s="314" t="s">
        <v>244</v>
      </c>
      <c r="C5" s="314"/>
      <c r="D5" s="314"/>
      <c r="E5" s="314"/>
      <c r="F5" s="314"/>
      <c r="I5" s="172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73"/>
    </row>
    <row r="6" spans="1:41" ht="29.25" customHeight="1" x14ac:dyDescent="0.3">
      <c r="A6" s="18" t="s">
        <v>6</v>
      </c>
      <c r="B6" s="314" t="s">
        <v>246</v>
      </c>
      <c r="C6" s="314"/>
      <c r="D6" s="314"/>
      <c r="E6" s="314"/>
      <c r="F6" s="314"/>
      <c r="I6" s="172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73"/>
    </row>
    <row r="7" spans="1:41" ht="29.25" customHeight="1" x14ac:dyDescent="0.3">
      <c r="A7" s="18" t="s">
        <v>7</v>
      </c>
      <c r="B7" s="314" t="s">
        <v>258</v>
      </c>
      <c r="C7" s="314"/>
      <c r="D7" s="314"/>
      <c r="E7" s="314"/>
      <c r="F7" s="314"/>
      <c r="I7" s="172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73"/>
    </row>
    <row r="8" spans="1:41" s="29" customFormat="1" ht="29.25" customHeight="1" x14ac:dyDescent="0.3">
      <c r="A8" s="18" t="s">
        <v>8</v>
      </c>
      <c r="B8" s="314" t="s">
        <v>259</v>
      </c>
      <c r="C8" s="314"/>
      <c r="D8" s="314"/>
      <c r="E8" s="314"/>
      <c r="F8" s="314"/>
      <c r="I8" s="172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73"/>
    </row>
    <row r="9" spans="1:41" ht="29.25" customHeight="1" x14ac:dyDescent="0.3">
      <c r="A9" s="143" t="s">
        <v>238</v>
      </c>
      <c r="B9" s="315" t="s">
        <v>260</v>
      </c>
      <c r="C9" s="315"/>
      <c r="D9" s="315"/>
      <c r="E9" s="315"/>
      <c r="F9" s="315"/>
      <c r="I9" s="174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75"/>
    </row>
    <row r="11" spans="1:41" x14ac:dyDescent="0.3">
      <c r="A11" s="325" t="s">
        <v>20</v>
      </c>
      <c r="B11" s="326"/>
      <c r="I11" s="304" t="s">
        <v>32</v>
      </c>
      <c r="J11" s="305"/>
    </row>
    <row r="12" spans="1:41" x14ac:dyDescent="0.3">
      <c r="A12" s="7"/>
      <c r="B12" s="8"/>
      <c r="C12" s="8"/>
      <c r="D12" s="8"/>
      <c r="E12" s="8"/>
      <c r="F12" s="8"/>
      <c r="G12" s="9"/>
      <c r="I12" s="7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9"/>
    </row>
    <row r="13" spans="1:41" x14ac:dyDescent="0.3">
      <c r="A13" s="10" t="s">
        <v>10</v>
      </c>
      <c r="B13" s="11"/>
      <c r="C13" s="12"/>
      <c r="D13" s="12"/>
      <c r="E13" s="12"/>
      <c r="F13" s="12"/>
      <c r="G13" s="13"/>
      <c r="I13" s="36" t="s">
        <v>33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3"/>
    </row>
    <row r="14" spans="1:41" x14ac:dyDescent="0.3">
      <c r="A14" s="10" t="s">
        <v>11</v>
      </c>
      <c r="B14" s="11"/>
      <c r="C14" s="12"/>
      <c r="D14" s="12"/>
      <c r="E14" s="12"/>
      <c r="F14" s="12"/>
      <c r="G14" s="13"/>
      <c r="I14" s="37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3"/>
    </row>
    <row r="15" spans="1:41" x14ac:dyDescent="0.3">
      <c r="A15" s="14"/>
      <c r="B15" s="11"/>
      <c r="C15" s="12"/>
      <c r="D15" s="12"/>
      <c r="E15" s="12"/>
      <c r="F15" s="12"/>
      <c r="G15" s="13"/>
      <c r="I15" s="36" t="s">
        <v>63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3"/>
    </row>
    <row r="16" spans="1:41" ht="15" customHeight="1" x14ac:dyDescent="0.3">
      <c r="A16" s="10" t="s">
        <v>12</v>
      </c>
      <c r="B16" s="11"/>
      <c r="C16" s="12"/>
      <c r="D16" s="12"/>
      <c r="E16" s="12"/>
      <c r="F16" s="12"/>
      <c r="G16" s="13"/>
      <c r="I16" s="37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3"/>
    </row>
    <row r="17" spans="1:41" x14ac:dyDescent="0.3">
      <c r="A17" s="10" t="s">
        <v>13</v>
      </c>
      <c r="B17" s="11"/>
      <c r="C17" s="12"/>
      <c r="D17" s="12"/>
      <c r="E17" s="12"/>
      <c r="F17" s="12"/>
      <c r="G17" s="13"/>
      <c r="I17" s="36" t="s">
        <v>34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3"/>
    </row>
    <row r="18" spans="1:41" ht="15" customHeight="1" x14ac:dyDescent="0.3">
      <c r="A18" s="14"/>
      <c r="B18" s="11"/>
      <c r="C18" s="12"/>
      <c r="D18" s="12"/>
      <c r="E18" s="12"/>
      <c r="F18" s="12"/>
      <c r="G18" s="13"/>
      <c r="I18" s="37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3"/>
    </row>
    <row r="19" spans="1:41" x14ac:dyDescent="0.3">
      <c r="A19" s="10" t="s">
        <v>14</v>
      </c>
      <c r="B19" s="11"/>
      <c r="C19" s="12"/>
      <c r="D19" s="12"/>
      <c r="E19" s="12"/>
      <c r="F19" s="12"/>
      <c r="G19" s="13"/>
      <c r="I19" s="38" t="s">
        <v>35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3"/>
    </row>
    <row r="20" spans="1:41" x14ac:dyDescent="0.3">
      <c r="A20" s="10" t="s">
        <v>15</v>
      </c>
      <c r="B20" s="11"/>
      <c r="C20" s="12"/>
      <c r="D20" s="12"/>
      <c r="E20" s="12"/>
      <c r="F20" s="12"/>
      <c r="G20" s="13"/>
      <c r="I20" s="15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7"/>
    </row>
    <row r="21" spans="1:41" ht="15" thickBot="1" x14ac:dyDescent="0.35">
      <c r="A21" s="10"/>
      <c r="B21" s="11"/>
      <c r="C21" s="12"/>
      <c r="D21" s="12"/>
      <c r="E21" s="12"/>
      <c r="F21" s="12"/>
      <c r="G21" s="13"/>
      <c r="I21" s="39" t="s">
        <v>39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7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3"/>
    </row>
    <row r="22" spans="1:41" ht="16.8" thickTop="1" x14ac:dyDescent="0.3">
      <c r="A22" s="10" t="s">
        <v>16</v>
      </c>
      <c r="B22" s="11"/>
      <c r="C22" s="12"/>
      <c r="D22" s="12"/>
      <c r="E22" s="12"/>
      <c r="F22" s="12"/>
      <c r="G22" s="13"/>
      <c r="I22" s="63" t="s">
        <v>33</v>
      </c>
      <c r="J22" s="55">
        <f>Y22*1</f>
        <v>1.1459999999999999</v>
      </c>
      <c r="K22" s="49" t="s">
        <v>55</v>
      </c>
      <c r="L22" s="49" t="s">
        <v>36</v>
      </c>
      <c r="M22" s="62">
        <f>1.5*Y22</f>
        <v>1.7189999999999999</v>
      </c>
      <c r="N22" s="49" t="s">
        <v>61</v>
      </c>
      <c r="O22" s="49" t="s">
        <v>36</v>
      </c>
      <c r="P22" s="49">
        <f>2*Y22</f>
        <v>2.2919999999999998</v>
      </c>
      <c r="Q22" s="49" t="s">
        <v>54</v>
      </c>
      <c r="R22" s="49"/>
      <c r="S22" s="49"/>
      <c r="T22" s="49"/>
      <c r="U22" s="49"/>
      <c r="V22" s="49"/>
      <c r="W22" s="49"/>
      <c r="X22" s="50" t="s">
        <v>38</v>
      </c>
      <c r="Y22" s="55">
        <f>V24</f>
        <v>1.1459999999999999</v>
      </c>
      <c r="Z22" s="49" t="s">
        <v>57</v>
      </c>
      <c r="AA22" s="49" t="s">
        <v>36</v>
      </c>
      <c r="AB22" s="49">
        <f>2*Y22</f>
        <v>2.2919999999999998</v>
      </c>
      <c r="AC22" s="49" t="s">
        <v>58</v>
      </c>
      <c r="AD22" s="49" t="s">
        <v>36</v>
      </c>
      <c r="AE22" s="49">
        <f>3*Y22</f>
        <v>3.4379999999999997</v>
      </c>
      <c r="AF22" s="49" t="s">
        <v>53</v>
      </c>
      <c r="AG22" s="49"/>
      <c r="AH22" s="49"/>
      <c r="AI22" s="49"/>
      <c r="AJ22" s="51"/>
      <c r="AK22" s="51"/>
      <c r="AL22" s="51"/>
      <c r="AM22" s="51"/>
      <c r="AN22" s="51"/>
      <c r="AO22" s="52"/>
    </row>
    <row r="23" spans="1:41" x14ac:dyDescent="0.3">
      <c r="A23" s="10" t="s">
        <v>17</v>
      </c>
      <c r="B23" s="11"/>
      <c r="C23" s="12"/>
      <c r="D23" s="12"/>
      <c r="E23" s="12"/>
      <c r="F23" s="12"/>
      <c r="G23" s="13"/>
      <c r="I23" s="32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53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51"/>
      <c r="AK23" s="51"/>
      <c r="AL23" s="51"/>
      <c r="AM23" s="51"/>
      <c r="AN23" s="51"/>
      <c r="AO23" s="52"/>
    </row>
    <row r="24" spans="1:41" ht="16.2" x14ac:dyDescent="0.3">
      <c r="A24" s="10"/>
      <c r="B24" s="11"/>
      <c r="C24" s="12"/>
      <c r="D24" s="12"/>
      <c r="E24" s="12"/>
      <c r="F24" s="12"/>
      <c r="G24" s="13"/>
      <c r="I24" s="32" t="s">
        <v>62</v>
      </c>
      <c r="J24" s="49">
        <v>1</v>
      </c>
      <c r="K24" s="49" t="s">
        <v>55</v>
      </c>
      <c r="L24" s="51"/>
      <c r="M24" s="51"/>
      <c r="N24" s="51"/>
      <c r="O24" s="49" t="s">
        <v>36</v>
      </c>
      <c r="P24" s="49">
        <v>7.0999999999999994E-2</v>
      </c>
      <c r="Q24" s="49" t="s">
        <v>54</v>
      </c>
      <c r="R24" s="54" t="s">
        <v>36</v>
      </c>
      <c r="S24" s="55">
        <v>5.7000000000000002E-2</v>
      </c>
      <c r="T24" s="49" t="s">
        <v>56</v>
      </c>
      <c r="U24" s="49" t="s">
        <v>36</v>
      </c>
      <c r="V24" s="55">
        <v>1.1459999999999999</v>
      </c>
      <c r="W24" s="49" t="s">
        <v>57</v>
      </c>
      <c r="X24" s="50" t="s">
        <v>38</v>
      </c>
      <c r="Y24" s="51"/>
      <c r="Z24" s="51"/>
      <c r="AA24" s="51"/>
      <c r="AB24" s="51"/>
      <c r="AC24" s="51"/>
      <c r="AD24" s="51"/>
      <c r="AE24" s="55">
        <v>2.0019999999999998</v>
      </c>
      <c r="AF24" s="49" t="s">
        <v>53</v>
      </c>
      <c r="AG24" s="49" t="s">
        <v>36</v>
      </c>
      <c r="AH24" s="49">
        <v>7.0999999999999994E-2</v>
      </c>
      <c r="AI24" s="49" t="s">
        <v>52</v>
      </c>
      <c r="AJ24" s="49" t="s">
        <v>36</v>
      </c>
      <c r="AK24" s="55">
        <v>0.98599999999999999</v>
      </c>
      <c r="AL24" s="49" t="s">
        <v>59</v>
      </c>
      <c r="AM24" s="49" t="s">
        <v>36</v>
      </c>
      <c r="AN24" s="55">
        <v>0.161</v>
      </c>
      <c r="AO24" s="56" t="s">
        <v>60</v>
      </c>
    </row>
    <row r="25" spans="1:41" x14ac:dyDescent="0.3">
      <c r="A25" s="10" t="s">
        <v>18</v>
      </c>
      <c r="B25" s="11"/>
      <c r="C25" s="12"/>
      <c r="D25" s="12"/>
      <c r="E25" s="12"/>
      <c r="F25" s="12"/>
      <c r="G25" s="13"/>
      <c r="I25" s="15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8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9"/>
      <c r="AK25" s="59"/>
      <c r="AL25" s="59"/>
      <c r="AM25" s="59"/>
      <c r="AN25" s="59"/>
      <c r="AO25" s="60"/>
    </row>
    <row r="26" spans="1:41" ht="16.2" x14ac:dyDescent="0.3">
      <c r="A26" s="10" t="s">
        <v>19</v>
      </c>
      <c r="B26" s="11"/>
      <c r="C26" s="12"/>
      <c r="D26" s="12"/>
      <c r="E26" s="12"/>
      <c r="F26" s="12"/>
      <c r="G26" s="13"/>
      <c r="I26" s="63" t="s">
        <v>35</v>
      </c>
      <c r="J26" s="55">
        <f>J24+J22</f>
        <v>2.1459999999999999</v>
      </c>
      <c r="K26" s="49" t="s">
        <v>55</v>
      </c>
      <c r="L26" s="49" t="s">
        <v>36</v>
      </c>
      <c r="M26" s="49">
        <f>M22</f>
        <v>1.7189999999999999</v>
      </c>
      <c r="N26" s="49" t="s">
        <v>61</v>
      </c>
      <c r="O26" s="49" t="s">
        <v>36</v>
      </c>
      <c r="P26" s="49">
        <f>P24+P22</f>
        <v>2.363</v>
      </c>
      <c r="Q26" s="49" t="s">
        <v>54</v>
      </c>
      <c r="R26" s="49" t="s">
        <v>36</v>
      </c>
      <c r="S26" s="55">
        <f>S24</f>
        <v>5.7000000000000002E-2</v>
      </c>
      <c r="T26" s="49" t="s">
        <v>56</v>
      </c>
      <c r="U26" s="61" t="s">
        <v>36</v>
      </c>
      <c r="V26" s="64">
        <f>V24</f>
        <v>1.1459999999999999</v>
      </c>
      <c r="W26" s="61" t="s">
        <v>37</v>
      </c>
      <c r="X26" s="176" t="str">
        <f>X24</f>
        <v>→</v>
      </c>
      <c r="Y26" s="64">
        <f>Y22</f>
        <v>1.1459999999999999</v>
      </c>
      <c r="Z26" s="61" t="s">
        <v>37</v>
      </c>
      <c r="AA26" s="49" t="s">
        <v>36</v>
      </c>
      <c r="AB26" s="49">
        <f>AB22</f>
        <v>2.2919999999999998</v>
      </c>
      <c r="AC26" s="49" t="s">
        <v>58</v>
      </c>
      <c r="AD26" s="49" t="s">
        <v>36</v>
      </c>
      <c r="AE26" s="55">
        <f>AE24+AE22</f>
        <v>5.4399999999999995</v>
      </c>
      <c r="AF26" s="49" t="s">
        <v>53</v>
      </c>
      <c r="AG26" s="49" t="s">
        <v>36</v>
      </c>
      <c r="AH26" s="49">
        <f>AH24</f>
        <v>7.0999999999999994E-2</v>
      </c>
      <c r="AI26" s="49" t="s">
        <v>52</v>
      </c>
      <c r="AJ26" s="49" t="s">
        <v>36</v>
      </c>
      <c r="AK26" s="65">
        <f>AK24</f>
        <v>0.98599999999999999</v>
      </c>
      <c r="AL26" s="49" t="s">
        <v>59</v>
      </c>
      <c r="AM26" s="49" t="s">
        <v>36</v>
      </c>
      <c r="AN26" s="65">
        <f>AN24</f>
        <v>0.161</v>
      </c>
      <c r="AO26" s="56" t="s">
        <v>60</v>
      </c>
    </row>
    <row r="27" spans="1:41" x14ac:dyDescent="0.3">
      <c r="A27" s="15"/>
      <c r="B27" s="16"/>
      <c r="C27" s="16"/>
      <c r="D27" s="16"/>
      <c r="E27" s="16"/>
      <c r="F27" s="16"/>
      <c r="G27" s="17"/>
      <c r="I27" s="15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5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7"/>
    </row>
    <row r="28" spans="1:41" s="29" customFormat="1" x14ac:dyDescent="0.3">
      <c r="A28" s="12"/>
      <c r="B28" s="12"/>
      <c r="C28" s="12"/>
      <c r="D28" s="12"/>
      <c r="E28" s="12"/>
      <c r="F28" s="12"/>
      <c r="G28" s="12"/>
      <c r="I28" s="250" t="s">
        <v>510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7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9"/>
    </row>
    <row r="29" spans="1:41" s="29" customFormat="1" ht="16.2" x14ac:dyDescent="0.3">
      <c r="A29" s="306" t="s">
        <v>64</v>
      </c>
      <c r="B29" s="307"/>
      <c r="C29" s="307"/>
      <c r="D29" s="307"/>
      <c r="E29" s="307"/>
      <c r="F29" s="307"/>
      <c r="G29" s="308"/>
      <c r="I29" s="63" t="s">
        <v>507</v>
      </c>
      <c r="J29" s="153">
        <v>1</v>
      </c>
      <c r="K29" s="49" t="s">
        <v>55</v>
      </c>
      <c r="L29" s="153"/>
      <c r="M29" s="153">
        <f>J29*1.5</f>
        <v>1.5</v>
      </c>
      <c r="N29" s="49" t="s">
        <v>61</v>
      </c>
      <c r="O29" s="153"/>
      <c r="P29" s="153"/>
      <c r="Q29" s="153"/>
      <c r="R29" s="153"/>
      <c r="S29" s="153"/>
      <c r="T29" s="153"/>
      <c r="U29" s="153"/>
      <c r="V29" s="153"/>
      <c r="W29" s="153"/>
      <c r="X29" s="50" t="s">
        <v>38</v>
      </c>
      <c r="Y29" s="153">
        <f>J29*1</f>
        <v>1</v>
      </c>
      <c r="Z29" s="49" t="s">
        <v>57</v>
      </c>
      <c r="AA29" s="153"/>
      <c r="AB29" s="153">
        <f>Y29*2</f>
        <v>2</v>
      </c>
      <c r="AC29" s="49" t="s">
        <v>56</v>
      </c>
      <c r="AD29" s="153"/>
      <c r="AE29" s="153">
        <f>Y29*1</f>
        <v>1</v>
      </c>
      <c r="AF29" s="49" t="s">
        <v>53</v>
      </c>
      <c r="AG29" s="12"/>
      <c r="AH29" s="12"/>
      <c r="AI29" s="12"/>
      <c r="AJ29" s="12"/>
      <c r="AK29" s="12"/>
      <c r="AL29" s="12"/>
      <c r="AM29" s="12"/>
      <c r="AN29" s="12"/>
      <c r="AO29" s="13"/>
    </row>
    <row r="30" spans="1:41" s="29" customFormat="1" ht="16.2" x14ac:dyDescent="0.3">
      <c r="A30" s="7"/>
      <c r="B30" s="8"/>
      <c r="C30" s="8"/>
      <c r="D30" s="8"/>
      <c r="E30" s="8"/>
      <c r="F30" s="8"/>
      <c r="G30" s="9"/>
      <c r="I30" s="251" t="s">
        <v>508</v>
      </c>
      <c r="J30" s="153">
        <f>Y29</f>
        <v>1</v>
      </c>
      <c r="K30" s="49" t="s">
        <v>57</v>
      </c>
      <c r="L30" s="153"/>
      <c r="M30" s="153">
        <f>J30/2</f>
        <v>0.5</v>
      </c>
      <c r="N30" s="49" t="s">
        <v>61</v>
      </c>
      <c r="O30" s="153"/>
      <c r="P30" s="153"/>
      <c r="Q30" s="153"/>
      <c r="R30" s="153"/>
      <c r="S30" s="153"/>
      <c r="T30" s="153"/>
      <c r="U30" s="153"/>
      <c r="V30" s="153"/>
      <c r="W30" s="153"/>
      <c r="X30" s="50" t="s">
        <v>38</v>
      </c>
      <c r="Y30" s="153">
        <f>J30*1</f>
        <v>1</v>
      </c>
      <c r="Z30" s="49" t="s">
        <v>60</v>
      </c>
      <c r="AA30" s="153"/>
      <c r="AB30" s="153"/>
      <c r="AC30" s="153"/>
      <c r="AD30" s="153"/>
      <c r="AE30" s="153"/>
      <c r="AF30" s="153"/>
      <c r="AG30" s="12"/>
      <c r="AH30" s="12"/>
      <c r="AI30" s="12"/>
      <c r="AJ30" s="12"/>
      <c r="AK30" s="12"/>
      <c r="AL30" s="12"/>
      <c r="AM30" s="12"/>
      <c r="AN30" s="12"/>
      <c r="AO30" s="13"/>
    </row>
    <row r="31" spans="1:41" s="29" customFormat="1" ht="16.2" x14ac:dyDescent="0.35">
      <c r="A31" s="32">
        <v>1</v>
      </c>
      <c r="B31" s="49" t="s">
        <v>55</v>
      </c>
      <c r="C31" s="153" t="s">
        <v>65</v>
      </c>
      <c r="E31" s="66">
        <v>1.28786</v>
      </c>
      <c r="F31" s="12" t="s">
        <v>66</v>
      </c>
      <c r="G31" s="13"/>
      <c r="I31" s="252" t="s">
        <v>509</v>
      </c>
      <c r="J31" s="253">
        <f>J29</f>
        <v>1</v>
      </c>
      <c r="K31" s="57" t="s">
        <v>55</v>
      </c>
      <c r="L31" s="253"/>
      <c r="M31" s="253">
        <f>M29+M30</f>
        <v>2</v>
      </c>
      <c r="N31" s="57" t="s">
        <v>61</v>
      </c>
      <c r="O31" s="253"/>
      <c r="P31" s="253"/>
      <c r="Q31" s="253"/>
      <c r="R31" s="253"/>
      <c r="S31" s="253"/>
      <c r="T31" s="253"/>
      <c r="U31" s="253"/>
      <c r="V31" s="253"/>
      <c r="W31" s="253"/>
      <c r="X31" s="254" t="s">
        <v>38</v>
      </c>
      <c r="Y31" s="253">
        <f>Y30</f>
        <v>1</v>
      </c>
      <c r="Z31" s="57" t="s">
        <v>60</v>
      </c>
      <c r="AA31" s="253"/>
      <c r="AB31" s="253">
        <f>AB29</f>
        <v>2</v>
      </c>
      <c r="AC31" s="57" t="s">
        <v>56</v>
      </c>
      <c r="AD31" s="253"/>
      <c r="AE31" s="253">
        <f>AE29</f>
        <v>1</v>
      </c>
      <c r="AF31" s="57" t="s">
        <v>53</v>
      </c>
      <c r="AG31" s="16"/>
      <c r="AH31" s="16"/>
      <c r="AI31" s="16"/>
      <c r="AJ31" s="16"/>
      <c r="AK31" s="16"/>
      <c r="AL31" s="16"/>
      <c r="AM31" s="16"/>
      <c r="AN31" s="16"/>
      <c r="AO31" s="17"/>
    </row>
    <row r="32" spans="1:41" s="29" customFormat="1" ht="16.2" x14ac:dyDescent="0.35">
      <c r="A32" s="32">
        <v>1</v>
      </c>
      <c r="B32" s="49" t="s">
        <v>57</v>
      </c>
      <c r="C32" s="153" t="s">
        <v>65</v>
      </c>
      <c r="E32" s="66">
        <v>3.28443</v>
      </c>
      <c r="F32" s="12" t="s">
        <v>67</v>
      </c>
      <c r="G32" s="13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</row>
    <row r="33" spans="1:41" ht="16.2" x14ac:dyDescent="0.35">
      <c r="A33" s="32">
        <v>1</v>
      </c>
      <c r="B33" s="49" t="s">
        <v>60</v>
      </c>
      <c r="C33" s="153" t="s">
        <v>65</v>
      </c>
      <c r="D33" s="29"/>
      <c r="E33" s="66">
        <v>4.4266399999999999</v>
      </c>
      <c r="F33" s="12" t="s">
        <v>68</v>
      </c>
      <c r="G33" s="13"/>
      <c r="I33" s="309" t="s">
        <v>28</v>
      </c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  <c r="AE33" s="310"/>
      <c r="AF33" s="311"/>
      <c r="AG33" s="29"/>
      <c r="AH33" s="29"/>
      <c r="AI33" s="29"/>
      <c r="AJ33" s="29"/>
      <c r="AK33" s="29"/>
      <c r="AL33" s="29"/>
      <c r="AM33" s="29"/>
      <c r="AN33" s="29"/>
      <c r="AO33" s="29"/>
    </row>
    <row r="34" spans="1:41" x14ac:dyDescent="0.3">
      <c r="A34" s="15"/>
      <c r="B34" s="16"/>
      <c r="C34" s="16"/>
      <c r="D34" s="16"/>
      <c r="E34" s="16"/>
      <c r="F34" s="16"/>
      <c r="G34" s="17"/>
      <c r="I34" s="316" t="s">
        <v>69</v>
      </c>
      <c r="J34" s="317"/>
      <c r="K34" s="317"/>
      <c r="L34" s="317"/>
      <c r="M34" s="317"/>
      <c r="N34" s="317"/>
      <c r="O34" s="317"/>
      <c r="P34" s="317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7"/>
      <c r="AD34" s="317"/>
      <c r="AE34" s="317"/>
      <c r="AF34" s="318"/>
    </row>
    <row r="35" spans="1:41" ht="14.4" customHeight="1" x14ac:dyDescent="0.3">
      <c r="I35" s="327" t="s">
        <v>70</v>
      </c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9"/>
    </row>
    <row r="36" spans="1:41" ht="14.4" customHeight="1" x14ac:dyDescent="0.3">
      <c r="I36" s="330" t="s">
        <v>71</v>
      </c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  <c r="AB36" s="331"/>
      <c r="AC36" s="331"/>
      <c r="AD36" s="331"/>
      <c r="AE36" s="331"/>
      <c r="AF36" s="332"/>
    </row>
    <row r="38" spans="1:41" ht="49.5" customHeight="1" thickBot="1" x14ac:dyDescent="0.35">
      <c r="A38" s="312" t="s">
        <v>72</v>
      </c>
      <c r="B38" s="313"/>
      <c r="C38" s="313"/>
      <c r="D38" s="69" t="s">
        <v>73</v>
      </c>
      <c r="E38" s="70" t="s">
        <v>106</v>
      </c>
      <c r="F38" s="71" t="s">
        <v>107</v>
      </c>
      <c r="I38" s="319" t="s">
        <v>262</v>
      </c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1"/>
      <c r="AF38" s="29"/>
      <c r="AG38" s="322" t="s">
        <v>318</v>
      </c>
      <c r="AH38" s="323"/>
      <c r="AI38" s="323"/>
      <c r="AJ38" s="323"/>
      <c r="AK38" s="323"/>
      <c r="AL38" s="323"/>
      <c r="AM38" s="323"/>
      <c r="AN38" s="323"/>
      <c r="AO38" s="324"/>
    </row>
    <row r="39" spans="1:41" ht="15.6" thickTop="1" thickBot="1" x14ac:dyDescent="0.35">
      <c r="A39" s="293" t="s">
        <v>75</v>
      </c>
      <c r="B39" s="293"/>
      <c r="C39" s="293"/>
      <c r="D39" s="68" t="s">
        <v>74</v>
      </c>
      <c r="E39" s="68">
        <v>27</v>
      </c>
      <c r="F39" s="67">
        <v>27</v>
      </c>
      <c r="I39" s="201" t="s">
        <v>46</v>
      </c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3"/>
      <c r="AF39" s="29"/>
      <c r="AG39" s="32"/>
      <c r="AH39" s="256" t="s">
        <v>319</v>
      </c>
      <c r="AI39" s="12"/>
      <c r="AJ39" s="12"/>
      <c r="AK39" s="12"/>
      <c r="AL39" s="12"/>
      <c r="AM39" s="12"/>
      <c r="AN39" s="12"/>
      <c r="AO39" s="13"/>
    </row>
    <row r="40" spans="1:41" x14ac:dyDescent="0.3">
      <c r="A40" s="293" t="s">
        <v>76</v>
      </c>
      <c r="B40" s="293"/>
      <c r="C40" s="293"/>
      <c r="D40" s="68" t="s">
        <v>89</v>
      </c>
      <c r="E40" s="68">
        <v>40</v>
      </c>
      <c r="F40" s="67">
        <v>40</v>
      </c>
      <c r="I40" s="32" t="s">
        <v>252</v>
      </c>
      <c r="J40" s="12">
        <v>6</v>
      </c>
      <c r="K40" s="12"/>
      <c r="L40" s="12" t="s">
        <v>233</v>
      </c>
      <c r="M40" s="12"/>
      <c r="N40" s="12"/>
      <c r="O40" s="157"/>
      <c r="P40" s="12" t="s">
        <v>247</v>
      </c>
      <c r="Q40" s="12"/>
      <c r="R40" s="12">
        <v>8</v>
      </c>
      <c r="S40" s="12" t="s">
        <v>9</v>
      </c>
      <c r="T40" s="12"/>
      <c r="U40" s="73"/>
      <c r="V40" s="157"/>
      <c r="W40" s="12"/>
      <c r="X40" s="12" t="s">
        <v>254</v>
      </c>
      <c r="Y40" s="12"/>
      <c r="Z40" s="12"/>
      <c r="AA40" s="12">
        <v>5.3</v>
      </c>
      <c r="AB40" s="12" t="s">
        <v>232</v>
      </c>
      <c r="AC40" s="12"/>
      <c r="AD40" s="177"/>
      <c r="AF40" s="29"/>
      <c r="AG40" s="32"/>
      <c r="AH40" s="12" t="s">
        <v>322</v>
      </c>
      <c r="AI40" s="12"/>
      <c r="AJ40" s="12" t="s">
        <v>65</v>
      </c>
      <c r="AK40" s="204">
        <v>0.9</v>
      </c>
      <c r="AL40" s="12"/>
      <c r="AM40" s="12"/>
      <c r="AN40" s="12"/>
      <c r="AO40" s="13"/>
    </row>
    <row r="41" spans="1:41" x14ac:dyDescent="0.3">
      <c r="A41" s="293" t="s">
        <v>77</v>
      </c>
      <c r="B41" s="293"/>
      <c r="C41" s="293"/>
      <c r="D41" s="68" t="s">
        <v>89</v>
      </c>
      <c r="E41" s="68">
        <v>12</v>
      </c>
      <c r="F41" s="67">
        <v>12</v>
      </c>
      <c r="I41" s="32" t="s">
        <v>253</v>
      </c>
      <c r="J41" s="80">
        <f>J40*J42</f>
        <v>4.74</v>
      </c>
      <c r="K41" s="12"/>
      <c r="L41" s="12" t="s">
        <v>233</v>
      </c>
      <c r="M41" s="12"/>
      <c r="N41" s="12"/>
      <c r="O41" s="157"/>
      <c r="P41" s="12"/>
      <c r="Q41" s="12"/>
      <c r="R41" s="12"/>
      <c r="S41" s="12"/>
      <c r="T41" s="12"/>
      <c r="U41" s="73"/>
      <c r="V41" s="157"/>
      <c r="W41" s="12"/>
      <c r="X41" s="12" t="s">
        <v>265</v>
      </c>
      <c r="Y41" s="12"/>
      <c r="Z41" s="12"/>
      <c r="AA41" s="12">
        <v>4</v>
      </c>
      <c r="AB41" s="12" t="s">
        <v>232</v>
      </c>
      <c r="AC41" s="12"/>
      <c r="AD41" s="177"/>
      <c r="AF41" s="29"/>
      <c r="AG41" s="32"/>
      <c r="AH41" s="29" t="s">
        <v>323</v>
      </c>
      <c r="AI41" s="29"/>
      <c r="AJ41" s="29" t="s">
        <v>65</v>
      </c>
      <c r="AK41" s="29">
        <v>0.81</v>
      </c>
      <c r="AL41" s="29"/>
      <c r="AM41" s="12"/>
      <c r="AN41" s="12"/>
      <c r="AO41" s="13"/>
    </row>
    <row r="42" spans="1:41" x14ac:dyDescent="0.3">
      <c r="A42" s="293" t="s">
        <v>78</v>
      </c>
      <c r="B42" s="293"/>
      <c r="C42" s="293"/>
      <c r="D42" s="68" t="s">
        <v>90</v>
      </c>
      <c r="E42" s="68">
        <v>35.5</v>
      </c>
      <c r="F42" s="67">
        <v>35.5</v>
      </c>
      <c r="I42" s="32" t="s">
        <v>27</v>
      </c>
      <c r="J42" s="33">
        <v>0.79</v>
      </c>
      <c r="K42" s="12"/>
      <c r="L42" s="12"/>
      <c r="M42" s="12"/>
      <c r="N42" s="149" t="s">
        <v>250</v>
      </c>
      <c r="O42" s="157"/>
      <c r="P42" s="12"/>
      <c r="Q42" s="12"/>
      <c r="R42" s="12"/>
      <c r="S42" s="12"/>
      <c r="T42" s="12"/>
      <c r="U42" s="73"/>
      <c r="V42" s="157"/>
      <c r="W42" s="12"/>
      <c r="X42" s="12" t="s">
        <v>264</v>
      </c>
      <c r="Y42" s="12"/>
      <c r="Z42" s="12"/>
      <c r="AA42" s="135">
        <f>24/AA40</f>
        <v>4.5283018867924527</v>
      </c>
      <c r="AB42" s="12"/>
      <c r="AC42" s="12"/>
      <c r="AD42" s="177"/>
      <c r="AF42" s="29"/>
      <c r="AG42" s="32"/>
      <c r="AH42" s="29" t="s">
        <v>324</v>
      </c>
      <c r="AI42" s="29"/>
      <c r="AJ42" s="29" t="s">
        <v>65</v>
      </c>
      <c r="AK42" s="29">
        <v>0.71</v>
      </c>
      <c r="AL42" s="29"/>
      <c r="AM42" s="12"/>
      <c r="AN42" s="12"/>
      <c r="AO42" s="13"/>
    </row>
    <row r="43" spans="1:41" ht="15.6" x14ac:dyDescent="0.35">
      <c r="A43" s="293" t="s">
        <v>79</v>
      </c>
      <c r="B43" s="293"/>
      <c r="C43" s="293"/>
      <c r="D43" s="68" t="s">
        <v>91</v>
      </c>
      <c r="E43" s="68">
        <v>19</v>
      </c>
      <c r="F43" s="67">
        <v>19</v>
      </c>
      <c r="I43" s="32" t="s">
        <v>235</v>
      </c>
      <c r="J43" s="12">
        <v>6</v>
      </c>
      <c r="K43" s="12"/>
      <c r="L43" s="12" t="s">
        <v>236</v>
      </c>
      <c r="M43" s="12"/>
      <c r="N43" s="12"/>
      <c r="O43" s="157"/>
      <c r="P43" s="12" t="s">
        <v>268</v>
      </c>
      <c r="Q43" s="12"/>
      <c r="R43" s="135">
        <f>R40/(J43/24*AA42*AA41)*24</f>
        <v>42.4</v>
      </c>
      <c r="S43" s="12" t="s">
        <v>232</v>
      </c>
      <c r="T43" s="12"/>
      <c r="U43" s="73"/>
      <c r="V43" s="157"/>
      <c r="W43" s="12"/>
      <c r="X43" s="12"/>
      <c r="Y43" s="12"/>
      <c r="Z43" s="12"/>
      <c r="AA43" s="12"/>
      <c r="AB43" s="12"/>
      <c r="AC43" s="12"/>
      <c r="AD43" s="177"/>
      <c r="AF43" s="29"/>
      <c r="AG43" s="32"/>
      <c r="AH43" s="29" t="s">
        <v>325</v>
      </c>
      <c r="AJ43" s="29" t="s">
        <v>65</v>
      </c>
      <c r="AK43" s="6">
        <v>0.8</v>
      </c>
      <c r="AL43" s="29"/>
      <c r="AM43" s="12"/>
      <c r="AN43" s="12"/>
      <c r="AO43" s="13"/>
    </row>
    <row r="44" spans="1:41" ht="15.6" x14ac:dyDescent="0.35">
      <c r="A44" s="293" t="s">
        <v>80</v>
      </c>
      <c r="B44" s="293"/>
      <c r="C44" s="293"/>
      <c r="D44" s="68" t="s">
        <v>92</v>
      </c>
      <c r="E44" s="68">
        <v>1</v>
      </c>
      <c r="F44" s="67">
        <v>1</v>
      </c>
      <c r="I44" s="32" t="s">
        <v>44</v>
      </c>
      <c r="J44" s="12">
        <v>25</v>
      </c>
      <c r="K44" s="12"/>
      <c r="L44" s="12" t="s">
        <v>234</v>
      </c>
      <c r="M44" s="12"/>
      <c r="N44" s="12"/>
      <c r="O44" s="157"/>
      <c r="P44" s="12" t="s">
        <v>40</v>
      </c>
      <c r="Q44" s="12"/>
      <c r="R44" s="80">
        <f>J40/R40</f>
        <v>0.75</v>
      </c>
      <c r="S44" s="12" t="s">
        <v>263</v>
      </c>
      <c r="T44" s="12"/>
      <c r="U44" s="73"/>
      <c r="V44" s="157"/>
      <c r="W44" s="12" t="s">
        <v>330</v>
      </c>
      <c r="X44" s="12"/>
      <c r="Y44" s="12">
        <v>0.35</v>
      </c>
      <c r="Z44" s="12"/>
      <c r="AA44" s="12"/>
      <c r="AB44" s="12"/>
      <c r="AC44" s="12"/>
      <c r="AD44" s="177"/>
      <c r="AF44" s="29"/>
      <c r="AG44" s="32"/>
      <c r="AH44" t="s">
        <v>380</v>
      </c>
      <c r="AJ44" t="s">
        <v>65</v>
      </c>
      <c r="AK44">
        <v>0.27</v>
      </c>
      <c r="AM44" s="12"/>
      <c r="AN44" s="12"/>
      <c r="AO44" s="13"/>
    </row>
    <row r="45" spans="1:41" ht="15.6" x14ac:dyDescent="0.35">
      <c r="A45" s="293" t="s">
        <v>81</v>
      </c>
      <c r="B45" s="293"/>
      <c r="C45" s="293"/>
      <c r="D45" s="68" t="s">
        <v>93</v>
      </c>
      <c r="E45" s="68">
        <v>15.6</v>
      </c>
      <c r="F45" s="67">
        <v>15.6</v>
      </c>
      <c r="I45" s="15" t="s">
        <v>266</v>
      </c>
      <c r="J45" s="16">
        <f>R40/$J$43*24</f>
        <v>32</v>
      </c>
      <c r="K45" s="16"/>
      <c r="L45" s="16" t="s">
        <v>232</v>
      </c>
      <c r="M45" s="16"/>
      <c r="N45" s="16"/>
      <c r="O45" s="158"/>
      <c r="P45" s="16" t="s">
        <v>25</v>
      </c>
      <c r="Q45" s="16"/>
      <c r="R45" s="169">
        <f>R44*J42</f>
        <v>0.59250000000000003</v>
      </c>
      <c r="S45" s="16" t="s">
        <v>263</v>
      </c>
      <c r="T45" s="16"/>
      <c r="U45" s="167"/>
      <c r="V45" s="158"/>
      <c r="W45" s="16" t="s">
        <v>331</v>
      </c>
      <c r="X45" s="16"/>
      <c r="Y45" s="16">
        <v>7.2</v>
      </c>
      <c r="Z45" s="16"/>
      <c r="AA45" s="16"/>
      <c r="AB45" s="16"/>
      <c r="AC45" s="16"/>
      <c r="AD45" s="178"/>
      <c r="AF45" s="29"/>
      <c r="AG45" s="32"/>
      <c r="AH45" s="256" t="s">
        <v>320</v>
      </c>
      <c r="AI45" s="29"/>
      <c r="AJ45" s="12"/>
      <c r="AK45" s="12"/>
      <c r="AL45" s="12"/>
      <c r="AM45" s="12"/>
      <c r="AN45" s="12"/>
      <c r="AO45" s="13"/>
    </row>
    <row r="46" spans="1:41" ht="15" thickBot="1" x14ac:dyDescent="0.35">
      <c r="A46" s="293" t="s">
        <v>82</v>
      </c>
      <c r="B46" s="293"/>
      <c r="C46" s="293"/>
      <c r="D46" s="68" t="s">
        <v>94</v>
      </c>
      <c r="E46" s="68">
        <v>24</v>
      </c>
      <c r="F46" s="67">
        <v>24</v>
      </c>
      <c r="I46" s="198" t="s">
        <v>202</v>
      </c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200"/>
      <c r="AF46" s="29"/>
      <c r="AG46" s="32"/>
      <c r="AH46" s="73" t="s">
        <v>98</v>
      </c>
      <c r="AI46" s="12"/>
      <c r="AJ46" s="12" t="s">
        <v>65</v>
      </c>
      <c r="AK46" s="12">
        <v>1.6</v>
      </c>
      <c r="AL46" s="12" t="s">
        <v>321</v>
      </c>
      <c r="AM46" s="12"/>
      <c r="AN46" s="12"/>
      <c r="AO46" s="13" t="s">
        <v>520</v>
      </c>
    </row>
    <row r="47" spans="1:41" x14ac:dyDescent="0.3">
      <c r="A47" s="293" t="s">
        <v>83</v>
      </c>
      <c r="B47" s="293"/>
      <c r="C47" s="293"/>
      <c r="D47" s="68" t="s">
        <v>95</v>
      </c>
      <c r="E47" s="68">
        <v>55</v>
      </c>
      <c r="F47" s="67">
        <v>55</v>
      </c>
      <c r="I47" s="32" t="s">
        <v>252</v>
      </c>
      <c r="J47" s="80">
        <f>640*J50/1000</f>
        <v>1.536</v>
      </c>
      <c r="K47" s="12"/>
      <c r="L47" s="12" t="s">
        <v>233</v>
      </c>
      <c r="M47" s="12"/>
      <c r="N47" s="12"/>
      <c r="O47" s="157"/>
      <c r="P47" s="12" t="s">
        <v>247</v>
      </c>
      <c r="Q47" s="12"/>
      <c r="R47" s="12">
        <v>1.2</v>
      </c>
      <c r="S47" s="12" t="s">
        <v>9</v>
      </c>
      <c r="T47" s="12"/>
      <c r="U47" s="73"/>
      <c r="V47" s="157"/>
      <c r="W47" s="12"/>
      <c r="X47" s="12"/>
      <c r="Y47" s="12"/>
      <c r="Z47" s="12"/>
      <c r="AA47" s="12"/>
      <c r="AB47" s="12"/>
      <c r="AC47" s="12"/>
      <c r="AD47" s="177"/>
      <c r="AF47" s="29"/>
      <c r="AG47" s="32"/>
      <c r="AH47" s="255" t="s">
        <v>326</v>
      </c>
      <c r="AI47" s="29"/>
      <c r="AJ47" s="29"/>
      <c r="AK47" s="29"/>
      <c r="AL47" s="29"/>
      <c r="AM47" s="12"/>
      <c r="AN47" s="12"/>
      <c r="AO47" s="13"/>
    </row>
    <row r="48" spans="1:41" x14ac:dyDescent="0.3">
      <c r="A48" s="293" t="s">
        <v>84</v>
      </c>
      <c r="B48" s="293"/>
      <c r="C48" s="293"/>
      <c r="D48" s="68" t="s">
        <v>96</v>
      </c>
      <c r="E48" s="68">
        <v>14</v>
      </c>
      <c r="F48" s="67">
        <v>14</v>
      </c>
      <c r="I48" s="32" t="s">
        <v>253</v>
      </c>
      <c r="J48" s="80">
        <f>J47*J49</f>
        <v>1.1520000000000001</v>
      </c>
      <c r="K48" s="12"/>
      <c r="L48" s="12" t="s">
        <v>233</v>
      </c>
      <c r="M48" s="12"/>
      <c r="N48" s="12"/>
      <c r="O48" s="157"/>
      <c r="P48" s="12" t="s">
        <v>248</v>
      </c>
      <c r="Q48" s="12"/>
      <c r="R48" s="12">
        <v>800</v>
      </c>
      <c r="S48" s="12" t="s">
        <v>249</v>
      </c>
      <c r="T48" s="12"/>
      <c r="U48" s="73"/>
      <c r="V48" s="157"/>
      <c r="W48" s="12"/>
      <c r="X48" s="12"/>
      <c r="Y48" s="12"/>
      <c r="Z48" s="12"/>
      <c r="AA48" s="12"/>
      <c r="AB48" s="12"/>
      <c r="AC48" s="12"/>
      <c r="AD48" s="177"/>
      <c r="AF48" s="29"/>
      <c r="AG48" s="32"/>
      <c r="AH48" s="73" t="s">
        <v>327</v>
      </c>
      <c r="AI48" s="12"/>
      <c r="AJ48" s="12" t="s">
        <v>65</v>
      </c>
      <c r="AK48" s="207">
        <f>AN26/J26</f>
        <v>7.5023299161230197E-2</v>
      </c>
      <c r="AL48" s="12"/>
      <c r="AM48" s="12"/>
      <c r="AN48" s="12"/>
      <c r="AO48" s="13"/>
    </row>
    <row r="49" spans="1:41" x14ac:dyDescent="0.3">
      <c r="A49" s="293" t="s">
        <v>85</v>
      </c>
      <c r="B49" s="293"/>
      <c r="C49" s="293"/>
      <c r="D49" s="68" t="s">
        <v>97</v>
      </c>
      <c r="E49" s="68">
        <v>16</v>
      </c>
      <c r="F49" s="67">
        <v>16</v>
      </c>
      <c r="I49" s="32" t="s">
        <v>27</v>
      </c>
      <c r="J49" s="33">
        <v>0.75</v>
      </c>
      <c r="K49" s="12"/>
      <c r="L49" s="12"/>
      <c r="M49" s="12"/>
      <c r="N49" s="149" t="s">
        <v>250</v>
      </c>
      <c r="O49" s="157"/>
      <c r="P49" s="12" t="s">
        <v>251</v>
      </c>
      <c r="Q49" s="12"/>
      <c r="R49" s="33">
        <v>0.6</v>
      </c>
      <c r="S49" s="12"/>
      <c r="T49" s="12"/>
      <c r="U49" s="73"/>
      <c r="V49" s="157"/>
      <c r="W49" s="12"/>
      <c r="X49" s="12"/>
      <c r="Y49" s="12"/>
      <c r="Z49" s="12"/>
      <c r="AA49" s="12"/>
      <c r="AB49" s="12"/>
      <c r="AC49" s="12"/>
      <c r="AD49" s="177"/>
      <c r="AF49" s="29"/>
      <c r="AG49" s="32"/>
      <c r="AH49" s="208" t="s">
        <v>328</v>
      </c>
      <c r="AI49" s="12"/>
      <c r="AJ49" s="73" t="s">
        <v>65</v>
      </c>
      <c r="AK49" s="207">
        <f>V26/J26</f>
        <v>0.53401677539608572</v>
      </c>
      <c r="AL49" s="12"/>
      <c r="AM49" s="12"/>
      <c r="AN49" s="12"/>
      <c r="AO49" s="13"/>
    </row>
    <row r="50" spans="1:41" x14ac:dyDescent="0.3">
      <c r="A50" s="293" t="s">
        <v>86</v>
      </c>
      <c r="B50" s="293"/>
      <c r="C50" s="293"/>
      <c r="D50" s="68" t="s">
        <v>98</v>
      </c>
      <c r="E50" s="68">
        <v>31</v>
      </c>
      <c r="F50" s="67">
        <v>31</v>
      </c>
      <c r="I50" s="32" t="s">
        <v>235</v>
      </c>
      <c r="J50" s="12">
        <v>2.4</v>
      </c>
      <c r="K50" s="12"/>
      <c r="L50" s="12" t="s">
        <v>236</v>
      </c>
      <c r="M50" s="12"/>
      <c r="N50" s="12"/>
      <c r="O50" s="157"/>
      <c r="P50" s="12"/>
      <c r="Q50" s="12"/>
      <c r="R50" s="12"/>
      <c r="S50" s="12"/>
      <c r="T50" s="12"/>
      <c r="U50" s="73"/>
      <c r="V50" s="157"/>
      <c r="W50" s="12"/>
      <c r="X50" s="12"/>
      <c r="Y50" s="12"/>
      <c r="Z50" s="12"/>
      <c r="AA50" s="12"/>
      <c r="AB50" s="12"/>
      <c r="AC50" s="12"/>
      <c r="AD50" s="177"/>
      <c r="AF50" s="29"/>
      <c r="AG50" s="32"/>
      <c r="AH50" s="208" t="s">
        <v>329</v>
      </c>
      <c r="AI50" s="12"/>
      <c r="AJ50" s="73" t="s">
        <v>65</v>
      </c>
      <c r="AK50" s="33">
        <f>V26/(AN26+Y26)</f>
        <v>0.87681713848508036</v>
      </c>
      <c r="AL50" s="12"/>
      <c r="AM50" s="12"/>
      <c r="AN50" s="12"/>
      <c r="AO50" s="13"/>
    </row>
    <row r="51" spans="1:41" ht="15.6" x14ac:dyDescent="0.35">
      <c r="A51" s="293" t="s">
        <v>87</v>
      </c>
      <c r="B51" s="293"/>
      <c r="C51" s="293"/>
      <c r="D51" s="68" t="s">
        <v>99</v>
      </c>
      <c r="E51" s="68">
        <v>23</v>
      </c>
      <c r="F51" s="67">
        <v>23</v>
      </c>
      <c r="I51" s="32" t="s">
        <v>44</v>
      </c>
      <c r="J51" s="12">
        <v>30</v>
      </c>
      <c r="K51" s="12"/>
      <c r="L51" s="12" t="s">
        <v>234</v>
      </c>
      <c r="M51" s="12"/>
      <c r="N51" s="12"/>
      <c r="O51" s="157"/>
      <c r="P51" s="12" t="s">
        <v>40</v>
      </c>
      <c r="Q51" s="12"/>
      <c r="R51" s="80">
        <f>J47/R47</f>
        <v>1.28</v>
      </c>
      <c r="S51" s="12" t="s">
        <v>263</v>
      </c>
      <c r="T51" s="12"/>
      <c r="U51" s="73"/>
      <c r="V51" s="157"/>
      <c r="W51" s="12" t="s">
        <v>330</v>
      </c>
      <c r="X51" s="12"/>
      <c r="Y51" s="12">
        <v>0.8</v>
      </c>
      <c r="Z51" s="12"/>
      <c r="AA51" s="12"/>
      <c r="AB51" s="12"/>
      <c r="AC51" s="12"/>
      <c r="AD51" s="177"/>
      <c r="AF51" s="29"/>
      <c r="AG51" s="32"/>
      <c r="AH51" s="257" t="s">
        <v>511</v>
      </c>
      <c r="AM51" s="12"/>
      <c r="AN51" s="12"/>
      <c r="AO51" s="13"/>
    </row>
    <row r="52" spans="1:41" ht="15.6" x14ac:dyDescent="0.35">
      <c r="A52" s="293" t="s">
        <v>88</v>
      </c>
      <c r="B52" s="293"/>
      <c r="C52" s="293"/>
      <c r="D52" s="72" t="s">
        <v>100</v>
      </c>
      <c r="E52" s="68">
        <v>32</v>
      </c>
      <c r="F52" s="67">
        <v>32</v>
      </c>
      <c r="I52" s="15" t="s">
        <v>267</v>
      </c>
      <c r="J52" s="16">
        <f>R47/J50*24</f>
        <v>12</v>
      </c>
      <c r="K52" s="16"/>
      <c r="L52" s="16" t="s">
        <v>232</v>
      </c>
      <c r="M52" s="16"/>
      <c r="N52" s="16"/>
      <c r="O52" s="158"/>
      <c r="P52" s="16" t="s">
        <v>25</v>
      </c>
      <c r="Q52" s="16"/>
      <c r="R52" s="169">
        <f>R51*J49</f>
        <v>0.96</v>
      </c>
      <c r="S52" s="16" t="s">
        <v>263</v>
      </c>
      <c r="T52" s="16"/>
      <c r="U52" s="167"/>
      <c r="V52" s="158"/>
      <c r="W52" s="16" t="s">
        <v>331</v>
      </c>
      <c r="X52" s="16"/>
      <c r="Y52" s="16">
        <v>7.5</v>
      </c>
      <c r="Z52" s="16"/>
      <c r="AA52" s="16"/>
      <c r="AB52" s="16"/>
      <c r="AC52" s="16"/>
      <c r="AD52" s="178"/>
      <c r="AF52" s="29"/>
      <c r="AG52" s="32"/>
      <c r="AH52" t="s">
        <v>328</v>
      </c>
      <c r="AJ52" t="s">
        <v>65</v>
      </c>
      <c r="AK52">
        <f>J29/Y29</f>
        <v>1</v>
      </c>
      <c r="AM52" s="12"/>
      <c r="AN52" s="12"/>
      <c r="AO52" s="13"/>
    </row>
    <row r="53" spans="1:41" ht="16.8" thickBot="1" x14ac:dyDescent="0.35">
      <c r="A53" s="293" t="s">
        <v>101</v>
      </c>
      <c r="B53" s="293"/>
      <c r="C53" s="293"/>
      <c r="D53" s="72" t="s">
        <v>117</v>
      </c>
      <c r="E53" s="68">
        <v>27</v>
      </c>
      <c r="F53" s="67">
        <v>9</v>
      </c>
      <c r="I53" s="198" t="s">
        <v>48</v>
      </c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200"/>
      <c r="AF53" s="29"/>
      <c r="AG53" s="32"/>
      <c r="AH53" t="s">
        <v>327</v>
      </c>
      <c r="AJ53" t="s">
        <v>65</v>
      </c>
      <c r="AK53">
        <f>J31/Y31</f>
        <v>1</v>
      </c>
      <c r="AM53" s="12"/>
      <c r="AN53" s="12"/>
      <c r="AO53" s="13"/>
    </row>
    <row r="54" spans="1:41" ht="16.8" x14ac:dyDescent="0.35">
      <c r="A54" s="293" t="s">
        <v>102</v>
      </c>
      <c r="B54" s="293"/>
      <c r="C54" s="293"/>
      <c r="D54" s="34" t="s">
        <v>55</v>
      </c>
      <c r="E54" s="68">
        <v>18</v>
      </c>
      <c r="F54" s="67">
        <v>18</v>
      </c>
      <c r="I54" s="32" t="s">
        <v>252</v>
      </c>
      <c r="J54" s="12">
        <v>0.2</v>
      </c>
      <c r="K54" s="12"/>
      <c r="L54" s="12" t="s">
        <v>233</v>
      </c>
      <c r="M54" s="12"/>
      <c r="N54" s="12"/>
      <c r="O54" s="157"/>
      <c r="P54" s="12" t="s">
        <v>247</v>
      </c>
      <c r="Q54" s="12"/>
      <c r="R54" s="12">
        <v>0.2</v>
      </c>
      <c r="S54" s="12" t="s">
        <v>9</v>
      </c>
      <c r="T54" s="12"/>
      <c r="U54" s="73"/>
      <c r="V54" s="157"/>
      <c r="W54" s="12"/>
      <c r="X54" s="12"/>
      <c r="Y54" s="12"/>
      <c r="Z54" s="12"/>
      <c r="AA54" s="12"/>
      <c r="AB54" s="12"/>
      <c r="AC54" s="12"/>
      <c r="AD54" s="177"/>
      <c r="AF54" s="29"/>
      <c r="AG54" s="32"/>
      <c r="AM54" s="12"/>
      <c r="AN54" s="12"/>
      <c r="AO54" s="13"/>
    </row>
    <row r="55" spans="1:41" ht="16.8" x14ac:dyDescent="0.35">
      <c r="A55" s="293" t="s">
        <v>103</v>
      </c>
      <c r="B55" s="293"/>
      <c r="C55" s="293"/>
      <c r="D55" s="72" t="s">
        <v>54</v>
      </c>
      <c r="E55" s="68">
        <v>61</v>
      </c>
      <c r="F55" s="67">
        <v>61</v>
      </c>
      <c r="I55" s="32" t="s">
        <v>253</v>
      </c>
      <c r="J55" s="80">
        <f>J56*J54</f>
        <v>0.15000000000000002</v>
      </c>
      <c r="K55" s="12"/>
      <c r="L55" s="12" t="s">
        <v>233</v>
      </c>
      <c r="M55" s="12"/>
      <c r="N55" s="12"/>
      <c r="O55" s="157"/>
      <c r="P55" s="12"/>
      <c r="Q55" s="12"/>
      <c r="R55" s="12"/>
      <c r="S55" s="12"/>
      <c r="T55" s="12"/>
      <c r="U55" s="73"/>
      <c r="V55" s="157"/>
      <c r="W55" s="12"/>
      <c r="X55" s="12"/>
      <c r="Y55" s="12"/>
      <c r="Z55" s="12"/>
      <c r="AA55" s="12"/>
      <c r="AB55" s="12"/>
      <c r="AC55" s="12"/>
      <c r="AD55" s="177"/>
      <c r="AF55" s="29"/>
      <c r="AG55" s="32"/>
      <c r="AM55" s="12"/>
      <c r="AN55" s="12"/>
      <c r="AO55" s="13"/>
    </row>
    <row r="56" spans="1:41" ht="16.2" x14ac:dyDescent="0.3">
      <c r="A56" s="293" t="s">
        <v>104</v>
      </c>
      <c r="B56" s="293"/>
      <c r="C56" s="293"/>
      <c r="D56" s="72" t="s">
        <v>118</v>
      </c>
      <c r="E56" s="68">
        <v>40</v>
      </c>
      <c r="F56" s="67">
        <v>20</v>
      </c>
      <c r="I56" s="32" t="s">
        <v>27</v>
      </c>
      <c r="J56" s="33">
        <v>0.75</v>
      </c>
      <c r="K56" s="12"/>
      <c r="L56" s="12"/>
      <c r="M56" s="12"/>
      <c r="N56" s="149" t="s">
        <v>250</v>
      </c>
      <c r="O56" s="157"/>
      <c r="P56" s="12"/>
      <c r="Q56" s="12"/>
      <c r="R56" s="12"/>
      <c r="S56" s="12"/>
      <c r="T56" s="12"/>
      <c r="U56" s="73"/>
      <c r="V56" s="157"/>
      <c r="W56" s="12"/>
      <c r="X56" s="12"/>
      <c r="Y56" s="12"/>
      <c r="Z56" s="12"/>
      <c r="AA56" s="12"/>
      <c r="AB56" s="12"/>
      <c r="AC56" s="12"/>
      <c r="AD56" s="177"/>
      <c r="AF56" s="29"/>
      <c r="AG56" s="32"/>
      <c r="AM56" s="12"/>
      <c r="AN56" s="12"/>
      <c r="AO56" s="13"/>
    </row>
    <row r="57" spans="1:41" ht="16.2" x14ac:dyDescent="0.3">
      <c r="A57" s="293" t="s">
        <v>105</v>
      </c>
      <c r="B57" s="293"/>
      <c r="C57" s="293"/>
      <c r="D57" s="72" t="s">
        <v>119</v>
      </c>
      <c r="E57" s="68">
        <v>35.5</v>
      </c>
      <c r="F57" s="67">
        <v>35.5</v>
      </c>
      <c r="I57" s="32" t="s">
        <v>235</v>
      </c>
      <c r="J57" s="12">
        <f>0.2/J59*24</f>
        <v>0.2</v>
      </c>
      <c r="K57" s="12"/>
      <c r="L57" s="12" t="s">
        <v>236</v>
      </c>
      <c r="M57" s="12"/>
      <c r="N57" s="12"/>
      <c r="O57" s="157"/>
      <c r="P57" s="12"/>
      <c r="Q57" s="12"/>
      <c r="R57" s="12"/>
      <c r="S57" s="12"/>
      <c r="T57" s="12"/>
      <c r="U57" s="73"/>
      <c r="V57" s="157"/>
      <c r="W57" s="12"/>
      <c r="X57" s="12"/>
      <c r="Y57" s="12"/>
      <c r="Z57" s="12"/>
      <c r="AA57" s="12"/>
      <c r="AB57" s="12"/>
      <c r="AC57" s="12"/>
      <c r="AD57" s="177"/>
      <c r="AF57" s="29"/>
      <c r="AG57" s="32"/>
      <c r="AH57" s="12"/>
      <c r="AI57" s="12"/>
      <c r="AJ57" s="12"/>
      <c r="AK57" s="12"/>
      <c r="AL57" s="12"/>
      <c r="AM57" s="12"/>
      <c r="AN57" s="12"/>
      <c r="AO57" s="13"/>
    </row>
    <row r="58" spans="1:41" ht="16.8" x14ac:dyDescent="0.35">
      <c r="A58" s="293" t="s">
        <v>108</v>
      </c>
      <c r="B58" s="293"/>
      <c r="C58" s="293"/>
      <c r="D58" s="72" t="s">
        <v>120</v>
      </c>
      <c r="E58" s="68">
        <v>56</v>
      </c>
      <c r="F58" s="67">
        <v>18.7</v>
      </c>
      <c r="I58" s="32" t="s">
        <v>44</v>
      </c>
      <c r="J58" s="12">
        <v>28</v>
      </c>
      <c r="K58" s="12"/>
      <c r="L58" s="12" t="s">
        <v>234</v>
      </c>
      <c r="M58" s="12"/>
      <c r="N58" s="12"/>
      <c r="O58" s="157"/>
      <c r="P58" s="12" t="s">
        <v>40</v>
      </c>
      <c r="Q58" s="12"/>
      <c r="R58" s="12">
        <f>J54/R54</f>
        <v>1</v>
      </c>
      <c r="S58" s="12" t="s">
        <v>263</v>
      </c>
      <c r="T58" s="12"/>
      <c r="U58" s="73"/>
      <c r="V58" s="157"/>
      <c r="W58" s="12" t="s">
        <v>330</v>
      </c>
      <c r="X58" s="12"/>
      <c r="Y58" s="12">
        <v>1.2</v>
      </c>
      <c r="Z58" s="12"/>
      <c r="AA58" s="12"/>
      <c r="AB58" s="12"/>
      <c r="AC58" s="12"/>
      <c r="AD58" s="177"/>
      <c r="AF58" s="29"/>
      <c r="AG58" s="32"/>
      <c r="AH58" s="12"/>
      <c r="AI58" s="12"/>
      <c r="AJ58" s="12"/>
      <c r="AK58" s="12"/>
      <c r="AL58" s="12"/>
      <c r="AM58" s="12"/>
      <c r="AN58" s="12"/>
      <c r="AO58" s="13"/>
    </row>
    <row r="59" spans="1:41" ht="16.8" x14ac:dyDescent="0.35">
      <c r="A59" s="293" t="s">
        <v>109</v>
      </c>
      <c r="B59" s="293"/>
      <c r="C59" s="293"/>
      <c r="D59" s="72" t="s">
        <v>121</v>
      </c>
      <c r="E59" s="68">
        <v>56</v>
      </c>
      <c r="F59" s="67">
        <v>28</v>
      </c>
      <c r="I59" s="15" t="s">
        <v>266</v>
      </c>
      <c r="J59" s="16">
        <v>24</v>
      </c>
      <c r="K59" s="16"/>
      <c r="L59" s="16" t="s">
        <v>232</v>
      </c>
      <c r="M59" s="16"/>
      <c r="N59" s="16"/>
      <c r="O59" s="158"/>
      <c r="P59" s="16" t="s">
        <v>25</v>
      </c>
      <c r="Q59" s="16"/>
      <c r="R59" s="169">
        <f>R58*J56</f>
        <v>0.75</v>
      </c>
      <c r="S59" s="16" t="s">
        <v>263</v>
      </c>
      <c r="T59" s="16"/>
      <c r="U59" s="167"/>
      <c r="V59" s="158"/>
      <c r="W59" s="16" t="s">
        <v>331</v>
      </c>
      <c r="X59" s="16"/>
      <c r="Y59" s="16">
        <v>7.9</v>
      </c>
      <c r="Z59" s="16"/>
      <c r="AA59" s="16"/>
      <c r="AB59" s="16"/>
      <c r="AC59" s="16"/>
      <c r="AD59" s="178"/>
      <c r="AF59" s="29"/>
      <c r="AG59" s="32"/>
      <c r="AH59" s="12"/>
      <c r="AI59" s="12"/>
      <c r="AJ59" s="12"/>
      <c r="AK59" s="12"/>
      <c r="AL59" s="12"/>
      <c r="AM59" s="12"/>
      <c r="AN59" s="12"/>
      <c r="AO59" s="13"/>
    </row>
    <row r="60" spans="1:41" ht="16.8" thickBot="1" x14ac:dyDescent="0.35">
      <c r="A60" s="293" t="s">
        <v>110</v>
      </c>
      <c r="B60" s="293"/>
      <c r="C60" s="293"/>
      <c r="D60" s="72" t="s">
        <v>122</v>
      </c>
      <c r="E60" s="68">
        <v>19</v>
      </c>
      <c r="F60" s="67">
        <v>19</v>
      </c>
      <c r="I60" s="198" t="s">
        <v>231</v>
      </c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200"/>
      <c r="AF60" s="29"/>
      <c r="AG60" s="32"/>
      <c r="AH60" s="12"/>
      <c r="AI60" s="12"/>
      <c r="AJ60" s="12"/>
      <c r="AK60" s="12"/>
      <c r="AL60" s="12"/>
      <c r="AM60" s="12"/>
      <c r="AN60" s="12"/>
      <c r="AO60" s="13"/>
    </row>
    <row r="61" spans="1:41" ht="16.2" x14ac:dyDescent="0.3">
      <c r="A61" s="293" t="s">
        <v>80</v>
      </c>
      <c r="B61" s="293"/>
      <c r="C61" s="293"/>
      <c r="D61" s="72" t="s">
        <v>56</v>
      </c>
      <c r="E61" s="68">
        <v>1</v>
      </c>
      <c r="F61" s="67">
        <v>1</v>
      </c>
      <c r="I61" s="32" t="s">
        <v>252</v>
      </c>
      <c r="J61" s="12">
        <v>1677</v>
      </c>
      <c r="K61" s="12"/>
      <c r="L61" s="12" t="s">
        <v>233</v>
      </c>
      <c r="M61" s="12"/>
      <c r="N61" s="12"/>
      <c r="O61" s="157"/>
      <c r="P61" s="12" t="s">
        <v>247</v>
      </c>
      <c r="Q61" s="12"/>
      <c r="R61" s="12">
        <v>1478.52</v>
      </c>
      <c r="S61" s="12" t="s">
        <v>9</v>
      </c>
      <c r="T61" s="149" t="s">
        <v>36</v>
      </c>
      <c r="U61" s="73"/>
      <c r="V61" s="157"/>
      <c r="W61" s="12"/>
      <c r="X61" s="12" t="s">
        <v>254</v>
      </c>
      <c r="Y61" s="12"/>
      <c r="Z61" s="12"/>
      <c r="AA61" s="12">
        <v>6</v>
      </c>
      <c r="AB61" s="12" t="s">
        <v>232</v>
      </c>
      <c r="AC61" s="12"/>
      <c r="AD61" s="177"/>
      <c r="AF61" s="29"/>
      <c r="AG61" s="32"/>
      <c r="AH61" s="12"/>
      <c r="AI61" s="12"/>
      <c r="AJ61" s="12"/>
      <c r="AK61" s="12"/>
      <c r="AL61" s="12"/>
      <c r="AM61" s="12"/>
      <c r="AN61" s="12"/>
      <c r="AO61" s="13"/>
    </row>
    <row r="62" spans="1:41" x14ac:dyDescent="0.3">
      <c r="A62" s="293" t="s">
        <v>116</v>
      </c>
      <c r="B62" s="293"/>
      <c r="C62" s="293"/>
      <c r="D62" s="72" t="s">
        <v>115</v>
      </c>
      <c r="E62" s="68">
        <v>17</v>
      </c>
      <c r="F62" s="67">
        <v>17</v>
      </c>
      <c r="I62" s="32" t="s">
        <v>253</v>
      </c>
      <c r="J62" s="135">
        <f>J63*J61</f>
        <v>1475.76</v>
      </c>
      <c r="K62" s="12"/>
      <c r="L62" s="12" t="s">
        <v>233</v>
      </c>
      <c r="M62" s="12"/>
      <c r="N62" s="12"/>
      <c r="O62" s="157"/>
      <c r="P62" s="12"/>
      <c r="Q62" s="12"/>
      <c r="R62" s="12"/>
      <c r="S62" s="12"/>
      <c r="T62" s="12"/>
      <c r="U62" s="73"/>
      <c r="V62" s="157"/>
      <c r="W62" s="12"/>
      <c r="X62" s="12" t="s">
        <v>265</v>
      </c>
      <c r="Y62" s="12"/>
      <c r="Z62" s="12"/>
      <c r="AA62" s="12">
        <v>4</v>
      </c>
      <c r="AB62" s="12" t="s">
        <v>232</v>
      </c>
      <c r="AC62" s="12"/>
      <c r="AD62" s="177"/>
      <c r="AF62" s="29"/>
      <c r="AG62" s="32"/>
      <c r="AH62" s="12"/>
      <c r="AI62" s="12"/>
      <c r="AJ62" s="12"/>
      <c r="AK62" s="12"/>
      <c r="AL62" s="12"/>
      <c r="AM62" s="12"/>
      <c r="AN62" s="12"/>
      <c r="AO62" s="13"/>
    </row>
    <row r="63" spans="1:41" ht="16.2" x14ac:dyDescent="0.3">
      <c r="A63" s="293" t="s">
        <v>82</v>
      </c>
      <c r="B63" s="293"/>
      <c r="C63" s="293"/>
      <c r="D63" s="72" t="s">
        <v>123</v>
      </c>
      <c r="E63" s="68">
        <v>24</v>
      </c>
      <c r="F63" s="67">
        <v>12</v>
      </c>
      <c r="I63" s="32" t="s">
        <v>27</v>
      </c>
      <c r="J63" s="33">
        <v>0.88</v>
      </c>
      <c r="K63" s="12"/>
      <c r="L63" s="12"/>
      <c r="M63" s="12"/>
      <c r="N63" s="149"/>
      <c r="O63" s="157"/>
      <c r="P63" s="12"/>
      <c r="Q63" s="12"/>
      <c r="R63" s="12"/>
      <c r="S63" s="12"/>
      <c r="T63" s="12"/>
      <c r="U63" s="73"/>
      <c r="V63" s="157"/>
      <c r="W63" s="12"/>
      <c r="X63" s="12" t="s">
        <v>264</v>
      </c>
      <c r="Y63" s="12"/>
      <c r="Z63" s="12"/>
      <c r="AA63" s="12">
        <f>24/AA61</f>
        <v>4</v>
      </c>
      <c r="AB63" s="12"/>
      <c r="AC63" s="12"/>
      <c r="AD63" s="177"/>
      <c r="AF63" s="29"/>
      <c r="AG63" s="32"/>
      <c r="AH63" s="12"/>
      <c r="AI63" s="12"/>
      <c r="AJ63" s="12"/>
      <c r="AK63" s="12"/>
      <c r="AL63" s="12"/>
      <c r="AM63" s="12"/>
      <c r="AN63" s="12"/>
      <c r="AO63" s="13"/>
    </row>
    <row r="64" spans="1:41" ht="16.8" x14ac:dyDescent="0.35">
      <c r="A64" s="293" t="s">
        <v>111</v>
      </c>
      <c r="B64" s="293"/>
      <c r="C64" s="293"/>
      <c r="D64" s="34" t="s">
        <v>60</v>
      </c>
      <c r="E64" s="68">
        <v>62</v>
      </c>
      <c r="F64" s="67">
        <v>62</v>
      </c>
      <c r="I64" s="32" t="s">
        <v>235</v>
      </c>
      <c r="J64" s="12">
        <v>1968</v>
      </c>
      <c r="K64" s="12"/>
      <c r="L64" s="12" t="s">
        <v>236</v>
      </c>
      <c r="M64" s="12"/>
      <c r="N64" s="12"/>
      <c r="O64" s="157"/>
      <c r="P64" s="12" t="s">
        <v>268</v>
      </c>
      <c r="Q64" s="12"/>
      <c r="R64" s="135">
        <f>R61/(J64/24*AA62*AA63)*24</f>
        <v>27.04609756097561</v>
      </c>
      <c r="S64" s="12" t="s">
        <v>232</v>
      </c>
      <c r="T64" s="12"/>
      <c r="U64" s="73"/>
      <c r="V64" s="157"/>
      <c r="W64" s="12" t="s">
        <v>330</v>
      </c>
      <c r="X64" s="12"/>
      <c r="Y64" s="12">
        <v>3.5</v>
      </c>
      <c r="Z64" s="12"/>
      <c r="AA64" s="12"/>
      <c r="AB64" s="12"/>
      <c r="AC64" s="12"/>
      <c r="AD64" s="177"/>
      <c r="AF64" s="29"/>
      <c r="AG64" s="32"/>
      <c r="AH64" s="12"/>
      <c r="AI64" s="12"/>
      <c r="AJ64" s="12"/>
      <c r="AK64" s="12"/>
      <c r="AL64" s="12"/>
      <c r="AM64" s="12"/>
      <c r="AN64" s="12"/>
      <c r="AO64" s="13"/>
    </row>
    <row r="65" spans="1:41" ht="16.8" x14ac:dyDescent="0.35">
      <c r="A65" s="293" t="s">
        <v>112</v>
      </c>
      <c r="B65" s="293"/>
      <c r="C65" s="293"/>
      <c r="D65" s="34" t="s">
        <v>57</v>
      </c>
      <c r="E65" s="68">
        <v>46</v>
      </c>
      <c r="F65" s="67">
        <v>46</v>
      </c>
      <c r="I65" s="32" t="s">
        <v>44</v>
      </c>
      <c r="J65" s="12">
        <v>25</v>
      </c>
      <c r="K65" s="12"/>
      <c r="L65" s="12" t="s">
        <v>234</v>
      </c>
      <c r="M65" s="12"/>
      <c r="N65" s="12"/>
      <c r="O65" s="157"/>
      <c r="P65" s="12" t="s">
        <v>40</v>
      </c>
      <c r="Q65" s="12"/>
      <c r="R65" s="80">
        <f>J61/R61</f>
        <v>1.1342423504585666</v>
      </c>
      <c r="S65" s="12" t="s">
        <v>263</v>
      </c>
      <c r="T65" s="12"/>
      <c r="U65" s="73"/>
      <c r="V65" s="157"/>
      <c r="W65" s="12" t="s">
        <v>331</v>
      </c>
      <c r="X65" s="12"/>
      <c r="Y65" s="12">
        <v>7</v>
      </c>
      <c r="Z65" s="12"/>
      <c r="AA65" s="12"/>
      <c r="AB65" s="12"/>
      <c r="AC65" s="12"/>
      <c r="AD65" s="177"/>
      <c r="AF65" s="29"/>
      <c r="AG65" s="32"/>
      <c r="AH65" s="12"/>
      <c r="AI65" s="12"/>
      <c r="AJ65" s="12"/>
      <c r="AK65" s="12"/>
      <c r="AL65" s="12"/>
      <c r="AM65" s="12"/>
      <c r="AN65" s="12"/>
      <c r="AO65" s="13"/>
    </row>
    <row r="66" spans="1:41" ht="17.399999999999999" thickBot="1" x14ac:dyDescent="0.4">
      <c r="A66" s="293" t="s">
        <v>113</v>
      </c>
      <c r="B66" s="293"/>
      <c r="C66" s="293"/>
      <c r="D66" s="72" t="s">
        <v>124</v>
      </c>
      <c r="E66" s="68">
        <v>95</v>
      </c>
      <c r="F66" s="67">
        <v>31.7</v>
      </c>
      <c r="I66" s="155" t="s">
        <v>266</v>
      </c>
      <c r="J66" s="171">
        <f>R61/J64*24</f>
        <v>18.030731707317074</v>
      </c>
      <c r="K66" s="154"/>
      <c r="L66" s="154" t="s">
        <v>232</v>
      </c>
      <c r="M66" s="154"/>
      <c r="N66" s="154"/>
      <c r="O66" s="159"/>
      <c r="P66" s="154" t="s">
        <v>25</v>
      </c>
      <c r="Q66" s="154"/>
      <c r="R66" s="170">
        <f>R65*J63</f>
        <v>0.99813326840353855</v>
      </c>
      <c r="S66" s="154" t="s">
        <v>263</v>
      </c>
      <c r="T66" s="154"/>
      <c r="U66" s="168"/>
      <c r="V66" s="159"/>
      <c r="W66" s="154"/>
      <c r="X66" s="154" t="s">
        <v>255</v>
      </c>
      <c r="Y66" s="154"/>
      <c r="Z66" s="154"/>
      <c r="AA66" s="171">
        <v>6139</v>
      </c>
      <c r="AB66" s="154" t="s">
        <v>256</v>
      </c>
      <c r="AC66" s="154"/>
      <c r="AD66" s="179"/>
      <c r="AF66" s="29"/>
      <c r="AG66" s="32"/>
      <c r="AH66" s="12"/>
      <c r="AI66" s="12"/>
      <c r="AJ66" s="12"/>
      <c r="AK66" s="12"/>
      <c r="AL66" s="12"/>
      <c r="AM66" s="12"/>
      <c r="AN66" s="12"/>
      <c r="AO66" s="13"/>
    </row>
    <row r="67" spans="1:41" ht="16.8" thickTop="1" x14ac:dyDescent="0.3">
      <c r="A67" s="293" t="s">
        <v>87</v>
      </c>
      <c r="B67" s="293"/>
      <c r="C67" s="293"/>
      <c r="D67" s="72" t="s">
        <v>125</v>
      </c>
      <c r="E67" s="68">
        <v>23</v>
      </c>
      <c r="F67" s="67">
        <v>23</v>
      </c>
      <c r="I67" s="156" t="s">
        <v>250</v>
      </c>
      <c r="J67" s="148" t="s">
        <v>237</v>
      </c>
      <c r="K67" s="16"/>
      <c r="L67" s="16"/>
      <c r="M67" s="16"/>
      <c r="N67" s="16"/>
      <c r="O67" s="16"/>
      <c r="P67" s="16"/>
      <c r="Q67" s="16"/>
      <c r="R67" s="160" t="s">
        <v>36</v>
      </c>
      <c r="S67" s="148" t="s">
        <v>257</v>
      </c>
      <c r="T67" s="148"/>
      <c r="U67" s="148"/>
      <c r="V67" s="148"/>
      <c r="W67" s="16"/>
      <c r="X67" s="16"/>
      <c r="Y67" s="16"/>
      <c r="Z67" s="16"/>
      <c r="AA67" s="16"/>
      <c r="AB67" s="16"/>
      <c r="AC67" s="16"/>
      <c r="AD67" s="17"/>
      <c r="AF67" s="29"/>
      <c r="AG67" s="32"/>
      <c r="AH67" s="12"/>
      <c r="AI67" s="12"/>
      <c r="AJ67" s="12"/>
      <c r="AK67" s="12"/>
      <c r="AL67" s="12"/>
      <c r="AM67" s="12"/>
      <c r="AN67" s="12"/>
      <c r="AO67" s="13"/>
    </row>
    <row r="68" spans="1:41" ht="16.8" x14ac:dyDescent="0.35">
      <c r="A68" s="293" t="s">
        <v>114</v>
      </c>
      <c r="B68" s="293"/>
      <c r="C68" s="293"/>
      <c r="D68" s="72" t="s">
        <v>126</v>
      </c>
      <c r="E68" s="68">
        <v>96</v>
      </c>
      <c r="F68" s="67">
        <v>48</v>
      </c>
      <c r="AG68" s="15"/>
      <c r="AH68" s="259" t="s">
        <v>521</v>
      </c>
      <c r="AI68" s="259"/>
      <c r="AJ68" s="259"/>
      <c r="AK68" s="259"/>
      <c r="AL68" s="259"/>
      <c r="AM68" s="16"/>
      <c r="AN68" s="16"/>
      <c r="AO68" s="17"/>
    </row>
    <row r="70" spans="1:41" ht="18" thickBot="1" x14ac:dyDescent="0.4">
      <c r="A70" s="298" t="s">
        <v>270</v>
      </c>
      <c r="B70" s="299"/>
      <c r="C70" s="299"/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299"/>
      <c r="AB70" s="299"/>
      <c r="AC70" s="299"/>
      <c r="AD70" s="300"/>
    </row>
    <row r="71" spans="1:41" ht="15" thickTop="1" x14ac:dyDescent="0.3">
      <c r="A71" s="3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3"/>
    </row>
    <row r="72" spans="1:41" x14ac:dyDescent="0.3">
      <c r="A72" s="32" t="s">
        <v>216</v>
      </c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3"/>
    </row>
    <row r="73" spans="1:41" ht="15.6" x14ac:dyDescent="0.35">
      <c r="A73" s="32" t="s">
        <v>218</v>
      </c>
      <c r="C73" s="181" t="s">
        <v>512</v>
      </c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3"/>
    </row>
    <row r="74" spans="1:41" ht="15.6" x14ac:dyDescent="0.35">
      <c r="A74" s="32"/>
      <c r="C74" s="181" t="s">
        <v>513</v>
      </c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3"/>
    </row>
    <row r="75" spans="1:41" ht="15.6" x14ac:dyDescent="0.35">
      <c r="A75" s="32" t="s">
        <v>217</v>
      </c>
      <c r="C75" s="181" t="s">
        <v>514</v>
      </c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3"/>
    </row>
    <row r="76" spans="1:41" ht="15.6" x14ac:dyDescent="0.35">
      <c r="A76" s="32"/>
      <c r="C76" s="181" t="s">
        <v>515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3"/>
    </row>
    <row r="77" spans="1:41" ht="15.6" x14ac:dyDescent="0.35">
      <c r="A77" s="32" t="s">
        <v>219</v>
      </c>
      <c r="C77" s="181" t="s">
        <v>516</v>
      </c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3"/>
    </row>
    <row r="78" spans="1:41" ht="15.6" x14ac:dyDescent="0.35">
      <c r="A78" s="32"/>
      <c r="C78" s="181" t="s">
        <v>517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3"/>
    </row>
    <row r="79" spans="1:41" x14ac:dyDescent="0.3">
      <c r="A79" s="15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7"/>
    </row>
    <row r="81" spans="1:11" ht="18" thickBot="1" x14ac:dyDescent="0.4">
      <c r="A81" s="294" t="s">
        <v>332</v>
      </c>
      <c r="B81" s="294"/>
      <c r="C81" s="294"/>
      <c r="D81" s="294"/>
      <c r="E81" s="294"/>
      <c r="F81" s="294"/>
      <c r="G81" s="294"/>
      <c r="H81" s="294"/>
      <c r="I81" s="294"/>
      <c r="J81" s="294"/>
      <c r="K81" s="294"/>
    </row>
    <row r="82" spans="1:11" ht="15" thickTop="1" x14ac:dyDescent="0.3">
      <c r="A82" s="183"/>
      <c r="B82" s="295" t="s">
        <v>333</v>
      </c>
      <c r="C82" s="295"/>
      <c r="D82" s="295"/>
      <c r="E82" s="296" t="s">
        <v>334</v>
      </c>
      <c r="F82" s="296"/>
      <c r="G82" s="296"/>
      <c r="H82" s="297" t="s">
        <v>335</v>
      </c>
      <c r="I82" s="297"/>
      <c r="J82" s="297"/>
      <c r="K82" s="209" t="s">
        <v>336</v>
      </c>
    </row>
    <row r="83" spans="1:11" x14ac:dyDescent="0.3">
      <c r="A83" s="210" t="s">
        <v>337</v>
      </c>
      <c r="B83" s="183">
        <v>8</v>
      </c>
      <c r="C83" s="183">
        <v>20</v>
      </c>
      <c r="D83" s="210">
        <f t="shared" ref="D83:D88" si="0">IFERROR(AVERAGE(B83:C83),"na")</f>
        <v>14</v>
      </c>
      <c r="E83" s="183">
        <v>0.08</v>
      </c>
      <c r="F83" s="183">
        <v>0.82</v>
      </c>
      <c r="G83" s="210">
        <f t="shared" ref="G83:G88" si="1">IFERROR(AVERAGE(E83:F83),"na")</f>
        <v>0.44999999999999996</v>
      </c>
      <c r="H83" s="183">
        <v>20</v>
      </c>
      <c r="I83" s="183">
        <v>50</v>
      </c>
      <c r="J83" s="258">
        <f t="shared" ref="J83:J88" si="2">IFERROR(AVERAGE(H83:I83), "na")</f>
        <v>35</v>
      </c>
      <c r="K83" s="211" t="s">
        <v>338</v>
      </c>
    </row>
    <row r="84" spans="1:11" x14ac:dyDescent="0.3">
      <c r="A84" s="210" t="s">
        <v>339</v>
      </c>
      <c r="B84" s="183">
        <v>0.35</v>
      </c>
      <c r="C84" s="183">
        <v>2.8</v>
      </c>
      <c r="D84" s="210">
        <f t="shared" si="0"/>
        <v>1.575</v>
      </c>
      <c r="E84" s="183">
        <v>0.06</v>
      </c>
      <c r="F84" s="183">
        <v>0.83</v>
      </c>
      <c r="G84" s="210">
        <f t="shared" si="1"/>
        <v>0.44499999999999995</v>
      </c>
      <c r="H84" s="183">
        <f>11/1000</f>
        <v>1.0999999999999999E-2</v>
      </c>
      <c r="I84" s="183">
        <f>0.2</f>
        <v>0.2</v>
      </c>
      <c r="J84" s="258">
        <f t="shared" si="2"/>
        <v>0.10550000000000001</v>
      </c>
      <c r="K84" s="211" t="s">
        <v>338</v>
      </c>
    </row>
    <row r="85" spans="1:11" x14ac:dyDescent="0.3">
      <c r="A85" s="210" t="s">
        <v>518</v>
      </c>
      <c r="B85" s="183"/>
      <c r="C85" s="183"/>
      <c r="D85" s="210" t="str">
        <f t="shared" si="0"/>
        <v>na</v>
      </c>
      <c r="E85" s="183"/>
      <c r="F85" s="183"/>
      <c r="G85" s="210" t="str">
        <f t="shared" si="1"/>
        <v>na</v>
      </c>
      <c r="H85" s="183">
        <v>700</v>
      </c>
      <c r="I85" s="183">
        <v>1000</v>
      </c>
      <c r="J85" s="258">
        <f t="shared" si="2"/>
        <v>850</v>
      </c>
      <c r="K85" s="211" t="s">
        <v>338</v>
      </c>
    </row>
    <row r="86" spans="1:11" x14ac:dyDescent="0.3">
      <c r="A86" s="210" t="s">
        <v>98</v>
      </c>
      <c r="B86" s="183"/>
      <c r="C86" s="183"/>
      <c r="D86" s="210" t="str">
        <f t="shared" si="0"/>
        <v>na</v>
      </c>
      <c r="E86" s="183"/>
      <c r="F86" s="183"/>
      <c r="G86" s="210" t="str">
        <f t="shared" si="1"/>
        <v>na</v>
      </c>
      <c r="H86" s="183"/>
      <c r="I86" s="183"/>
      <c r="J86" s="258" t="str">
        <f t="shared" si="2"/>
        <v>na</v>
      </c>
      <c r="K86" s="211" t="s">
        <v>338</v>
      </c>
    </row>
    <row r="87" spans="1:11" x14ac:dyDescent="0.3">
      <c r="A87" s="210" t="s">
        <v>340</v>
      </c>
      <c r="B87" s="183"/>
      <c r="C87" s="183"/>
      <c r="D87" s="210" t="str">
        <f t="shared" si="0"/>
        <v>na</v>
      </c>
      <c r="E87" s="183"/>
      <c r="F87" s="183"/>
      <c r="G87" s="210" t="str">
        <f t="shared" si="1"/>
        <v>na</v>
      </c>
      <c r="H87" s="183">
        <v>100</v>
      </c>
      <c r="I87" s="183">
        <v>400</v>
      </c>
      <c r="J87" s="258">
        <f t="shared" si="2"/>
        <v>250</v>
      </c>
      <c r="K87" s="211" t="s">
        <v>338</v>
      </c>
    </row>
    <row r="88" spans="1:11" x14ac:dyDescent="0.3">
      <c r="A88" s="210" t="s">
        <v>342</v>
      </c>
      <c r="B88" s="183"/>
      <c r="C88" s="183"/>
      <c r="D88" s="210" t="str">
        <f t="shared" si="0"/>
        <v>na</v>
      </c>
      <c r="E88" s="183"/>
      <c r="F88" s="183"/>
      <c r="G88" s="210" t="str">
        <f t="shared" si="1"/>
        <v>na</v>
      </c>
      <c r="H88" s="183">
        <v>2500</v>
      </c>
      <c r="I88" s="183">
        <v>2500</v>
      </c>
      <c r="J88" s="258">
        <f t="shared" si="2"/>
        <v>2500</v>
      </c>
      <c r="K88" s="211" t="s">
        <v>338</v>
      </c>
    </row>
    <row r="89" spans="1:11" x14ac:dyDescent="0.3">
      <c r="A89" s="210" t="s">
        <v>519</v>
      </c>
      <c r="B89" s="183">
        <v>200</v>
      </c>
      <c r="C89" s="183">
        <v>400</v>
      </c>
      <c r="D89" s="210">
        <f>IFERROR(AVERAGE(B89:C89),"na")</f>
        <v>300</v>
      </c>
      <c r="E89" s="183"/>
      <c r="F89" s="183"/>
      <c r="G89" s="210" t="str">
        <f>IFERROR(AVERAGE(E89:F89),"na")</f>
        <v>na</v>
      </c>
      <c r="H89" s="183">
        <v>300</v>
      </c>
      <c r="I89" s="183">
        <v>700</v>
      </c>
      <c r="J89" s="258">
        <f>IFERROR(AVERAGE(H89:I89), "na")</f>
        <v>500</v>
      </c>
      <c r="K89" s="211" t="s">
        <v>338</v>
      </c>
    </row>
    <row r="90" spans="1:11" x14ac:dyDescent="0.3">
      <c r="A90" s="183"/>
      <c r="B90" s="183"/>
      <c r="C90" s="183"/>
      <c r="D90" s="183"/>
      <c r="E90" s="183"/>
      <c r="F90" s="183"/>
      <c r="G90" s="183"/>
      <c r="H90" s="183"/>
      <c r="I90" s="183"/>
      <c r="J90" s="183"/>
      <c r="K90" s="183"/>
    </row>
    <row r="91" spans="1:11" x14ac:dyDescent="0.3">
      <c r="A91" s="183"/>
      <c r="B91" s="183"/>
      <c r="C91" s="183"/>
      <c r="D91" s="183"/>
      <c r="E91" s="183"/>
      <c r="F91" s="183"/>
      <c r="G91" s="183"/>
      <c r="H91" s="183"/>
      <c r="I91" s="183"/>
      <c r="J91" s="183"/>
      <c r="K91" s="183"/>
    </row>
    <row r="92" spans="1:11" x14ac:dyDescent="0.3">
      <c r="A92" s="183"/>
      <c r="B92" s="183"/>
      <c r="C92" s="183"/>
      <c r="D92" s="183"/>
      <c r="E92" s="183"/>
      <c r="F92" s="183"/>
      <c r="G92" s="183"/>
      <c r="H92" s="183"/>
      <c r="I92" s="183"/>
      <c r="J92" s="183"/>
      <c r="K92" s="183"/>
    </row>
    <row r="93" spans="1:11" x14ac:dyDescent="0.3">
      <c r="A93" s="183"/>
      <c r="B93" s="183"/>
      <c r="C93" s="183"/>
      <c r="D93" s="183"/>
      <c r="E93" s="183"/>
      <c r="F93" s="183"/>
      <c r="G93" s="183"/>
      <c r="H93" s="183"/>
      <c r="I93" s="183"/>
      <c r="J93" s="183"/>
      <c r="K93" s="183"/>
    </row>
    <row r="94" spans="1:11" x14ac:dyDescent="0.3">
      <c r="A94" s="183"/>
      <c r="B94" s="183"/>
      <c r="C94" s="183"/>
      <c r="D94" s="183"/>
      <c r="E94" s="183"/>
      <c r="F94" s="183"/>
      <c r="G94" s="183"/>
      <c r="H94" s="183"/>
      <c r="I94" s="183"/>
      <c r="J94" s="183"/>
      <c r="K94" s="183"/>
    </row>
    <row r="95" spans="1:11" x14ac:dyDescent="0.3">
      <c r="A95" s="183"/>
      <c r="B95" s="183"/>
      <c r="C95" s="183"/>
      <c r="D95" s="183"/>
      <c r="E95" s="183"/>
      <c r="F95" s="183"/>
      <c r="G95" s="183"/>
      <c r="H95" s="183"/>
      <c r="I95" s="183"/>
      <c r="J95" s="183"/>
      <c r="K95" s="183"/>
    </row>
    <row r="96" spans="1:11" x14ac:dyDescent="0.3">
      <c r="A96" s="183"/>
      <c r="B96" s="183"/>
      <c r="C96" s="183"/>
      <c r="D96" s="183"/>
      <c r="E96" s="183"/>
      <c r="F96" s="183"/>
      <c r="G96" s="183"/>
      <c r="H96" s="183"/>
      <c r="I96" s="183"/>
      <c r="J96" s="183"/>
      <c r="K96" s="183"/>
    </row>
    <row r="97" spans="1:11" x14ac:dyDescent="0.3">
      <c r="A97" s="183"/>
      <c r="B97" s="183"/>
      <c r="C97" s="183"/>
      <c r="D97" s="183"/>
      <c r="E97" s="183"/>
      <c r="F97" s="183"/>
      <c r="G97" s="183"/>
      <c r="H97" s="183"/>
      <c r="I97" s="183"/>
      <c r="J97" s="183"/>
      <c r="K97" s="183"/>
    </row>
    <row r="98" spans="1:11" x14ac:dyDescent="0.3">
      <c r="A98" s="183"/>
      <c r="B98" s="183"/>
      <c r="C98" s="183"/>
      <c r="D98" s="183"/>
      <c r="E98" s="183"/>
      <c r="F98" s="183"/>
      <c r="G98" s="183"/>
      <c r="H98" s="183"/>
      <c r="I98" s="183"/>
      <c r="J98" s="183"/>
      <c r="K98" s="183"/>
    </row>
    <row r="99" spans="1:11" x14ac:dyDescent="0.3">
      <c r="A99" s="183"/>
      <c r="B99" s="183"/>
      <c r="C99" s="183"/>
      <c r="D99" s="183"/>
      <c r="E99" s="183"/>
      <c r="F99" s="183"/>
      <c r="G99" s="183"/>
      <c r="H99" s="183"/>
      <c r="I99" s="183"/>
      <c r="J99" s="183"/>
      <c r="K99" s="183"/>
    </row>
  </sheetData>
  <mergeCells count="52">
    <mergeCell ref="I34:AF34"/>
    <mergeCell ref="I38:AD38"/>
    <mergeCell ref="AG38:AO38"/>
    <mergeCell ref="A41:C41"/>
    <mergeCell ref="A11:B11"/>
    <mergeCell ref="I35:AF35"/>
    <mergeCell ref="I36:AF36"/>
    <mergeCell ref="A46:C46"/>
    <mergeCell ref="B4:F4"/>
    <mergeCell ref="B5:F5"/>
    <mergeCell ref="B7:F7"/>
    <mergeCell ref="B6:F6"/>
    <mergeCell ref="B9:F9"/>
    <mergeCell ref="B8:F8"/>
    <mergeCell ref="A55:C55"/>
    <mergeCell ref="A56:C56"/>
    <mergeCell ref="I4:AN4"/>
    <mergeCell ref="I11:J11"/>
    <mergeCell ref="A29:G29"/>
    <mergeCell ref="I33:AF33"/>
    <mergeCell ref="A47:C47"/>
    <mergeCell ref="A48:C48"/>
    <mergeCell ref="A49:C49"/>
    <mergeCell ref="A38:C38"/>
    <mergeCell ref="A39:C39"/>
    <mergeCell ref="A40:C40"/>
    <mergeCell ref="A42:C42"/>
    <mergeCell ref="A43:C43"/>
    <mergeCell ref="A44:C44"/>
    <mergeCell ref="A45:C45"/>
    <mergeCell ref="A50:C50"/>
    <mergeCell ref="A51:C51"/>
    <mergeCell ref="A52:C52"/>
    <mergeCell ref="A53:C53"/>
    <mergeCell ref="A54:C54"/>
    <mergeCell ref="A81:K81"/>
    <mergeCell ref="B82:D82"/>
    <mergeCell ref="E82:G82"/>
    <mergeCell ref="H82:J82"/>
    <mergeCell ref="A70:AD70"/>
    <mergeCell ref="A68:C68"/>
    <mergeCell ref="A62:C62"/>
    <mergeCell ref="A67:C67"/>
    <mergeCell ref="A57:C57"/>
    <mergeCell ref="A58:C58"/>
    <mergeCell ref="A59:C59"/>
    <mergeCell ref="A60:C60"/>
    <mergeCell ref="A61:C61"/>
    <mergeCell ref="A64:C64"/>
    <mergeCell ref="A65:C65"/>
    <mergeCell ref="A66:C66"/>
    <mergeCell ref="A63:C63"/>
  </mergeCells>
  <hyperlinks>
    <hyperlink ref="B4:F4" location="Influent!A3" display="THP/AD INFLUENT" xr:uid="{00000000-0004-0000-0000-000000000000}"/>
    <hyperlink ref="B5:F5" location="'S-SBR'!A1" display="S-SBR EFFLUENT" xr:uid="{00000000-0004-0000-0000-000001000000}"/>
    <hyperlink ref="B7:F7" location="'G-SBR'!A1" display="G-SBR EFFLUENT" xr:uid="{00000000-0004-0000-0000-000002000000}"/>
    <hyperlink ref="B6:F6" location="Media!A1" display="MEDIA EFFLUENT" xr:uid="{00000000-0004-0000-0000-000003000000}"/>
    <hyperlink ref="B9:F9" location="PPComparison!A1" display="DATA PLOTS" xr:uid="{00000000-0004-0000-0000-000004000000}"/>
    <hyperlink ref="B8:F8" location="FullScaleLTP!A1" display="LTP EFFLUENT" xr:uid="{00000000-0004-0000-0000-000005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00"/>
  </sheetPr>
  <dimension ref="A1:CD383"/>
  <sheetViews>
    <sheetView zoomScale="83" zoomScaleNormal="100" workbookViewId="0">
      <selection activeCell="AD258" sqref="AD258"/>
    </sheetView>
  </sheetViews>
  <sheetFormatPr defaultRowHeight="14.4" x14ac:dyDescent="0.3"/>
  <cols>
    <col min="1" max="1" width="12.109375" customWidth="1"/>
    <col min="2" max="2" width="17" style="29" customWidth="1"/>
    <col min="3" max="6" width="10.44140625" customWidth="1"/>
    <col min="7" max="7" width="10.44140625" style="29" customWidth="1"/>
    <col min="8" max="8" width="10.5546875" bestFit="1" customWidth="1"/>
    <col min="9" max="11" width="10.44140625" customWidth="1"/>
    <col min="12" max="16" width="11.44140625" customWidth="1"/>
    <col min="17" max="17" width="12.44140625" bestFit="1" customWidth="1"/>
    <col min="18" max="18" width="11" bestFit="1" customWidth="1"/>
    <col min="19" max="19" width="0" hidden="1" customWidth="1"/>
    <col min="20" max="20" width="12.44140625" bestFit="1" customWidth="1"/>
    <col min="21" max="21" width="13.5546875" bestFit="1" customWidth="1"/>
    <col min="22" max="22" width="10.44140625" bestFit="1" customWidth="1"/>
    <col min="23" max="23" width="11.44140625" bestFit="1" customWidth="1"/>
    <col min="29" max="29" width="23.6640625" customWidth="1"/>
    <col min="39" max="39" width="20.88671875" bestFit="1" customWidth="1"/>
  </cols>
  <sheetData>
    <row r="1" spans="1:49" ht="20.399999999999999" customHeight="1" thickBot="1" x14ac:dyDescent="0.4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73"/>
      <c r="L1" s="46"/>
      <c r="M1" s="46"/>
      <c r="N1" s="46"/>
      <c r="O1" s="46"/>
      <c r="P1" s="46"/>
      <c r="Q1" s="46"/>
      <c r="R1" s="46"/>
      <c r="S1" s="73"/>
      <c r="T1" s="74"/>
      <c r="U1" s="74"/>
      <c r="V1" s="74"/>
    </row>
    <row r="2" spans="1:49" ht="15" thickTop="1" x14ac:dyDescent="0.3"/>
    <row r="3" spans="1:49" x14ac:dyDescent="0.3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</row>
    <row r="4" spans="1:49" x14ac:dyDescent="0.3">
      <c r="A4" s="127"/>
      <c r="X4" s="127"/>
      <c r="AB4" s="12"/>
      <c r="AC4" s="12"/>
      <c r="AD4" s="12"/>
      <c r="AW4" s="127"/>
    </row>
    <row r="5" spans="1:49" x14ac:dyDescent="0.3">
      <c r="A5" s="142">
        <v>0</v>
      </c>
      <c r="B5" s="29">
        <v>20</v>
      </c>
      <c r="X5" s="127"/>
      <c r="AB5" s="12"/>
      <c r="AC5" s="12"/>
      <c r="AD5" s="12"/>
      <c r="AW5" s="127"/>
    </row>
    <row r="6" spans="1:49" x14ac:dyDescent="0.3">
      <c r="A6" s="142">
        <v>400</v>
      </c>
      <c r="B6" s="29">
        <v>20</v>
      </c>
      <c r="X6" s="127"/>
      <c r="AB6" s="12"/>
      <c r="AC6" s="12"/>
      <c r="AD6" s="12"/>
      <c r="AW6" s="127"/>
    </row>
    <row r="7" spans="1:49" x14ac:dyDescent="0.3">
      <c r="A7" s="127"/>
      <c r="X7" s="127"/>
      <c r="AB7" s="12"/>
      <c r="AC7" s="12"/>
      <c r="AD7" s="12"/>
      <c r="AW7" s="127"/>
    </row>
    <row r="8" spans="1:49" x14ac:dyDescent="0.3">
      <c r="A8" s="127"/>
      <c r="X8" s="127"/>
      <c r="AB8" s="12"/>
      <c r="AC8" s="12"/>
      <c r="AD8" s="12"/>
      <c r="AW8" s="127"/>
    </row>
    <row r="9" spans="1:49" x14ac:dyDescent="0.3">
      <c r="A9" s="127"/>
      <c r="X9" s="127"/>
      <c r="AB9" s="12"/>
      <c r="AC9" s="12"/>
      <c r="AD9" s="12"/>
      <c r="AW9" s="127"/>
    </row>
    <row r="10" spans="1:49" x14ac:dyDescent="0.3">
      <c r="A10" s="127"/>
      <c r="X10" s="127"/>
      <c r="AB10" s="12"/>
      <c r="AC10" s="12"/>
      <c r="AD10" s="12"/>
      <c r="AW10" s="127"/>
    </row>
    <row r="11" spans="1:49" x14ac:dyDescent="0.3">
      <c r="A11" s="127"/>
      <c r="X11" s="127"/>
      <c r="AB11" s="12"/>
      <c r="AC11" s="12"/>
      <c r="AD11" s="12"/>
      <c r="AW11" s="127"/>
    </row>
    <row r="12" spans="1:49" x14ac:dyDescent="0.3">
      <c r="A12" s="127"/>
      <c r="X12" s="127"/>
      <c r="AB12" s="12"/>
      <c r="AC12" s="12"/>
      <c r="AD12" s="12"/>
      <c r="AW12" s="127"/>
    </row>
    <row r="13" spans="1:49" x14ac:dyDescent="0.3">
      <c r="A13" s="127"/>
      <c r="X13" s="127"/>
      <c r="AB13" s="12"/>
      <c r="AC13" s="12"/>
      <c r="AD13" s="12"/>
      <c r="AW13" s="127"/>
    </row>
    <row r="14" spans="1:49" x14ac:dyDescent="0.3">
      <c r="A14" s="127"/>
      <c r="X14" s="127"/>
      <c r="AB14" s="12"/>
      <c r="AC14" s="12"/>
      <c r="AD14" s="12"/>
      <c r="AW14" s="127"/>
    </row>
    <row r="15" spans="1:49" x14ac:dyDescent="0.3">
      <c r="A15" s="127"/>
      <c r="X15" s="127"/>
      <c r="AB15" s="12"/>
      <c r="AC15" s="12"/>
      <c r="AD15" s="12"/>
      <c r="AW15" s="127"/>
    </row>
    <row r="16" spans="1:49" x14ac:dyDescent="0.3">
      <c r="A16" s="127"/>
      <c r="X16" s="127"/>
      <c r="AB16" s="12"/>
      <c r="AC16" s="12"/>
      <c r="AD16" s="12"/>
      <c r="AW16" s="127"/>
    </row>
    <row r="17" spans="1:49" x14ac:dyDescent="0.3">
      <c r="A17" s="127"/>
      <c r="X17" s="127"/>
      <c r="AB17" s="12"/>
      <c r="AC17" s="12"/>
      <c r="AD17" s="12"/>
      <c r="AW17" s="127"/>
    </row>
    <row r="18" spans="1:49" x14ac:dyDescent="0.3">
      <c r="A18" s="127"/>
      <c r="X18" s="127"/>
      <c r="AB18" s="12"/>
      <c r="AC18" s="12"/>
      <c r="AD18" s="12"/>
      <c r="AW18" s="127"/>
    </row>
    <row r="19" spans="1:49" x14ac:dyDescent="0.3">
      <c r="A19" s="127"/>
      <c r="X19" s="127"/>
      <c r="AB19" s="12"/>
      <c r="AC19" s="12"/>
      <c r="AD19" s="12"/>
      <c r="AW19" s="127"/>
    </row>
    <row r="20" spans="1:49" x14ac:dyDescent="0.3">
      <c r="A20" s="127"/>
      <c r="X20" s="127"/>
      <c r="AB20" s="12"/>
      <c r="AC20" s="12"/>
      <c r="AD20" s="12"/>
      <c r="AW20" s="127"/>
    </row>
    <row r="21" spans="1:49" x14ac:dyDescent="0.3">
      <c r="A21" s="127"/>
      <c r="X21" s="127"/>
      <c r="AB21" s="12"/>
      <c r="AC21" s="12"/>
      <c r="AD21" s="12"/>
      <c r="AW21" s="127"/>
    </row>
    <row r="22" spans="1:49" x14ac:dyDescent="0.3">
      <c r="A22" s="127"/>
      <c r="X22" s="127"/>
      <c r="AB22" s="12"/>
      <c r="AC22" s="12"/>
      <c r="AD22" s="12"/>
      <c r="AW22" s="127"/>
    </row>
    <row r="23" spans="1:49" x14ac:dyDescent="0.3">
      <c r="A23" s="127"/>
      <c r="X23" s="127"/>
      <c r="AB23" s="12"/>
      <c r="AC23" s="12"/>
      <c r="AD23" s="12"/>
      <c r="AW23" s="127"/>
    </row>
    <row r="24" spans="1:49" x14ac:dyDescent="0.3">
      <c r="A24" s="127"/>
      <c r="X24" s="127"/>
      <c r="AB24" s="12"/>
      <c r="AC24" s="12"/>
      <c r="AD24" s="12"/>
      <c r="AW24" s="127"/>
    </row>
    <row r="25" spans="1:49" x14ac:dyDescent="0.3">
      <c r="A25" s="127"/>
      <c r="X25" s="127"/>
      <c r="AB25" s="12"/>
      <c r="AC25" s="12"/>
      <c r="AD25" s="12"/>
      <c r="AW25" s="127"/>
    </row>
    <row r="26" spans="1:49" x14ac:dyDescent="0.3">
      <c r="A26" s="127"/>
      <c r="X26" s="127"/>
      <c r="AB26" s="12"/>
      <c r="AC26" s="12"/>
      <c r="AD26" s="12"/>
      <c r="AW26" s="127"/>
    </row>
    <row r="27" spans="1:49" x14ac:dyDescent="0.3">
      <c r="A27" s="127"/>
      <c r="X27" s="127"/>
      <c r="AB27" s="12"/>
      <c r="AC27" s="12"/>
      <c r="AD27" s="12"/>
      <c r="AW27" s="127"/>
    </row>
    <row r="28" spans="1:49" x14ac:dyDescent="0.3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36"/>
      <c r="AC28" s="136"/>
      <c r="AD28" s="136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</row>
    <row r="29" spans="1:49" x14ac:dyDescent="0.3">
      <c r="AB29" s="12"/>
      <c r="AC29" s="12"/>
      <c r="AD29" s="12"/>
    </row>
    <row r="30" spans="1:49" x14ac:dyDescent="0.3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B30" s="12"/>
      <c r="AC30" s="12"/>
      <c r="AD30" s="12"/>
    </row>
    <row r="31" spans="1:49" x14ac:dyDescent="0.3">
      <c r="A31" s="127"/>
      <c r="Z31" s="127"/>
      <c r="AB31" s="12"/>
      <c r="AC31" s="12"/>
      <c r="AD31" s="12"/>
    </row>
    <row r="32" spans="1:49" x14ac:dyDescent="0.3">
      <c r="A32" s="127"/>
      <c r="Z32" s="127"/>
      <c r="AB32" s="12"/>
      <c r="AC32" s="12"/>
      <c r="AD32" s="12"/>
    </row>
    <row r="33" spans="1:30" x14ac:dyDescent="0.3">
      <c r="A33" s="127"/>
      <c r="Z33" s="127"/>
      <c r="AB33" s="12"/>
      <c r="AC33" s="12"/>
      <c r="AD33" s="12"/>
    </row>
    <row r="34" spans="1:30" x14ac:dyDescent="0.3">
      <c r="A34" s="127"/>
      <c r="Z34" s="127"/>
      <c r="AB34" s="12"/>
      <c r="AC34" s="12"/>
      <c r="AD34" s="12"/>
    </row>
    <row r="35" spans="1:30" x14ac:dyDescent="0.3">
      <c r="A35" s="127"/>
      <c r="Z35" s="127"/>
      <c r="AB35" s="12"/>
      <c r="AC35" s="12"/>
      <c r="AD35" s="12"/>
    </row>
    <row r="36" spans="1:30" x14ac:dyDescent="0.3">
      <c r="A36" s="127"/>
      <c r="Z36" s="127"/>
      <c r="AB36" s="12"/>
      <c r="AC36" s="12"/>
      <c r="AD36" s="12"/>
    </row>
    <row r="37" spans="1:30" x14ac:dyDescent="0.3">
      <c r="A37" s="127"/>
      <c r="Z37" s="127"/>
      <c r="AB37" s="12"/>
      <c r="AC37" s="12"/>
      <c r="AD37" s="12"/>
    </row>
    <row r="38" spans="1:30" x14ac:dyDescent="0.3">
      <c r="A38" s="127"/>
      <c r="Z38" s="127"/>
      <c r="AB38" s="12"/>
      <c r="AC38" s="12"/>
      <c r="AD38" s="12"/>
    </row>
    <row r="39" spans="1:30" x14ac:dyDescent="0.3">
      <c r="A39" s="127"/>
      <c r="Z39" s="127"/>
      <c r="AB39" s="12"/>
      <c r="AC39" s="12"/>
      <c r="AD39" s="12"/>
    </row>
    <row r="40" spans="1:30" x14ac:dyDescent="0.3">
      <c r="A40" s="127"/>
      <c r="Z40" s="127"/>
      <c r="AB40" s="12"/>
      <c r="AC40" s="12"/>
      <c r="AD40" s="12"/>
    </row>
    <row r="41" spans="1:30" x14ac:dyDescent="0.3">
      <c r="A41" s="127"/>
      <c r="Z41" s="127"/>
      <c r="AB41" s="12"/>
      <c r="AC41" s="12"/>
      <c r="AD41" s="12"/>
    </row>
    <row r="42" spans="1:30" x14ac:dyDescent="0.3">
      <c r="A42" s="127"/>
      <c r="Z42" s="127"/>
      <c r="AB42" s="12"/>
      <c r="AC42" s="12"/>
      <c r="AD42" s="12"/>
    </row>
    <row r="43" spans="1:30" x14ac:dyDescent="0.3">
      <c r="A43" s="127"/>
      <c r="Z43" s="127"/>
      <c r="AB43" s="12"/>
      <c r="AC43" s="12"/>
      <c r="AD43" s="12"/>
    </row>
    <row r="44" spans="1:30" x14ac:dyDescent="0.3">
      <c r="A44" s="127"/>
      <c r="Z44" s="127"/>
      <c r="AB44" s="12"/>
      <c r="AC44" s="12"/>
      <c r="AD44" s="12"/>
    </row>
    <row r="45" spans="1:30" x14ac:dyDescent="0.3">
      <c r="A45" s="127"/>
      <c r="Z45" s="127"/>
      <c r="AB45" s="12"/>
      <c r="AC45" s="12"/>
      <c r="AD45" s="12"/>
    </row>
    <row r="46" spans="1:30" x14ac:dyDescent="0.3">
      <c r="A46" s="127"/>
      <c r="Z46" s="127"/>
      <c r="AB46" s="12"/>
      <c r="AC46" s="12"/>
      <c r="AD46" s="12"/>
    </row>
    <row r="47" spans="1:30" x14ac:dyDescent="0.3">
      <c r="A47" s="127"/>
      <c r="Z47" s="127"/>
      <c r="AB47" s="12"/>
      <c r="AC47" s="12"/>
      <c r="AD47" s="12"/>
    </row>
    <row r="48" spans="1:30" x14ac:dyDescent="0.3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B48" s="12"/>
      <c r="AC48" s="12"/>
      <c r="AD48" s="12"/>
    </row>
    <row r="49" spans="1:47" x14ac:dyDescent="0.3">
      <c r="A49" s="127"/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36"/>
      <c r="AC49" s="136"/>
      <c r="AD49" s="136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</row>
    <row r="50" spans="1:47" x14ac:dyDescent="0.3">
      <c r="A50" s="127"/>
      <c r="AB50" s="12"/>
      <c r="AC50" s="12"/>
      <c r="AD50" s="12"/>
      <c r="AU50" s="127"/>
    </row>
    <row r="51" spans="1:47" x14ac:dyDescent="0.3">
      <c r="A51" s="127"/>
      <c r="AB51" s="12"/>
      <c r="AC51" s="12"/>
      <c r="AD51" s="12"/>
      <c r="AU51" s="127"/>
    </row>
    <row r="52" spans="1:47" x14ac:dyDescent="0.3">
      <c r="A52" s="127"/>
      <c r="AB52" s="12"/>
      <c r="AC52" s="12"/>
      <c r="AD52" s="12"/>
      <c r="AU52" s="127"/>
    </row>
    <row r="53" spans="1:47" x14ac:dyDescent="0.3">
      <c r="A53" s="127"/>
      <c r="AB53" s="12"/>
      <c r="AC53" s="12"/>
      <c r="AD53" s="12"/>
      <c r="AU53" s="127"/>
    </row>
    <row r="54" spans="1:47" x14ac:dyDescent="0.3">
      <c r="A54" s="127"/>
      <c r="AB54" s="12"/>
      <c r="AC54" s="12"/>
      <c r="AD54" s="12"/>
      <c r="AU54" s="127"/>
    </row>
    <row r="55" spans="1:47" x14ac:dyDescent="0.3">
      <c r="A55" s="127"/>
      <c r="AB55" s="12"/>
      <c r="AC55" s="12"/>
      <c r="AD55" s="12"/>
      <c r="AU55" s="127"/>
    </row>
    <row r="56" spans="1:47" x14ac:dyDescent="0.3">
      <c r="A56" s="127"/>
      <c r="AB56" s="12"/>
      <c r="AC56" s="12"/>
      <c r="AD56" s="12"/>
      <c r="AU56" s="127"/>
    </row>
    <row r="57" spans="1:47" x14ac:dyDescent="0.3">
      <c r="A57" s="127"/>
      <c r="AB57" s="12"/>
      <c r="AC57" s="12"/>
      <c r="AD57" s="12"/>
      <c r="AU57" s="127"/>
    </row>
    <row r="58" spans="1:47" x14ac:dyDescent="0.3">
      <c r="A58" s="127"/>
      <c r="AB58" s="12"/>
      <c r="AC58" s="12"/>
      <c r="AD58" s="12"/>
      <c r="AU58" s="127"/>
    </row>
    <row r="59" spans="1:47" x14ac:dyDescent="0.3">
      <c r="A59" s="127"/>
      <c r="AB59" s="12"/>
      <c r="AC59" s="12"/>
      <c r="AD59" s="12"/>
      <c r="AU59" s="127"/>
    </row>
    <row r="60" spans="1:47" x14ac:dyDescent="0.3">
      <c r="A60" s="127"/>
      <c r="AB60" s="12"/>
      <c r="AC60" s="12"/>
      <c r="AD60" s="12"/>
      <c r="AE60" s="12"/>
      <c r="AU60" s="127"/>
    </row>
    <row r="61" spans="1:47" x14ac:dyDescent="0.3">
      <c r="A61" s="127"/>
      <c r="AB61" s="12"/>
      <c r="AC61" s="12"/>
      <c r="AD61" s="12"/>
      <c r="AE61" s="12"/>
      <c r="AU61" s="127"/>
    </row>
    <row r="62" spans="1:47" x14ac:dyDescent="0.3">
      <c r="A62" s="127"/>
      <c r="AB62" s="12"/>
      <c r="AC62" s="12"/>
      <c r="AD62" s="12"/>
      <c r="AE62" s="12"/>
      <c r="AU62" s="127"/>
    </row>
    <row r="63" spans="1:47" x14ac:dyDescent="0.3">
      <c r="A63" s="127"/>
      <c r="AB63" s="12"/>
      <c r="AC63" s="12"/>
      <c r="AD63" s="12"/>
      <c r="AE63" s="12"/>
      <c r="AU63" s="127"/>
    </row>
    <row r="64" spans="1:47" x14ac:dyDescent="0.3">
      <c r="A64" s="127"/>
      <c r="AB64" s="12"/>
      <c r="AC64" s="12"/>
      <c r="AD64" s="12"/>
      <c r="AE64" s="12"/>
      <c r="AU64" s="127"/>
    </row>
    <row r="65" spans="1:52" x14ac:dyDescent="0.3">
      <c r="A65" s="127"/>
      <c r="AB65" s="12"/>
      <c r="AC65" s="12"/>
      <c r="AD65" s="12"/>
      <c r="AE65" s="12"/>
      <c r="AU65" s="127"/>
    </row>
    <row r="66" spans="1:52" x14ac:dyDescent="0.3">
      <c r="A66" s="127"/>
      <c r="AB66" s="12"/>
      <c r="AC66" s="12"/>
      <c r="AD66" s="12"/>
      <c r="AE66" s="12"/>
      <c r="AU66" s="127"/>
    </row>
    <row r="67" spans="1:52" x14ac:dyDescent="0.3">
      <c r="A67" s="127"/>
      <c r="AB67" s="12"/>
      <c r="AC67" s="12"/>
      <c r="AD67" s="12"/>
      <c r="AE67" s="12"/>
      <c r="AU67" s="127"/>
    </row>
    <row r="68" spans="1:52" x14ac:dyDescent="0.3">
      <c r="A68" s="127"/>
      <c r="AB68" s="12"/>
      <c r="AC68" s="12"/>
      <c r="AD68" s="12"/>
      <c r="AE68" s="12"/>
      <c r="AU68" s="127"/>
    </row>
    <row r="69" spans="1:52" x14ac:dyDescent="0.3">
      <c r="A69" s="127"/>
      <c r="AB69" s="12"/>
      <c r="AC69" s="12"/>
      <c r="AD69" s="12"/>
      <c r="AE69" s="12"/>
      <c r="AU69" s="127"/>
    </row>
    <row r="70" spans="1:52" x14ac:dyDescent="0.3">
      <c r="A70" s="127"/>
      <c r="AB70" s="12"/>
      <c r="AC70" s="12"/>
      <c r="AD70" s="12"/>
      <c r="AE70" s="12"/>
      <c r="AU70" s="127"/>
    </row>
    <row r="71" spans="1:52" x14ac:dyDescent="0.3">
      <c r="A71" s="127"/>
      <c r="AB71" s="12"/>
      <c r="AC71" s="12"/>
      <c r="AD71" s="12"/>
      <c r="AE71" s="12"/>
      <c r="AU71" s="127"/>
    </row>
    <row r="72" spans="1:52" x14ac:dyDescent="0.3">
      <c r="A72" s="127"/>
      <c r="AB72" s="12"/>
      <c r="AC72" s="12"/>
      <c r="AD72" s="12"/>
      <c r="AE72" s="12"/>
      <c r="AU72" s="127"/>
    </row>
    <row r="73" spans="1:52" x14ac:dyDescent="0.3">
      <c r="A73" s="127"/>
      <c r="AB73" s="12"/>
      <c r="AC73" s="12"/>
      <c r="AD73" s="12"/>
      <c r="AE73" s="12"/>
      <c r="AU73" s="127"/>
    </row>
    <row r="74" spans="1:52" x14ac:dyDescent="0.3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36"/>
      <c r="AC74" s="136"/>
      <c r="AD74" s="136"/>
      <c r="AE74" s="136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</row>
    <row r="75" spans="1:52" x14ac:dyDescent="0.3">
      <c r="A75" s="127"/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AB75" s="12"/>
      <c r="AC75" s="12"/>
      <c r="AD75" s="12"/>
      <c r="AE75" s="12"/>
    </row>
    <row r="76" spans="1:52" x14ac:dyDescent="0.3">
      <c r="A76" s="127"/>
      <c r="X76" s="127"/>
      <c r="AB76" s="12"/>
      <c r="AC76" s="12"/>
      <c r="AD76" s="12"/>
      <c r="AE76" s="12"/>
    </row>
    <row r="77" spans="1:52" x14ac:dyDescent="0.3">
      <c r="A77" s="127"/>
      <c r="C77">
        <v>0</v>
      </c>
      <c r="D77">
        <v>0.27</v>
      </c>
      <c r="X77" s="127"/>
      <c r="AB77" s="12"/>
      <c r="AC77" s="12"/>
      <c r="AD77" s="12"/>
      <c r="AZ77" s="144"/>
    </row>
    <row r="78" spans="1:52" x14ac:dyDescent="0.3">
      <c r="A78" s="127"/>
      <c r="C78">
        <v>300</v>
      </c>
      <c r="D78">
        <v>0.27</v>
      </c>
      <c r="X78" s="127"/>
      <c r="AB78" s="12"/>
      <c r="AC78" s="12"/>
      <c r="AD78" s="12"/>
      <c r="AZ78" s="144"/>
    </row>
    <row r="79" spans="1:52" x14ac:dyDescent="0.3">
      <c r="A79" s="127"/>
      <c r="X79" s="127"/>
      <c r="AB79" s="12"/>
      <c r="AC79" s="12"/>
      <c r="AD79" s="12"/>
      <c r="AZ79" s="144"/>
    </row>
    <row r="80" spans="1:52" x14ac:dyDescent="0.3">
      <c r="A80" s="127"/>
      <c r="X80" s="127"/>
      <c r="AB80" s="12"/>
      <c r="AC80" s="12"/>
      <c r="AD80" s="12"/>
      <c r="AZ80" s="144"/>
    </row>
    <row r="81" spans="1:52" x14ac:dyDescent="0.3">
      <c r="A81" s="127"/>
      <c r="X81" s="127"/>
      <c r="AB81" s="12"/>
      <c r="AC81" s="12"/>
      <c r="AD81" s="12"/>
      <c r="AZ81" s="144"/>
    </row>
    <row r="82" spans="1:52" x14ac:dyDescent="0.3">
      <c r="A82" s="127"/>
      <c r="X82" s="127"/>
      <c r="AB82" s="12"/>
      <c r="AC82" s="12"/>
      <c r="AD82" s="12"/>
      <c r="AZ82" s="144"/>
    </row>
    <row r="83" spans="1:52" x14ac:dyDescent="0.3">
      <c r="A83" s="127"/>
      <c r="X83" s="127"/>
      <c r="AB83" s="12"/>
      <c r="AC83" s="12"/>
      <c r="AD83" s="12"/>
      <c r="AZ83" s="144"/>
    </row>
    <row r="84" spans="1:52" x14ac:dyDescent="0.3">
      <c r="A84" s="127"/>
      <c r="X84" s="127"/>
      <c r="AB84" s="12"/>
      <c r="AC84" s="12"/>
      <c r="AD84" s="12"/>
      <c r="AZ84" s="144"/>
    </row>
    <row r="85" spans="1:52" x14ac:dyDescent="0.3">
      <c r="A85" s="127"/>
      <c r="X85" s="127"/>
      <c r="AB85" s="12"/>
      <c r="AC85" s="12"/>
      <c r="AD85" s="12"/>
      <c r="AZ85" s="144"/>
    </row>
    <row r="86" spans="1:52" x14ac:dyDescent="0.3">
      <c r="A86" s="127"/>
      <c r="X86" s="127"/>
      <c r="AB86" s="12"/>
      <c r="AC86" s="12"/>
      <c r="AD86" s="12"/>
      <c r="AZ86" s="144"/>
    </row>
    <row r="87" spans="1:52" x14ac:dyDescent="0.3">
      <c r="A87" s="127"/>
      <c r="X87" s="127"/>
      <c r="AB87" s="12"/>
      <c r="AC87" s="12"/>
      <c r="AD87" s="12"/>
      <c r="AZ87" s="144"/>
    </row>
    <row r="88" spans="1:52" x14ac:dyDescent="0.3">
      <c r="A88" s="127"/>
      <c r="X88" s="127"/>
      <c r="AB88" s="12"/>
      <c r="AC88" s="12"/>
      <c r="AD88" s="12"/>
      <c r="AZ88" s="144"/>
    </row>
    <row r="89" spans="1:52" x14ac:dyDescent="0.3">
      <c r="A89" s="127"/>
      <c r="X89" s="127"/>
      <c r="AB89" s="12"/>
      <c r="AC89" s="12"/>
      <c r="AD89" s="12"/>
      <c r="AZ89" s="144"/>
    </row>
    <row r="90" spans="1:52" x14ac:dyDescent="0.3">
      <c r="A90" s="127"/>
      <c r="X90" s="127"/>
      <c r="AB90" s="12"/>
      <c r="AC90" s="12"/>
      <c r="AD90" s="12"/>
      <c r="AZ90" s="144"/>
    </row>
    <row r="91" spans="1:52" x14ac:dyDescent="0.3">
      <c r="A91" s="127"/>
      <c r="X91" s="127"/>
      <c r="AB91" s="12"/>
      <c r="AC91" s="12"/>
      <c r="AD91" s="12"/>
      <c r="AZ91" s="144"/>
    </row>
    <row r="92" spans="1:52" x14ac:dyDescent="0.3">
      <c r="A92" s="127"/>
      <c r="X92" s="127"/>
      <c r="AB92" s="12"/>
      <c r="AC92" s="12"/>
      <c r="AD92" s="12"/>
      <c r="AZ92" s="144"/>
    </row>
    <row r="93" spans="1:52" x14ac:dyDescent="0.3">
      <c r="A93" s="127"/>
      <c r="X93" s="127"/>
      <c r="AB93" s="12"/>
      <c r="AC93" s="12"/>
      <c r="AD93" s="12"/>
      <c r="AZ93" s="144"/>
    </row>
    <row r="94" spans="1:52" x14ac:dyDescent="0.3">
      <c r="A94" s="127"/>
      <c r="X94" s="127"/>
      <c r="AB94" s="12"/>
      <c r="AC94" s="12"/>
      <c r="AD94" s="12"/>
      <c r="AZ94" s="144"/>
    </row>
    <row r="95" spans="1:52" x14ac:dyDescent="0.3">
      <c r="A95" s="127"/>
      <c r="X95" s="127"/>
      <c r="AB95" s="12"/>
      <c r="AC95" s="12"/>
      <c r="AD95" s="12"/>
      <c r="AZ95" s="144"/>
    </row>
    <row r="96" spans="1:52" x14ac:dyDescent="0.3">
      <c r="A96" s="127"/>
      <c r="X96" s="127"/>
      <c r="AB96" s="12"/>
      <c r="AC96" s="12"/>
      <c r="AD96" s="12"/>
      <c r="AZ96" s="144"/>
    </row>
    <row r="97" spans="1:52" x14ac:dyDescent="0.3">
      <c r="A97" s="127"/>
      <c r="X97" s="127"/>
      <c r="AB97" s="12"/>
      <c r="AC97" s="12"/>
      <c r="AD97" s="12"/>
      <c r="AZ97" s="144"/>
    </row>
    <row r="98" spans="1:52" x14ac:dyDescent="0.3">
      <c r="A98" s="127"/>
      <c r="X98" s="127"/>
      <c r="AB98" s="12"/>
      <c r="AC98" s="12"/>
      <c r="AD98" s="12"/>
      <c r="AZ98" s="144"/>
    </row>
    <row r="99" spans="1:52" x14ac:dyDescent="0.3">
      <c r="A99" s="127"/>
      <c r="X99" s="127"/>
      <c r="AB99" s="12"/>
      <c r="AC99" s="12"/>
      <c r="AD99" s="12"/>
      <c r="AZ99" s="144"/>
    </row>
    <row r="100" spans="1:52" x14ac:dyDescent="0.3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36"/>
      <c r="AC100" s="136"/>
      <c r="AD100" s="136"/>
      <c r="AE100" s="127"/>
      <c r="AF100" s="127"/>
      <c r="AG100" s="127"/>
      <c r="AH100" s="127"/>
      <c r="AI100" s="127"/>
      <c r="AZ100" s="144"/>
    </row>
    <row r="101" spans="1:52" x14ac:dyDescent="0.3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36"/>
      <c r="AC101" s="136"/>
      <c r="AD101" s="136"/>
      <c r="AE101" s="127"/>
      <c r="AF101" s="127"/>
      <c r="AG101" s="127"/>
      <c r="AH101" s="127"/>
      <c r="AI101" s="127"/>
      <c r="AZ101" s="144"/>
    </row>
    <row r="102" spans="1:52" s="29" customFormat="1" x14ac:dyDescent="0.3">
      <c r="A102" s="127"/>
      <c r="AB102" s="12"/>
      <c r="AC102" s="12"/>
      <c r="AD102" s="12"/>
      <c r="AI102" s="127"/>
    </row>
    <row r="103" spans="1:52" s="29" customFormat="1" x14ac:dyDescent="0.3">
      <c r="A103" s="127"/>
      <c r="AB103" s="12"/>
      <c r="AC103" s="12"/>
      <c r="AD103" s="12"/>
      <c r="AI103" s="127"/>
    </row>
    <row r="104" spans="1:52" s="29" customFormat="1" x14ac:dyDescent="0.3">
      <c r="A104" s="127"/>
      <c r="C104" s="29">
        <v>1</v>
      </c>
      <c r="D104" s="29">
        <f>Information!P26/Information!J26</f>
        <v>1.1011183597390495</v>
      </c>
      <c r="AB104" s="12"/>
      <c r="AC104" s="12"/>
      <c r="AD104" s="12"/>
      <c r="AI104" s="127"/>
    </row>
    <row r="105" spans="1:52" s="29" customFormat="1" x14ac:dyDescent="0.3">
      <c r="A105" s="127"/>
      <c r="C105" s="29">
        <v>800</v>
      </c>
      <c r="D105" s="29">
        <f>Information!P26/Information!J26</f>
        <v>1.1011183597390495</v>
      </c>
      <c r="AB105" s="12"/>
      <c r="AC105" s="12"/>
      <c r="AD105" s="12"/>
      <c r="AI105" s="127"/>
    </row>
    <row r="106" spans="1:52" s="29" customFormat="1" x14ac:dyDescent="0.3">
      <c r="A106" s="127"/>
      <c r="AB106" s="12"/>
      <c r="AC106" s="12"/>
      <c r="AD106" s="12"/>
      <c r="AI106" s="127"/>
    </row>
    <row r="107" spans="1:52" s="29" customFormat="1" x14ac:dyDescent="0.3">
      <c r="A107" s="127"/>
      <c r="AB107" s="12"/>
      <c r="AC107" s="12"/>
      <c r="AD107" s="12"/>
      <c r="AI107" s="127"/>
    </row>
    <row r="108" spans="1:52" s="29" customFormat="1" x14ac:dyDescent="0.3">
      <c r="A108" s="127"/>
      <c r="AB108" s="12"/>
      <c r="AC108" s="12"/>
      <c r="AD108" s="12"/>
      <c r="AI108" s="127"/>
    </row>
    <row r="109" spans="1:52" s="29" customFormat="1" x14ac:dyDescent="0.3">
      <c r="A109" s="127"/>
      <c r="AB109" s="12"/>
      <c r="AC109" s="12"/>
      <c r="AD109" s="12"/>
      <c r="AI109" s="127"/>
    </row>
    <row r="110" spans="1:52" s="29" customFormat="1" x14ac:dyDescent="0.3">
      <c r="A110" s="127"/>
      <c r="AB110" s="12"/>
      <c r="AC110" s="12"/>
      <c r="AD110" s="12"/>
      <c r="AI110" s="127"/>
    </row>
    <row r="111" spans="1:52" s="29" customFormat="1" x14ac:dyDescent="0.3">
      <c r="A111" s="127"/>
      <c r="AB111" s="12"/>
      <c r="AC111" s="12"/>
      <c r="AD111" s="12"/>
      <c r="AI111" s="127"/>
    </row>
    <row r="112" spans="1:52" s="29" customFormat="1" x14ac:dyDescent="0.3">
      <c r="A112" s="127"/>
      <c r="AB112" s="12"/>
      <c r="AC112" s="12"/>
      <c r="AD112" s="12"/>
      <c r="AI112" s="127"/>
    </row>
    <row r="113" spans="1:45" s="29" customFormat="1" x14ac:dyDescent="0.3">
      <c r="A113" s="127"/>
      <c r="AB113" s="12"/>
      <c r="AC113" s="12"/>
      <c r="AD113" s="12"/>
      <c r="AI113" s="127"/>
    </row>
    <row r="114" spans="1:45" s="29" customFormat="1" x14ac:dyDescent="0.3">
      <c r="A114" s="127"/>
      <c r="AB114" s="12"/>
      <c r="AC114" s="12"/>
      <c r="AD114" s="12"/>
      <c r="AI114" s="127"/>
    </row>
    <row r="115" spans="1:45" s="29" customFormat="1" x14ac:dyDescent="0.3">
      <c r="A115" s="127"/>
      <c r="AB115" s="12"/>
      <c r="AC115" s="12"/>
      <c r="AD115" s="12"/>
      <c r="AI115" s="127"/>
    </row>
    <row r="116" spans="1:45" s="29" customFormat="1" x14ac:dyDescent="0.3">
      <c r="A116" s="127"/>
      <c r="AB116" s="12"/>
      <c r="AC116" s="12"/>
      <c r="AD116" s="12"/>
      <c r="AI116" s="127"/>
    </row>
    <row r="117" spans="1:45" s="29" customFormat="1" x14ac:dyDescent="0.3">
      <c r="A117" s="127"/>
      <c r="AB117" s="12"/>
      <c r="AC117" s="12"/>
      <c r="AD117" s="12"/>
      <c r="AI117" s="127"/>
    </row>
    <row r="118" spans="1:45" s="29" customFormat="1" x14ac:dyDescent="0.3">
      <c r="A118" s="127"/>
      <c r="AB118" s="12"/>
      <c r="AC118" s="12"/>
      <c r="AD118" s="12"/>
      <c r="AI118" s="127"/>
    </row>
    <row r="119" spans="1:45" s="29" customFormat="1" x14ac:dyDescent="0.3">
      <c r="A119" s="127"/>
      <c r="AB119" s="12"/>
      <c r="AC119" s="12"/>
      <c r="AD119" s="12"/>
      <c r="AI119" s="127"/>
    </row>
    <row r="120" spans="1:45" s="29" customFormat="1" x14ac:dyDescent="0.3">
      <c r="A120" s="127"/>
      <c r="AB120" s="12"/>
      <c r="AC120" s="12"/>
      <c r="AD120" s="12"/>
      <c r="AI120" s="127"/>
    </row>
    <row r="121" spans="1:45" s="29" customFormat="1" x14ac:dyDescent="0.3">
      <c r="A121" s="127"/>
      <c r="AB121" s="12"/>
      <c r="AC121" s="12"/>
      <c r="AD121" s="12"/>
      <c r="AI121" s="127"/>
    </row>
    <row r="122" spans="1:45" s="29" customFormat="1" x14ac:dyDescent="0.3">
      <c r="A122" s="127"/>
      <c r="AB122" s="12"/>
      <c r="AC122" s="12"/>
      <c r="AD122" s="12"/>
      <c r="AI122" s="127"/>
    </row>
    <row r="123" spans="1:45" s="29" customFormat="1" x14ac:dyDescent="0.3">
      <c r="A123" s="127"/>
      <c r="AB123" s="12"/>
      <c r="AC123" s="12"/>
      <c r="AD123" s="12"/>
      <c r="AI123" s="127"/>
    </row>
    <row r="124" spans="1:45" s="29" customFormat="1" x14ac:dyDescent="0.3">
      <c r="A124" s="127"/>
      <c r="AB124" s="12"/>
      <c r="AC124" s="12"/>
      <c r="AD124" s="12"/>
      <c r="AI124" s="127"/>
    </row>
    <row r="125" spans="1:45" s="29" customFormat="1" x14ac:dyDescent="0.3">
      <c r="A125" s="127"/>
      <c r="AB125" s="12"/>
      <c r="AC125" s="12"/>
      <c r="AD125" s="12"/>
      <c r="AI125" s="127"/>
    </row>
    <row r="126" spans="1:45" s="29" customFormat="1" x14ac:dyDescent="0.3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36"/>
      <c r="AC126" s="136"/>
      <c r="AD126" s="136"/>
      <c r="AE126" s="127"/>
      <c r="AF126" s="127"/>
      <c r="AG126" s="127"/>
      <c r="AH126" s="127"/>
      <c r="AI126" s="127"/>
    </row>
    <row r="127" spans="1:45" s="29" customFormat="1" x14ac:dyDescent="0.3">
      <c r="AB127" s="12"/>
      <c r="AC127" s="12"/>
      <c r="AD127" s="12"/>
    </row>
    <row r="128" spans="1:45" x14ac:dyDescent="0.3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36"/>
      <c r="AC128" s="136"/>
      <c r="AD128" s="136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</row>
    <row r="129" spans="1:45" x14ac:dyDescent="0.3">
      <c r="A129" s="127"/>
      <c r="AF129" s="150"/>
      <c r="AS129" s="127"/>
    </row>
    <row r="130" spans="1:45" x14ac:dyDescent="0.3">
      <c r="A130" s="127"/>
      <c r="B130">
        <v>0</v>
      </c>
      <c r="C130" s="23">
        <f>Information!AN26/Information!J26</f>
        <v>7.5023299161230197E-2</v>
      </c>
      <c r="AF130" s="150"/>
      <c r="AS130" s="127"/>
    </row>
    <row r="131" spans="1:45" x14ac:dyDescent="0.3">
      <c r="A131" s="127"/>
      <c r="B131">
        <v>800</v>
      </c>
      <c r="C131" s="23">
        <f>C130</f>
        <v>7.5023299161230197E-2</v>
      </c>
      <c r="W131">
        <v>0</v>
      </c>
      <c r="X131">
        <f>Information!V26/Information!J26</f>
        <v>0.53401677539608572</v>
      </c>
      <c r="AF131" s="150"/>
      <c r="AS131" s="127"/>
    </row>
    <row r="132" spans="1:45" x14ac:dyDescent="0.3">
      <c r="A132" s="127"/>
      <c r="W132">
        <v>550</v>
      </c>
      <c r="X132">
        <f>X131</f>
        <v>0.53401677539608572</v>
      </c>
      <c r="AF132" s="150"/>
      <c r="AS132" s="127"/>
    </row>
    <row r="133" spans="1:45" x14ac:dyDescent="0.3">
      <c r="A133" s="127"/>
      <c r="AF133" s="150"/>
      <c r="AS133" s="127"/>
    </row>
    <row r="134" spans="1:45" x14ac:dyDescent="0.3">
      <c r="A134" s="127"/>
      <c r="AF134" s="150"/>
      <c r="AS134" s="127"/>
    </row>
    <row r="135" spans="1:45" x14ac:dyDescent="0.3">
      <c r="A135" s="127"/>
      <c r="AF135" s="150"/>
      <c r="AS135" s="127"/>
    </row>
    <row r="136" spans="1:45" x14ac:dyDescent="0.3">
      <c r="A136" s="127"/>
      <c r="AF136" s="150"/>
      <c r="AS136" s="127"/>
    </row>
    <row r="137" spans="1:45" x14ac:dyDescent="0.3">
      <c r="A137" s="127"/>
      <c r="AF137" s="150"/>
      <c r="AS137" s="127"/>
    </row>
    <row r="138" spans="1:45" x14ac:dyDescent="0.3">
      <c r="A138" s="127"/>
      <c r="AF138" s="150"/>
      <c r="AS138" s="127"/>
    </row>
    <row r="139" spans="1:45" x14ac:dyDescent="0.3">
      <c r="A139" s="127"/>
      <c r="AF139" s="150"/>
      <c r="AS139" s="127"/>
    </row>
    <row r="140" spans="1:45" x14ac:dyDescent="0.3">
      <c r="A140" s="127"/>
      <c r="AF140" s="150"/>
      <c r="AS140" s="127"/>
    </row>
    <row r="141" spans="1:45" x14ac:dyDescent="0.3">
      <c r="A141" s="127"/>
      <c r="AF141" s="150"/>
      <c r="AS141" s="127"/>
    </row>
    <row r="142" spans="1:45" x14ac:dyDescent="0.3">
      <c r="A142" s="127"/>
      <c r="AF142" s="150"/>
      <c r="AS142" s="127"/>
    </row>
    <row r="143" spans="1:45" x14ac:dyDescent="0.3">
      <c r="A143" s="127"/>
      <c r="AF143" s="150"/>
      <c r="AS143" s="127"/>
    </row>
    <row r="144" spans="1:45" x14ac:dyDescent="0.3">
      <c r="A144" s="127"/>
      <c r="AF144" s="150"/>
      <c r="AS144" s="127"/>
    </row>
    <row r="145" spans="1:45" x14ac:dyDescent="0.3">
      <c r="A145" s="127"/>
      <c r="AF145" s="150"/>
      <c r="AS145" s="127"/>
    </row>
    <row r="146" spans="1:45" x14ac:dyDescent="0.3">
      <c r="A146" s="127"/>
      <c r="AF146" s="150"/>
      <c r="AS146" s="127"/>
    </row>
    <row r="147" spans="1:45" x14ac:dyDescent="0.3">
      <c r="A147" s="127"/>
      <c r="AF147" s="150"/>
      <c r="AS147" s="127"/>
    </row>
    <row r="148" spans="1:45" x14ac:dyDescent="0.3">
      <c r="A148" s="127"/>
      <c r="AF148" s="150"/>
      <c r="AS148" s="127"/>
    </row>
    <row r="149" spans="1:45" x14ac:dyDescent="0.3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</row>
    <row r="152" spans="1:45" ht="18" x14ac:dyDescent="0.35">
      <c r="A152" s="146" t="s">
        <v>240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36"/>
      <c r="U152" s="136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</row>
    <row r="153" spans="1:45" x14ac:dyDescent="0.3">
      <c r="A153" s="127"/>
      <c r="T153" s="12"/>
      <c r="U153" s="12"/>
    </row>
    <row r="154" spans="1:45" x14ac:dyDescent="0.3">
      <c r="A154" s="127"/>
      <c r="T154" s="12"/>
      <c r="U154" s="12"/>
    </row>
    <row r="155" spans="1:45" x14ac:dyDescent="0.3">
      <c r="A155" s="127"/>
      <c r="AD155" s="30"/>
    </row>
    <row r="156" spans="1:45" x14ac:dyDescent="0.3">
      <c r="A156" s="127"/>
      <c r="AD156" s="30"/>
    </row>
    <row r="157" spans="1:45" x14ac:dyDescent="0.3">
      <c r="A157" s="140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4"/>
      <c r="S157" s="12"/>
      <c r="AD157" s="30"/>
    </row>
    <row r="158" spans="1:45" x14ac:dyDescent="0.3">
      <c r="A158" s="140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4"/>
      <c r="S158" s="12"/>
      <c r="AD158" s="30"/>
    </row>
    <row r="159" spans="1:45" x14ac:dyDescent="0.3">
      <c r="A159" s="140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4"/>
      <c r="S159" s="12"/>
      <c r="AD159" s="30"/>
    </row>
    <row r="160" spans="1:45" x14ac:dyDescent="0.3">
      <c r="A160" s="140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4"/>
      <c r="S160" s="12"/>
      <c r="AD160" s="30"/>
    </row>
    <row r="161" spans="1:45" x14ac:dyDescent="0.3">
      <c r="A161" s="140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4"/>
      <c r="S161" s="12"/>
      <c r="AD161" s="30"/>
    </row>
    <row r="162" spans="1:45" x14ac:dyDescent="0.3">
      <c r="A162" s="140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4"/>
      <c r="S162" s="12"/>
      <c r="AD162" s="30"/>
    </row>
    <row r="163" spans="1:45" x14ac:dyDescent="0.3">
      <c r="A163" s="140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4"/>
      <c r="S163" s="12"/>
      <c r="AD163" s="30"/>
    </row>
    <row r="164" spans="1:45" x14ac:dyDescent="0.3">
      <c r="A164" s="140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4"/>
      <c r="S164" s="12"/>
      <c r="AD164" s="30"/>
    </row>
    <row r="165" spans="1:45" x14ac:dyDescent="0.3">
      <c r="A165" s="140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4"/>
      <c r="S165" s="12"/>
      <c r="AD165" s="30"/>
    </row>
    <row r="166" spans="1:45" x14ac:dyDescent="0.3">
      <c r="A166" s="140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4"/>
      <c r="S166" s="12"/>
      <c r="AD166" s="30"/>
    </row>
    <row r="167" spans="1:45" x14ac:dyDescent="0.3">
      <c r="A167" s="140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4"/>
      <c r="S167" s="12"/>
      <c r="AD167" s="30"/>
    </row>
    <row r="168" spans="1:45" x14ac:dyDescent="0.3">
      <c r="A168" s="140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4"/>
      <c r="S168" s="12"/>
      <c r="AD168" s="30"/>
    </row>
    <row r="169" spans="1:45" x14ac:dyDescent="0.3">
      <c r="A169" s="140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4"/>
      <c r="S169" s="12"/>
      <c r="AD169" s="30"/>
    </row>
    <row r="170" spans="1:45" x14ac:dyDescent="0.3">
      <c r="A170" s="140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4"/>
      <c r="S170" s="12"/>
      <c r="AD170" s="30"/>
    </row>
    <row r="171" spans="1:45" x14ac:dyDescent="0.3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1"/>
      <c r="S171" s="136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</row>
    <row r="172" spans="1:45" ht="15.6" x14ac:dyDescent="0.3">
      <c r="B172" s="40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4"/>
      <c r="S172" s="12"/>
    </row>
    <row r="173" spans="1:45" s="29" customFormat="1" ht="15.6" x14ac:dyDescent="0.3">
      <c r="A173" s="147"/>
      <c r="B173" s="147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1"/>
      <c r="S173" s="136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</row>
    <row r="174" spans="1:45" ht="18" hidden="1" customHeight="1" x14ac:dyDescent="0.35">
      <c r="A174" s="340" t="s">
        <v>168</v>
      </c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W174" s="340"/>
      <c r="X174" s="29"/>
      <c r="Y174" s="29"/>
      <c r="AD174" s="127"/>
    </row>
    <row r="175" spans="1:45" s="29" customFormat="1" ht="15.6" hidden="1" customHeight="1" x14ac:dyDescent="0.3">
      <c r="C175" s="343" t="s">
        <v>41</v>
      </c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5"/>
      <c r="O175" s="346" t="s">
        <v>42</v>
      </c>
      <c r="P175" s="347"/>
      <c r="Q175" s="347"/>
      <c r="R175" s="347"/>
      <c r="S175" s="81"/>
      <c r="T175" s="337" t="s">
        <v>176</v>
      </c>
      <c r="U175" s="338"/>
      <c r="V175" s="338"/>
      <c r="W175" s="338"/>
      <c r="X175" s="338"/>
      <c r="Y175" s="339"/>
      <c r="AD175" s="127"/>
    </row>
    <row r="176" spans="1:45" ht="15.6" hidden="1" customHeight="1" x14ac:dyDescent="0.35">
      <c r="A176" s="29"/>
      <c r="C176" s="139" t="s">
        <v>26</v>
      </c>
      <c r="D176" s="139" t="s">
        <v>27</v>
      </c>
      <c r="E176" s="139" t="s">
        <v>40</v>
      </c>
      <c r="F176" s="139" t="s">
        <v>25</v>
      </c>
      <c r="G176" s="139" t="s">
        <v>204</v>
      </c>
      <c r="H176" s="139" t="s">
        <v>167</v>
      </c>
      <c r="I176" s="139" t="s">
        <v>169</v>
      </c>
      <c r="J176" s="139" t="s">
        <v>170</v>
      </c>
      <c r="K176" s="139" t="s">
        <v>171</v>
      </c>
      <c r="L176" s="139" t="s">
        <v>50</v>
      </c>
      <c r="M176" s="139" t="s">
        <v>172</v>
      </c>
      <c r="N176" s="139" t="s">
        <v>173</v>
      </c>
      <c r="O176" s="45" t="s">
        <v>43</v>
      </c>
      <c r="P176" s="45" t="s">
        <v>44</v>
      </c>
      <c r="Q176" s="45" t="s">
        <v>45</v>
      </c>
      <c r="R176" s="45" t="s">
        <v>49</v>
      </c>
      <c r="S176" s="45" t="s">
        <v>51</v>
      </c>
      <c r="T176" s="138" t="s">
        <v>178</v>
      </c>
      <c r="U176" s="138" t="s">
        <v>179</v>
      </c>
      <c r="V176" s="138" t="s">
        <v>177</v>
      </c>
      <c r="W176" s="138" t="s">
        <v>180</v>
      </c>
      <c r="X176" s="138" t="s">
        <v>211</v>
      </c>
      <c r="Y176" s="138" t="s">
        <v>212</v>
      </c>
      <c r="Z176" s="122" t="s">
        <v>213</v>
      </c>
      <c r="AD176" s="127"/>
    </row>
    <row r="177" spans="1:30" ht="14.4" hidden="1" customHeight="1" x14ac:dyDescent="0.35">
      <c r="A177" s="348" t="s">
        <v>46</v>
      </c>
      <c r="B177" s="43" t="s">
        <v>181</v>
      </c>
      <c r="C177" s="85">
        <f>AVERAGE(SSBR[ARE (%)])</f>
        <v>0.87266191228428058</v>
      </c>
      <c r="D177" s="85">
        <f>AVERAGE(SSBR[NRE (%)])</f>
        <v>0.8453314880335242</v>
      </c>
      <c r="E177" s="86" t="e">
        <f>AVERAGE(#REF!)</f>
        <v>#REF!</v>
      </c>
      <c r="F177" s="86" t="e">
        <f>AVERAGE(#REF!)</f>
        <v>#REF!</v>
      </c>
      <c r="G177" s="87">
        <f>AVERAGE(SSBR[OLR (kg COD m-3 d-1)])</f>
        <v>1.3866768295454543</v>
      </c>
      <c r="H177" s="87">
        <f>AVERAGE(SSBR[ORR (kg COD m-3 d-1)])</f>
        <v>0.65044221477272735</v>
      </c>
      <c r="I177" s="82">
        <f>AVERAGE(SSBR[NH4-N (mg L-1)])</f>
        <v>163.15227272727276</v>
      </c>
      <c r="J177" s="82">
        <f>AVERAGE(SSBR[NO2-N (mg L-1)])</f>
        <v>23.765727272727272</v>
      </c>
      <c r="K177" s="82">
        <f>AVERAGE(SSBR[NO2-N (mg L-1)])</f>
        <v>23.765727272727272</v>
      </c>
      <c r="L177" s="87">
        <f>AVERAGE(SSBR[SAA (g N g VSS-1 d-1)])</f>
        <v>4.3457142857142861E-2</v>
      </c>
      <c r="M177" s="85">
        <f>AVERAGE(SSBR[NO3-N/ NH4-N])</f>
        <v>1.1154411872550932E-2</v>
      </c>
      <c r="N177" s="82">
        <f>AVERAGE(SSBR[NO2-N/ NH4-N])</f>
        <v>0.15296445337869449</v>
      </c>
      <c r="O177" s="82">
        <f>AVERAGE(SSBR[pHreactor])</f>
        <v>6.8566766403781623</v>
      </c>
      <c r="P177" s="82">
        <f>AVERAGE(SSBR[Temp. (°C)])</f>
        <v>23.916290001306177</v>
      </c>
      <c r="Q177" s="83">
        <f>AVERAGE(SSBR[HRT (h)])</f>
        <v>87.192148368278254</v>
      </c>
      <c r="R177" s="86">
        <f>AVERAGE(SSBR[DO (mg L-1)])</f>
        <v>0.16700451588940826</v>
      </c>
      <c r="S177" s="82">
        <f>Q177/24</f>
        <v>3.6330061820115938</v>
      </c>
      <c r="T177" s="82">
        <f>AVERAGE(Influent[NH4-N (mg L-1)])</f>
        <v>1298.646666666667</v>
      </c>
      <c r="U177" s="82">
        <f>AVERAGE(Influent[COD (mg L-1)])</f>
        <v>2692.9861111111113</v>
      </c>
      <c r="V177" s="82">
        <f>AVERAGE(Influent[sC/ N ])</f>
        <v>1.8355491870958116</v>
      </c>
      <c r="W177" s="82">
        <f>AVERAGE(Influent[Temperature (°C)])</f>
        <v>22.695167258378433</v>
      </c>
      <c r="X177" s="82">
        <f>AVERAGE(Influent[TSS (mg L-1)])</f>
        <v>331.59999999999997</v>
      </c>
      <c r="Y177" s="82">
        <f>AVERAGE(Influent[VSS (mg L-1)])</f>
        <v>116.26530612244898</v>
      </c>
      <c r="Z177" s="82">
        <f>AVERAGE(Influent[Alkalinity (mg CaCO3 L-1) ])</f>
        <v>4725.8666666666668</v>
      </c>
      <c r="AD177" s="127"/>
    </row>
    <row r="178" spans="1:30" s="29" customFormat="1" ht="14.4" hidden="1" customHeight="1" x14ac:dyDescent="0.35">
      <c r="A178" s="349"/>
      <c r="B178" s="43" t="s">
        <v>182</v>
      </c>
      <c r="C178" s="85">
        <f>MEDIAN(SSBR[ARE (%)])</f>
        <v>0.88188257146801163</v>
      </c>
      <c r="D178" s="85">
        <f>MEDIAN(SSBR[NRE (%)])</f>
        <v>0.85169162019846845</v>
      </c>
      <c r="E178" s="86" t="e">
        <f>MEDIAN(#REF!)</f>
        <v>#REF!</v>
      </c>
      <c r="F178" s="86" t="e">
        <f>MEDIAN(#REF!)</f>
        <v>#REF!</v>
      </c>
      <c r="G178" s="87">
        <f>MEDIAN(SSBR[OLR (kg COD m-3 d-1)])</f>
        <v>1.0782750000000001</v>
      </c>
      <c r="H178" s="87">
        <f>MEDIAN(SSBR[ORR (kg COD m-3 d-1)])</f>
        <v>0.46755299999999989</v>
      </c>
      <c r="I178" s="82">
        <f>MEDIAN(SSBR[NH4-N (mg L-1)])</f>
        <v>153.33499999999998</v>
      </c>
      <c r="J178" s="82">
        <f>MEDIAN(SSBR[NO2-N (mg L-1)])</f>
        <v>24.209499999999998</v>
      </c>
      <c r="K178" s="82">
        <f>MEDIAN(SSBR[NO2-N (mg L-1)])</f>
        <v>24.209499999999998</v>
      </c>
      <c r="L178" s="87">
        <f>MEDIAN(SSBR[SAA (g N g VSS-1 d-1)])</f>
        <v>4.5999999999999999E-2</v>
      </c>
      <c r="M178" s="85">
        <f>MEDIAN(SSBR[NO3-N/ NH4-N])</f>
        <v>9.0456131473775694E-3</v>
      </c>
      <c r="N178" s="82">
        <f>MEDIAN(SSBR[NO2-N/ NH4-N])</f>
        <v>0.16088944346624362</v>
      </c>
      <c r="O178" s="82">
        <f>MEDIAN(SSBR[pHreactor])</f>
        <v>6.8149094007310405</v>
      </c>
      <c r="P178" s="82">
        <f>MEDIAN(SSBR[Temp. (°C)])</f>
        <v>23.590937499999999</v>
      </c>
      <c r="Q178" s="83">
        <f>MEDIAN(SSBR[HRT (h)])</f>
        <v>38.685624119027516</v>
      </c>
      <c r="R178" s="86">
        <f>MEDIAN(SSBR[DO (mg L-1)])</f>
        <v>0.16786259541984772</v>
      </c>
      <c r="S178" s="82"/>
      <c r="T178" s="82">
        <f>MEDIAN(Influent[NH4-N (mg L-1)])</f>
        <v>1289.3</v>
      </c>
      <c r="U178" s="82">
        <f>MEDIAN(Influent[COD (mg L-1)])</f>
        <v>2740</v>
      </c>
      <c r="V178" s="82">
        <f>MEDIAN(Influent[sC/ N ])</f>
        <v>1.7997899772074795</v>
      </c>
      <c r="W178" s="82">
        <f>MEDIAN(Influent[Temperature (°C)])</f>
        <v>23.110892493457523</v>
      </c>
      <c r="X178" s="82">
        <f>MEDIAN(Influent[TSS (mg L-1)])</f>
        <v>224</v>
      </c>
      <c r="Y178" s="82">
        <f>MEDIAN(Influent[VSS (mg L-1)])</f>
        <v>78</v>
      </c>
      <c r="AD178" s="127"/>
    </row>
    <row r="179" spans="1:30" ht="14.4" hidden="1" customHeight="1" x14ac:dyDescent="0.3">
      <c r="A179" s="349"/>
      <c r="B179" s="44" t="s">
        <v>185</v>
      </c>
      <c r="C179" s="85">
        <f>_xlfn.STDEV.P(SSBR[ARE (%)])</f>
        <v>6.2513915277903689E-2</v>
      </c>
      <c r="D179" s="85">
        <f>_xlfn.STDEV.P(SSBR[NRE (%)])</f>
        <v>6.0622790254460941E-2</v>
      </c>
      <c r="E179" s="86" t="e">
        <f>_xlfn.STDEV.P(#REF!)</f>
        <v>#REF!</v>
      </c>
      <c r="F179" s="86" t="e">
        <f>_xlfn.STDEV.P(#REF!)</f>
        <v>#REF!</v>
      </c>
      <c r="G179" s="87">
        <f>_xlfn.STDEV.P(SSBR[OLR (kg COD m-3 d-1)])</f>
        <v>0.72644622082561661</v>
      </c>
      <c r="H179" s="87">
        <f>_xlfn.STDEV.P(SSBR[ORR (kg COD m-3 d-1)])</f>
        <v>0.51043353792355617</v>
      </c>
      <c r="I179" s="82">
        <f>_xlfn.STDEV.P(SSBR[NH4-N (mg L-1)])</f>
        <v>50.212193550952776</v>
      </c>
      <c r="J179" s="82">
        <f>_xlfn.STDEV.P(SSBR[NO2-N (mg L-1)])</f>
        <v>18.387302956565673</v>
      </c>
      <c r="K179" s="82">
        <f>_xlfn.STDEV.P(SSBR[NO3-N (mg L-1)])</f>
        <v>13.502330647666163</v>
      </c>
      <c r="L179" s="87">
        <f>_xlfn.STDEV.P(SSBR[SAA (g N g VSS-1 d-1)])</f>
        <v>1.5321213784708267E-2</v>
      </c>
      <c r="M179" s="85">
        <f>_xlfn.STDEV.P(SSBR[NO3-N/ NH4-N])</f>
        <v>1.1317244766169774E-2</v>
      </c>
      <c r="N179" s="82">
        <f>_xlfn.STDEV.P(SSBR[NO2-N/ NH4-N])</f>
        <v>0.11684309298896135</v>
      </c>
      <c r="O179" s="82">
        <f>_xlfn.STDEV.P(SSBR[pHreactor])</f>
        <v>0.10172856610376355</v>
      </c>
      <c r="P179" s="82">
        <f>_xlfn.STDEV.P(SSBR[Temp. (°C)])</f>
        <v>2.0457538356191991</v>
      </c>
      <c r="Q179" s="83">
        <f>_xlfn.STDEV.P(SSBR[HRT (h)])</f>
        <v>239.64861842309995</v>
      </c>
      <c r="R179" s="86">
        <f>_xlfn.STDEV.P(SSBR[DO (mg L-1)])</f>
        <v>4.5883565938306954E-2</v>
      </c>
      <c r="S179" s="82">
        <f>Q179/24</f>
        <v>9.9853591009624978</v>
      </c>
      <c r="T179" s="82">
        <f>_xlfn.STDEV.P(Influent[NH4-N (mg L-1)])</f>
        <v>119.21767860328248</v>
      </c>
      <c r="U179" s="82">
        <f>_xlfn.STDEV.P(Influent[COD (mg L-1)])</f>
        <v>584.930943052624</v>
      </c>
      <c r="V179" s="82">
        <f>_xlfn.STDEV.P(Influent[sC/ N ])</f>
        <v>0.33615129741802091</v>
      </c>
      <c r="W179" s="82">
        <f>_xlfn.STDEV.P(Influent[Temperature (°C)])</f>
        <v>2.4972281097106532</v>
      </c>
      <c r="X179" s="82">
        <f>_xlfn.STDEV.P(Influent[TSS (mg L-1)])</f>
        <v>255.06696808672683</v>
      </c>
      <c r="Y179" s="82">
        <f>_xlfn.STDEV.P(Influent[VSS (mg L-1)])</f>
        <v>108.86853624482127</v>
      </c>
      <c r="AD179" s="127"/>
    </row>
    <row r="180" spans="1:30" s="29" customFormat="1" ht="14.4" hidden="1" customHeight="1" x14ac:dyDescent="0.3">
      <c r="A180" s="349"/>
      <c r="B180" s="44" t="s">
        <v>184</v>
      </c>
      <c r="C180" s="85">
        <f>_xlfn.STDEV.S(SSBR[ARE (%)])</f>
        <v>6.3236643510872131E-2</v>
      </c>
      <c r="D180" s="85">
        <f>_xlfn.STDEV.S(SSBR[NRE (%)])</f>
        <v>6.1323655044059393E-2</v>
      </c>
      <c r="E180" s="86" t="e">
        <f>_xlfn.STDEV.S(#REF!)</f>
        <v>#REF!</v>
      </c>
      <c r="F180" s="86" t="e">
        <f>_xlfn.STDEV.S(#REF!)</f>
        <v>#REF!</v>
      </c>
      <c r="G180" s="87">
        <f>_xlfn.STDEV.S(SSBR[OLR (kg COD m-3 d-1)])</f>
        <v>0.73484472204234452</v>
      </c>
      <c r="H180" s="87">
        <f>_xlfn.STDEV.S(SSBR[ORR (kg COD m-3 d-1)])</f>
        <v>0.5163346997252346</v>
      </c>
      <c r="I180" s="82">
        <f>_xlfn.STDEV.S(SSBR[NH4-N (mg L-1)])</f>
        <v>50.792700622973875</v>
      </c>
      <c r="J180" s="82">
        <f>_xlfn.STDEV.S(SSBR[NO2-N (mg L-1)])</f>
        <v>18.599879995066278</v>
      </c>
      <c r="K180" s="82">
        <f>_xlfn.STDEV.S(SSBR[NO3-N (mg L-1)])</f>
        <v>13.65843214165454</v>
      </c>
      <c r="L180" s="87">
        <f>_xlfn.STDEV.S(SSBR[SAA (g N g VSS-1 d-1)])</f>
        <v>1.6548802287261064E-2</v>
      </c>
      <c r="M180" s="85">
        <f>_xlfn.STDEV.S(SSBR[NO3-N/ NH4-N])</f>
        <v>1.144808431246222E-2</v>
      </c>
      <c r="N180" s="82">
        <f>_xlfn.STDEV.S(SSBR[NO2-N/ NH4-N])</f>
        <v>0.1181939250677886</v>
      </c>
      <c r="O180" s="82">
        <f>_xlfn.STDEV.S(SSBR[pHreactor])</f>
        <v>0.10290465796260405</v>
      </c>
      <c r="P180" s="82">
        <f>_xlfn.STDEV.S(SSBR[Temp. (°C)])</f>
        <v>2.06940495470417</v>
      </c>
      <c r="Q180" s="83">
        <f>_xlfn.STDEV.S(SSBR[HRT (h)])</f>
        <v>242.41921472563993</v>
      </c>
      <c r="R180" s="86">
        <f>_xlfn.STDEV.S(SSBR[DO (mg L-1)])</f>
        <v>4.6414029410087071E-2</v>
      </c>
      <c r="S180" s="82">
        <f>Q180/24</f>
        <v>10.10080061356833</v>
      </c>
      <c r="T180" s="82">
        <f>_xlfn.STDEV.S(Influent[NH4-N (mg L-1)])</f>
        <v>120.02050032472869</v>
      </c>
      <c r="U180" s="82">
        <f>_xlfn.STDEV.S(Influent[COD (mg L-1)])</f>
        <v>589.03577196079709</v>
      </c>
      <c r="V180" s="82">
        <f>_xlfn.STDEV.S(Influent[sC/ N ])</f>
        <v>0.33851028283253887</v>
      </c>
      <c r="W180" s="82">
        <f>_xlfn.STDEV.S(Influent[Temperature (°C)])</f>
        <v>2.5155230657188015</v>
      </c>
      <c r="X180" s="82">
        <f>_xlfn.STDEV.S(Influent[TSS (mg L-1)])</f>
        <v>256.99202911822601</v>
      </c>
      <c r="Y180" s="82">
        <f>_xlfn.STDEV.S(Influent[VSS (mg L-1)])</f>
        <v>109.99673773764916</v>
      </c>
      <c r="AD180" s="127"/>
    </row>
    <row r="181" spans="1:30" s="29" customFormat="1" ht="14.4" hidden="1" customHeight="1" x14ac:dyDescent="0.3">
      <c r="A181" s="349"/>
      <c r="B181" s="44" t="s">
        <v>187</v>
      </c>
      <c r="C181" s="85">
        <f>_xlfn.VAR.P(SSBR[ARE (%)])</f>
        <v>3.9079896033729199E-3</v>
      </c>
      <c r="D181" s="85">
        <f>_xlfn.VAR.P(SSBR[NRE (%)])</f>
        <v>3.6751226982363644E-3</v>
      </c>
      <c r="E181" s="86" t="e">
        <f>_xlfn.VAR.P(#REF!)</f>
        <v>#REF!</v>
      </c>
      <c r="F181" s="86" t="e">
        <f>_xlfn.VAR.P(#REF!)</f>
        <v>#REF!</v>
      </c>
      <c r="G181" s="87">
        <f>_xlfn.VAR.P(SSBR[OLR (kg COD m-3 d-1)])</f>
        <v>0.52772411175182055</v>
      </c>
      <c r="H181" s="87">
        <f>_xlfn.VAR.P(SSBR[ORR (kg COD m-3 d-1)])</f>
        <v>0.2605423966371585</v>
      </c>
      <c r="I181" s="82">
        <f>_xlfn.VAR.P(SSBR[NH4-N (mg L-1)])</f>
        <v>2521.2643811983435</v>
      </c>
      <c r="J181" s="82">
        <f>_xlfn.VAR.P(SSBR[NO2-N (mg L-1)])</f>
        <v>338.09291001652872</v>
      </c>
      <c r="K181" s="82">
        <f>_xlfn.VAR.P(SSBR[NO3-N (mg L-1)])</f>
        <v>182.31293291890495</v>
      </c>
      <c r="L181" s="87">
        <f>_xlfn.VAR.P(SSBR[SAA (g N g VSS-1 d-1)])</f>
        <v>2.3473959183673463E-4</v>
      </c>
      <c r="M181" s="85">
        <f>_xlfn.VAR.P(SSBR[NO3-N/ NH4-N])</f>
        <v>1.2808002909739713E-4</v>
      </c>
      <c r="N181" s="82">
        <f>_xlfn.VAR.P(SSBR[NO2-N/ NH4-N])</f>
        <v>1.365230837922707E-2</v>
      </c>
      <c r="O181" s="82">
        <f>_xlfn.VAR.P(SSBR[pHreactor])</f>
        <v>1.0348701161527789E-2</v>
      </c>
      <c r="P181" s="82">
        <f>_xlfn.VAR.P(SSBR[Temp. (°C)])</f>
        <v>4.1851087559506643</v>
      </c>
      <c r="Q181" s="83">
        <f>_xlfn.VAR.P(SSBR[HRT (h)])</f>
        <v>57431.460312100557</v>
      </c>
      <c r="R181" s="86">
        <f>_xlfn.VAR.P(SSBR[DO (mg L-1)])</f>
        <v>2.1053016232149622E-3</v>
      </c>
      <c r="S181" s="82">
        <f>Q181/24</f>
        <v>2392.9775130041899</v>
      </c>
      <c r="T181" s="82">
        <f>_xlfn.VAR.P(Influent[NH4-N (mg L-1)])</f>
        <v>14212.854891555558</v>
      </c>
      <c r="U181" s="82">
        <f>_xlfn.VAR.P(Influent[COD (mg L-1)])</f>
        <v>342144.20814043208</v>
      </c>
      <c r="V181" s="82">
        <f>_xlfn.VAR.P(Influent[sC/ N ])</f>
        <v>0.11299769475581876</v>
      </c>
      <c r="W181" s="82">
        <f>_xlfn.VAR.P(Influent[Temperature (°C)])</f>
        <v>6.2361482319290413</v>
      </c>
      <c r="X181" s="82">
        <f>_xlfn.VAR.P(Influent[TSS (mg L-1)])</f>
        <v>65059.158208955327</v>
      </c>
      <c r="Y181" s="82">
        <f>_xlfn.VAR.P(Influent[VSS (mg L-1)])</f>
        <v>11852.358184089962</v>
      </c>
      <c r="AD181" s="127"/>
    </row>
    <row r="182" spans="1:30" s="29" customFormat="1" ht="14.4" hidden="1" customHeight="1" x14ac:dyDescent="0.3">
      <c r="A182" s="349"/>
      <c r="B182" s="44" t="s">
        <v>186</v>
      </c>
      <c r="C182" s="85">
        <f>_xlfn.VAR.S(SSBR[ARE (%)])</f>
        <v>3.9988730825211271E-3</v>
      </c>
      <c r="D182" s="85">
        <f>_xlfn.VAR.S(SSBR[NRE (%)])</f>
        <v>3.7605906679627913E-3</v>
      </c>
      <c r="E182" s="86" t="e">
        <f>_xlfn.VAR.S(#REF!)</f>
        <v>#REF!</v>
      </c>
      <c r="F182" s="86" t="e">
        <f>_xlfn.VAR.S(#REF!)</f>
        <v>#REF!</v>
      </c>
      <c r="G182" s="87">
        <f>_xlfn.VAR.S(SSBR[OLR (kg COD m-3 d-1)])</f>
        <v>0.53999676551349063</v>
      </c>
      <c r="H182" s="87">
        <f>_xlfn.VAR.S(SSBR[ORR (kg COD m-3 d-1)])</f>
        <v>0.26660152214034821</v>
      </c>
      <c r="I182" s="82">
        <f>_xlfn.VAR.S(SSBR[NH4-N (mg L-1)])</f>
        <v>2579.8984365750507</v>
      </c>
      <c r="J182" s="82">
        <f>_xlfn.VAR.S(SSBR[NO2-N (mg L-1)])</f>
        <v>345.95553583086667</v>
      </c>
      <c r="K182" s="82">
        <f>_xlfn.VAR.S(SSBR[NO3-N (mg L-1)])</f>
        <v>186.55276856818182</v>
      </c>
      <c r="L182" s="87">
        <f>_xlfn.VAR.S(SSBR[SAA (g N g VSS-1 d-1)])</f>
        <v>2.73862857142857E-4</v>
      </c>
      <c r="M182" s="85">
        <f>_xlfn.VAR.S(SSBR[NO3-N/ NH4-N])</f>
        <v>1.310586344252436E-4</v>
      </c>
      <c r="N182" s="82">
        <f>_xlfn.VAR.S(SSBR[NO2-N/ NH4-N])</f>
        <v>1.3969803922930025E-2</v>
      </c>
      <c r="O182" s="82">
        <f>_xlfn.VAR.S(SSBR[pHreactor])</f>
        <v>1.0589368630400529E-2</v>
      </c>
      <c r="P182" s="82">
        <f>_xlfn.VAR.S(SSBR[Temp. (°C)])</f>
        <v>4.2824368665541677</v>
      </c>
      <c r="Q182" s="83">
        <f>_xlfn.VAR.S(SSBR[HRT (h)])</f>
        <v>58767.075668195925</v>
      </c>
      <c r="R182" s="86">
        <f>_xlfn.VAR.S(SSBR[DO (mg L-1)])</f>
        <v>2.1542621260804275E-3</v>
      </c>
      <c r="S182" s="82">
        <f>Q182/24</f>
        <v>2448.628152841497</v>
      </c>
      <c r="T182" s="82">
        <f>_xlfn.VAR.S(Influent[NH4-N (mg L-1)])</f>
        <v>14404.9204981982</v>
      </c>
      <c r="U182" s="82">
        <f>_xlfn.VAR.S(Influent[COD (mg L-1)])</f>
        <v>346963.14064945217</v>
      </c>
      <c r="V182" s="82">
        <f>_xlfn.VAR.S(Influent[sC/ N ])</f>
        <v>0.11458921158336546</v>
      </c>
      <c r="W182" s="82">
        <f>_xlfn.VAR.S(Influent[Temperature (°C)])</f>
        <v>6.3278562941633183</v>
      </c>
      <c r="X182" s="82">
        <f>_xlfn.VAR.S(Influent[TSS (mg L-1)])</f>
        <v>66044.903030303132</v>
      </c>
      <c r="Y182" s="82">
        <f>_xlfn.VAR.S(Influent[VSS (mg L-1)])</f>
        <v>12099.28231292517</v>
      </c>
      <c r="AD182" s="127"/>
    </row>
    <row r="183" spans="1:30" s="29" customFormat="1" ht="14.4" hidden="1" customHeight="1" x14ac:dyDescent="0.3">
      <c r="A183" s="349"/>
      <c r="B183" s="44" t="s">
        <v>208</v>
      </c>
      <c r="C183" s="117">
        <f>COUNT(SSBR[ARE (%)])</f>
        <v>44</v>
      </c>
      <c r="D183" s="117">
        <f>COUNT(SSBR[NRE (%)])</f>
        <v>44</v>
      </c>
      <c r="E183" s="83">
        <f>COUNT(#REF!)</f>
        <v>0</v>
      </c>
      <c r="F183" s="83">
        <f>COUNT(#REF!)</f>
        <v>0</v>
      </c>
      <c r="G183" s="83">
        <f>COUNT(SSBR[OLR (kg COD m-3 d-1)])</f>
        <v>44</v>
      </c>
      <c r="H183" s="83">
        <f>COUNT(SSBR[ORR (kg COD m-3 d-1)])</f>
        <v>44</v>
      </c>
      <c r="I183" s="83">
        <f>COUNT(SSBR[NH4-N (mg L-1)])</f>
        <v>44</v>
      </c>
      <c r="J183" s="83">
        <f>COUNT(SSBR[NO2-N (mg L-1)])</f>
        <v>44</v>
      </c>
      <c r="K183" s="83">
        <f>COUNT(SSBR[NO3-N (mg L-1)])</f>
        <v>44</v>
      </c>
      <c r="L183" s="83">
        <f>COUNT(SSBR[SAA (g N g VSS-1 d-1)])</f>
        <v>7</v>
      </c>
      <c r="M183" s="117">
        <f>COUNT(SSBR[NO3-N/ NH4-N])</f>
        <v>44</v>
      </c>
      <c r="N183" s="83">
        <f>COUNT(SSBR[NO2-N/ NH4-N])</f>
        <v>44</v>
      </c>
      <c r="O183" s="83">
        <f>COUNT(SSBR[pHreactor])</f>
        <v>44</v>
      </c>
      <c r="P183" s="83">
        <f>COUNT(SSBR[Temp. (°C)])</f>
        <v>44</v>
      </c>
      <c r="Q183" s="83">
        <f>COUNT(SSBR[HRT (h)])</f>
        <v>44</v>
      </c>
      <c r="R183" s="83">
        <f>COUNT(SSBR[DO (mg L-1)])</f>
        <v>44</v>
      </c>
      <c r="S183" s="83">
        <f>Q183/24</f>
        <v>1.8333333333333333</v>
      </c>
      <c r="T183" s="83">
        <f>COUNT(Influent[NH4-N (mg L-1)])</f>
        <v>75</v>
      </c>
      <c r="U183" s="83">
        <f>COUNT(Influent[COD (mg L-1)])</f>
        <v>72</v>
      </c>
      <c r="V183" s="83">
        <f>COUNT(Influent[sC/ N ])</f>
        <v>72</v>
      </c>
      <c r="W183" s="83">
        <f>COUNT(Influent[Temperature (°C)])</f>
        <v>69</v>
      </c>
      <c r="X183" s="83">
        <f>COUNT(Influent[TSS (mg L-1)])</f>
        <v>67</v>
      </c>
      <c r="Y183" s="83">
        <f>COUNT(Influent[VSS (mg L-1)])</f>
        <v>49</v>
      </c>
      <c r="AD183" s="127"/>
    </row>
    <row r="184" spans="1:30" s="29" customFormat="1" ht="15.6" hidden="1" customHeight="1" x14ac:dyDescent="0.3">
      <c r="A184" s="349"/>
      <c r="B184" s="44" t="s">
        <v>174</v>
      </c>
      <c r="C184" s="85">
        <f>MIN(SSBR[ARE (%)])</f>
        <v>0.47978026572516952</v>
      </c>
      <c r="D184" s="85">
        <f>MIN(SSBR[NRE (%)])</f>
        <v>0.48073542686113357</v>
      </c>
      <c r="E184" s="86" t="e">
        <f>MIN(#REF!)</f>
        <v>#REF!</v>
      </c>
      <c r="F184" s="86" t="e">
        <f>MIN(#REF!)</f>
        <v>#REF!</v>
      </c>
      <c r="G184" s="87">
        <f>MIN(SSBR[OLR (kg COD m-3 d-1)])</f>
        <v>0</v>
      </c>
      <c r="H184" s="87">
        <f>MIN(SSBR[ORR (kg COD m-3 d-1)])</f>
        <v>0</v>
      </c>
      <c r="I184" s="82">
        <f>MIN(SSBR[NH4-N (mg L-1)])</f>
        <v>88.52</v>
      </c>
      <c r="J184" s="82">
        <f>MIN(SSBR[NO2-N (mg L-1)])</f>
        <v>8.0000000000000002E-3</v>
      </c>
      <c r="K184" s="82">
        <f>MIN(SSBR[NO3-N (mg L-1)])</f>
        <v>0.19</v>
      </c>
      <c r="L184" s="87">
        <f>MIN(SSBR[SAA (g N g VSS-1 d-1)])</f>
        <v>2.1000000000000001E-2</v>
      </c>
      <c r="M184" s="85">
        <f>MIN(SSBR[NO3-N/ NH4-N])</f>
        <v>1.4311970833709965E-4</v>
      </c>
      <c r="N184" s="86">
        <f>MIN(SSBR[NO2-N/ NH4-N])</f>
        <v>1.7859933471747819E-5</v>
      </c>
      <c r="O184" s="82">
        <f>MIN(SSBR[pHreactor])</f>
        <v>6.7837522553782064</v>
      </c>
      <c r="P184" s="82">
        <f>MIN(SSBR[Temp. (°C)])</f>
        <v>20.712430555555571</v>
      </c>
      <c r="Q184" s="83">
        <f>MIN(SSBR[HRT (h)])</f>
        <v>31.331592689295043</v>
      </c>
      <c r="R184" s="86">
        <f>MIN(SSBR[DO (mg L-1)])</f>
        <v>1.6968011126564791E-2</v>
      </c>
      <c r="S184" s="82"/>
      <c r="T184" s="82">
        <f>MIN(Influent[NH4-N (mg L-1)])</f>
        <v>861.04</v>
      </c>
      <c r="U184" s="82">
        <f>MIN(Influent[COD (mg L-1)])</f>
        <v>1060</v>
      </c>
      <c r="V184" s="82">
        <f>MIN(Influent[sC/ N ])</f>
        <v>0.79175207650022228</v>
      </c>
      <c r="W184" s="82">
        <f>MIN(Influent[Temperature (°C)])</f>
        <v>15.039105337885095</v>
      </c>
      <c r="X184" s="82">
        <f>MIN(Influent[TSS (mg L-1)])</f>
        <v>88</v>
      </c>
      <c r="Y184" s="82">
        <f>MIN(Influent[VSS (mg L-1)])</f>
        <v>13</v>
      </c>
      <c r="AD184" s="127"/>
    </row>
    <row r="185" spans="1:30" s="29" customFormat="1" ht="15.6" hidden="1" customHeight="1" x14ac:dyDescent="0.3">
      <c r="A185" s="349"/>
      <c r="B185" s="44" t="s">
        <v>175</v>
      </c>
      <c r="C185" s="85">
        <f>MAX(SSBR[ARE (%)])</f>
        <v>0.91505613664715479</v>
      </c>
      <c r="D185" s="85">
        <f>MAX(SSBR[NRE (%)])</f>
        <v>0.90772829509671626</v>
      </c>
      <c r="E185" s="86" t="e">
        <f>MAX(#REF!)</f>
        <v>#REF!</v>
      </c>
      <c r="F185" s="86" t="e">
        <f>MAX(#REF!)</f>
        <v>#REF!</v>
      </c>
      <c r="G185" s="87">
        <f>MAX(SSBR[OLR (kg COD m-3 d-1)])</f>
        <v>2.9452699999999994</v>
      </c>
      <c r="H185" s="87">
        <f>MAX(SSBR[ORR (kg COD m-3 d-1)])</f>
        <v>2.0502720000000001</v>
      </c>
      <c r="I185" s="82">
        <f>MAX(SSBR[NH4-N (mg L-1)])</f>
        <v>447.93</v>
      </c>
      <c r="J185" s="82">
        <f>MAX(SSBR[NO2-N (mg L-1)])</f>
        <v>57.64</v>
      </c>
      <c r="K185" s="82">
        <f>MAX(SSBR[NO3-N (mg L-1)])</f>
        <v>69.591999999999999</v>
      </c>
      <c r="L185" s="87">
        <f>MAX(SSBR[SAA (g N g VSS-1 d-1)])</f>
        <v>6.8000000000000005E-2</v>
      </c>
      <c r="M185" s="85">
        <f>MAX(SSBR[NO3-N/ NH4-N])</f>
        <v>5.9647047731694561E-2</v>
      </c>
      <c r="N185" s="82">
        <f>MAX(SSBR[NO2-N/ NH4-N])</f>
        <v>0.35557024793388431</v>
      </c>
      <c r="O185" s="82">
        <f>MAX(SSBR[pHreactor])</f>
        <v>7.2713740458015463</v>
      </c>
      <c r="P185" s="82">
        <f>MAX(SSBR[Temp. (°C)])</f>
        <v>29.483194444444461</v>
      </c>
      <c r="Q185" s="83">
        <f>MAX(SSBR[HRT (h)])</f>
        <v>1655.1724137931033</v>
      </c>
      <c r="R185" s="86">
        <f>MAX(SSBR[DO (mg L-1)])</f>
        <v>0.26</v>
      </c>
      <c r="S185" s="82"/>
      <c r="T185" s="82">
        <f>MAX(Influent[NH4-N (mg L-1)])</f>
        <v>1501.4</v>
      </c>
      <c r="U185" s="82">
        <f>MAX(Influent[COD (mg L-1)])</f>
        <v>4840</v>
      </c>
      <c r="V185" s="82">
        <f>MAX(Influent[sC/ N ])</f>
        <v>3.1483087597571551</v>
      </c>
      <c r="W185" s="82">
        <f>MAX(Influent[Temperature (°C)])</f>
        <v>26.845422607045833</v>
      </c>
      <c r="X185" s="82">
        <f>MAX(Influent[TSS (mg L-1)])</f>
        <v>1270</v>
      </c>
      <c r="Y185" s="82">
        <f>MAX(Influent[VSS (mg L-1)])</f>
        <v>434</v>
      </c>
      <c r="AD185" s="127"/>
    </row>
    <row r="186" spans="1:30" s="29" customFormat="1" ht="15.6" hidden="1" customHeight="1" x14ac:dyDescent="0.3">
      <c r="A186" s="349"/>
      <c r="B186" s="99" t="s">
        <v>214</v>
      </c>
      <c r="C186" s="85">
        <f>SUMSQ(SSBR[ARE (%)])</f>
        <v>33.679659321221344</v>
      </c>
      <c r="D186" s="85">
        <f>SUMSQ(SSBR[NRE (%)])</f>
        <v>31.60345968380518</v>
      </c>
      <c r="E186" s="86" t="e">
        <f>SUMSQ(#REF!)</f>
        <v>#REF!</v>
      </c>
      <c r="F186" s="86" t="e">
        <f>SUMSQ(#REF!)</f>
        <v>#REF!</v>
      </c>
      <c r="G186" s="87">
        <f>SUMSQ(SSBR[OLR (kg COD m-3 d-1)])</f>
        <v>107.82625661940237</v>
      </c>
      <c r="H186" s="87">
        <f>SUMSQ(SSBR[ORR (kg COD m-3 d-1)])</f>
        <v>30.079168741406807</v>
      </c>
      <c r="I186" s="82">
        <f>SUMSQ(SSBR[NH4-N (mg L-1)])</f>
        <v>1282156.8530000004</v>
      </c>
      <c r="J186" s="82">
        <f>SUMSQ(SSBR[NO2-N (mg L-1)])</f>
        <v>39727.718923999993</v>
      </c>
      <c r="K186" s="82">
        <f>SUMSQ(SSBR[NO3-N (mg L-1)])</f>
        <v>15579.081835000001</v>
      </c>
      <c r="L186" s="87">
        <f>SUMSQ(SSBR[SAA (g N g VSS-1 d-1)])</f>
        <v>1.4862840000000002E-2</v>
      </c>
      <c r="M186" s="85">
        <f>SUMSQ(SSBR[NO3-N/ NH4-N])</f>
        <v>1.1110041066075703E-2</v>
      </c>
      <c r="N186" s="82">
        <f>SUMSQ(SSBR[NO2-N/ NH4-N])</f>
        <v>1.6302190245734742</v>
      </c>
      <c r="O186" s="82">
        <f>SUMSQ(SSBR[pHreactor])</f>
        <v>2069.07198308224</v>
      </c>
      <c r="P186" s="82">
        <f>SUMSQ(SSBR[Temp. (°C)])</f>
        <v>25351.657592031239</v>
      </c>
      <c r="Q186" s="83">
        <f>SUMSQ(SSBR[HRT (h)])</f>
        <v>2861492.9661637619</v>
      </c>
      <c r="R186" s="86">
        <f>SUMSQ(SSBR[DO (mg L-1)])</f>
        <v>1.3198156378295054</v>
      </c>
      <c r="S186" s="82"/>
      <c r="T186" s="82">
        <f>SUMSQ(Influent[NH4-N (mg L-1)])</f>
        <v>127552201.48019996</v>
      </c>
      <c r="U186" s="82">
        <f>SUMSQ(Influent[COD (mg L-1)])</f>
        <v>546790925</v>
      </c>
      <c r="V186" s="82">
        <f>SUMSQ(Influent[sC/ N ])</f>
        <v>250.72117293628176</v>
      </c>
      <c r="W186" s="82">
        <f>SUMSQ(Influent[Temperature (°C)])</f>
        <v>35970.166793121403</v>
      </c>
      <c r="X186" s="82">
        <f>SUMSQ(Influent[TSS (mg L-1)])</f>
        <v>11726187.120000005</v>
      </c>
      <c r="Y186" s="82">
        <f>SUMSQ(Influent[VSS (mg L-1)])</f>
        <v>1243129</v>
      </c>
      <c r="AD186" s="127"/>
    </row>
    <row r="187" spans="1:30" s="29" customFormat="1" ht="15.6" hidden="1" customHeight="1" x14ac:dyDescent="0.3">
      <c r="A187" s="349"/>
      <c r="B187" s="99" t="s">
        <v>206</v>
      </c>
      <c r="C187" s="101">
        <f>C179/C183</f>
        <v>1.4207708017705384E-3</v>
      </c>
      <c r="D187" s="101">
        <f t="shared" ref="D187:W187" si="0">D179/D183</f>
        <v>1.3777906876013849E-3</v>
      </c>
      <c r="E187" s="101" t="e">
        <f t="shared" si="0"/>
        <v>#REF!</v>
      </c>
      <c r="F187" s="101" t="e">
        <f t="shared" si="0"/>
        <v>#REF!</v>
      </c>
      <c r="G187" s="101">
        <f t="shared" si="0"/>
        <v>1.6510141382400378E-2</v>
      </c>
      <c r="H187" s="101">
        <f t="shared" si="0"/>
        <v>1.1600762225535367E-2</v>
      </c>
      <c r="I187" s="101">
        <f t="shared" si="0"/>
        <v>1.1411862170671085</v>
      </c>
      <c r="J187" s="101">
        <f t="shared" si="0"/>
        <v>0.41789324901285618</v>
      </c>
      <c r="K187" s="101">
        <f t="shared" si="0"/>
        <v>0.30687115108332191</v>
      </c>
      <c r="L187" s="101">
        <f t="shared" si="0"/>
        <v>2.1887448263868954E-3</v>
      </c>
      <c r="M187" s="101">
        <f t="shared" si="0"/>
        <v>2.5721010832204031E-4</v>
      </c>
      <c r="N187" s="101">
        <f t="shared" si="0"/>
        <v>2.6555248406582126E-3</v>
      </c>
      <c r="O187" s="101">
        <f t="shared" si="0"/>
        <v>2.3120128659946258E-3</v>
      </c>
      <c r="P187" s="101">
        <f t="shared" si="0"/>
        <v>4.6494405354981796E-2</v>
      </c>
      <c r="Q187" s="101">
        <f t="shared" si="0"/>
        <v>5.4465595096159083</v>
      </c>
      <c r="R187" s="101">
        <f t="shared" si="0"/>
        <v>1.0428083167797035E-3</v>
      </c>
      <c r="S187" s="101">
        <f t="shared" si="0"/>
        <v>5.4465595096159083</v>
      </c>
      <c r="T187" s="120">
        <f t="shared" si="0"/>
        <v>1.5895690480437663</v>
      </c>
      <c r="U187" s="120">
        <f t="shared" si="0"/>
        <v>8.1240408757308895</v>
      </c>
      <c r="V187" s="120">
        <f t="shared" si="0"/>
        <v>4.6687680196947348E-3</v>
      </c>
      <c r="W187" s="120">
        <f t="shared" si="0"/>
        <v>3.6191711734937002E-2</v>
      </c>
      <c r="X187" s="120">
        <f>X179/X183</f>
        <v>3.8069696729362215</v>
      </c>
      <c r="Y187" s="120">
        <f>Y179/Y183</f>
        <v>2.2218068621392097</v>
      </c>
      <c r="AD187" s="127"/>
    </row>
    <row r="188" spans="1:30" s="29" customFormat="1" ht="15.6" hidden="1" customHeight="1" x14ac:dyDescent="0.3">
      <c r="A188" s="349"/>
      <c r="B188" s="99" t="s">
        <v>207</v>
      </c>
      <c r="C188" s="101">
        <f>C180/C183</f>
        <v>1.437196443428912E-3</v>
      </c>
      <c r="D188" s="101">
        <f t="shared" ref="D188:W188" si="1">D180/D183</f>
        <v>1.3937194328195316E-3</v>
      </c>
      <c r="E188" s="101" t="e">
        <f t="shared" si="1"/>
        <v>#REF!</v>
      </c>
      <c r="F188" s="101" t="e">
        <f t="shared" si="1"/>
        <v>#REF!</v>
      </c>
      <c r="G188" s="101">
        <f t="shared" si="1"/>
        <v>1.6701016410053286E-2</v>
      </c>
      <c r="H188" s="101">
        <f t="shared" si="1"/>
        <v>1.1734879539209877E-2</v>
      </c>
      <c r="I188" s="101">
        <f t="shared" si="1"/>
        <v>1.1543795596130426</v>
      </c>
      <c r="J188" s="101">
        <f t="shared" si="1"/>
        <v>0.42272454534241538</v>
      </c>
      <c r="K188" s="101">
        <f t="shared" si="1"/>
        <v>0.31041891231033047</v>
      </c>
      <c r="L188" s="101">
        <f t="shared" si="1"/>
        <v>2.3641146124658663E-3</v>
      </c>
      <c r="M188" s="101">
        <f t="shared" si="1"/>
        <v>2.6018373437414134E-4</v>
      </c>
      <c r="N188" s="101">
        <f t="shared" si="1"/>
        <v>2.686225569722468E-3</v>
      </c>
      <c r="O188" s="101">
        <f t="shared" si="1"/>
        <v>2.3387422264228193E-3</v>
      </c>
      <c r="P188" s="101">
        <f t="shared" si="1"/>
        <v>4.7031930788731136E-2</v>
      </c>
      <c r="Q188" s="101">
        <f t="shared" si="1"/>
        <v>5.5095276074009076</v>
      </c>
      <c r="R188" s="101">
        <f t="shared" si="1"/>
        <v>1.0548643047747061E-3</v>
      </c>
      <c r="S188" s="101">
        <f t="shared" si="1"/>
        <v>5.5095276074009076</v>
      </c>
      <c r="T188" s="120">
        <f t="shared" si="1"/>
        <v>1.6002733376630491</v>
      </c>
      <c r="U188" s="120">
        <f t="shared" si="1"/>
        <v>8.1810523883444048</v>
      </c>
      <c r="V188" s="120">
        <f t="shared" si="1"/>
        <v>4.7015317060074844E-3</v>
      </c>
      <c r="W188" s="120">
        <f t="shared" si="1"/>
        <v>3.6456856024910167E-2</v>
      </c>
      <c r="X188" s="120">
        <f>X180/X183</f>
        <v>3.8357019271377015</v>
      </c>
      <c r="Y188" s="120">
        <f>Y180/Y183</f>
        <v>2.2448313824010033</v>
      </c>
      <c r="AD188" s="127"/>
    </row>
    <row r="189" spans="1:30" s="29" customFormat="1" ht="15.6" hidden="1" customHeight="1" x14ac:dyDescent="0.35">
      <c r="A189" s="349"/>
      <c r="B189" s="99" t="s">
        <v>188</v>
      </c>
      <c r="C189" s="100">
        <f t="shared" ref="C189:Y189" si="2">C177+C179</f>
        <v>0.93517582756218431</v>
      </c>
      <c r="D189" s="100">
        <f t="shared" si="2"/>
        <v>0.90595427828798514</v>
      </c>
      <c r="E189" s="102" t="e">
        <f t="shared" si="2"/>
        <v>#REF!</v>
      </c>
      <c r="F189" s="102" t="e">
        <f t="shared" si="2"/>
        <v>#REF!</v>
      </c>
      <c r="G189" s="101">
        <f t="shared" si="2"/>
        <v>2.1131230503710707</v>
      </c>
      <c r="H189" s="101">
        <f t="shared" si="2"/>
        <v>1.1608757526962834</v>
      </c>
      <c r="I189" s="102">
        <f t="shared" si="2"/>
        <v>213.36446627822554</v>
      </c>
      <c r="J189" s="102">
        <f t="shared" si="2"/>
        <v>42.153030229292945</v>
      </c>
      <c r="K189" s="102">
        <f t="shared" si="2"/>
        <v>37.268057920393431</v>
      </c>
      <c r="L189" s="102">
        <f t="shared" si="2"/>
        <v>5.8778356641851132E-2</v>
      </c>
      <c r="M189" s="100">
        <f t="shared" si="2"/>
        <v>2.2471656638720708E-2</v>
      </c>
      <c r="N189" s="102">
        <f t="shared" si="2"/>
        <v>0.26980754636765586</v>
      </c>
      <c r="O189" s="102">
        <f t="shared" si="2"/>
        <v>6.9584052064819257</v>
      </c>
      <c r="P189" s="102">
        <f t="shared" si="2"/>
        <v>25.962043836925375</v>
      </c>
      <c r="Q189" s="102">
        <f t="shared" si="2"/>
        <v>326.8407667913782</v>
      </c>
      <c r="R189" s="102">
        <f t="shared" si="2"/>
        <v>0.21288808182771521</v>
      </c>
      <c r="S189" s="102">
        <f t="shared" si="2"/>
        <v>13.618365282974091</v>
      </c>
      <c r="T189" s="84">
        <f t="shared" si="2"/>
        <v>1417.8643452699494</v>
      </c>
      <c r="U189" s="84">
        <f t="shared" si="2"/>
        <v>3277.9170541637354</v>
      </c>
      <c r="V189" s="84">
        <f t="shared" si="2"/>
        <v>2.1717004845138326</v>
      </c>
      <c r="W189" s="84">
        <f t="shared" si="2"/>
        <v>25.192395368089088</v>
      </c>
      <c r="X189" s="84">
        <f t="shared" si="2"/>
        <v>586.6669680867268</v>
      </c>
      <c r="Y189" s="84">
        <f t="shared" si="2"/>
        <v>225.13384236727023</v>
      </c>
      <c r="AD189" s="127"/>
    </row>
    <row r="190" spans="1:30" s="29" customFormat="1" ht="15.6" hidden="1" customHeight="1" x14ac:dyDescent="0.35">
      <c r="A190" s="349"/>
      <c r="B190" s="99" t="s">
        <v>189</v>
      </c>
      <c r="C190" s="100">
        <f t="shared" ref="C190:Y190" si="3">C177-C179</f>
        <v>0.81014799700637685</v>
      </c>
      <c r="D190" s="100">
        <f t="shared" si="3"/>
        <v>0.78470869777906327</v>
      </c>
      <c r="E190" s="102" t="e">
        <f t="shared" si="3"/>
        <v>#REF!</v>
      </c>
      <c r="F190" s="102" t="e">
        <f t="shared" si="3"/>
        <v>#REF!</v>
      </c>
      <c r="G190" s="101">
        <f t="shared" si="3"/>
        <v>0.66023060871983774</v>
      </c>
      <c r="H190" s="101">
        <f t="shared" si="3"/>
        <v>0.14000867684917118</v>
      </c>
      <c r="I190" s="102">
        <f t="shared" si="3"/>
        <v>112.94007917631998</v>
      </c>
      <c r="J190" s="102">
        <f t="shared" si="3"/>
        <v>5.378424316161599</v>
      </c>
      <c r="K190" s="102">
        <f t="shared" si="3"/>
        <v>10.263396625061109</v>
      </c>
      <c r="L190" s="102">
        <f t="shared" si="3"/>
        <v>2.8135929072434594E-2</v>
      </c>
      <c r="M190" s="100">
        <f t="shared" si="3"/>
        <v>-1.6283289361884203E-4</v>
      </c>
      <c r="N190" s="102">
        <f t="shared" si="3"/>
        <v>3.612136038973314E-2</v>
      </c>
      <c r="O190" s="102">
        <f t="shared" si="3"/>
        <v>6.7549480742743988</v>
      </c>
      <c r="P190" s="102">
        <f t="shared" si="3"/>
        <v>21.870536165686978</v>
      </c>
      <c r="Q190" s="102">
        <f t="shared" si="3"/>
        <v>-152.45647005482169</v>
      </c>
      <c r="R190" s="102">
        <f t="shared" si="3"/>
        <v>0.12112094995110131</v>
      </c>
      <c r="S190" s="102">
        <f t="shared" si="3"/>
        <v>-6.3523529189509045</v>
      </c>
      <c r="T190" s="84">
        <f t="shared" si="3"/>
        <v>1179.4289880633846</v>
      </c>
      <c r="U190" s="84">
        <f t="shared" si="3"/>
        <v>2108.0551680584872</v>
      </c>
      <c r="V190" s="84">
        <f t="shared" si="3"/>
        <v>1.4993978896777906</v>
      </c>
      <c r="W190" s="84">
        <f t="shared" si="3"/>
        <v>20.197939148667778</v>
      </c>
      <c r="X190" s="84">
        <f t="shared" si="3"/>
        <v>76.533031913273135</v>
      </c>
      <c r="Y190" s="84">
        <f t="shared" si="3"/>
        <v>7.3967698776277047</v>
      </c>
      <c r="AD190" s="127"/>
    </row>
    <row r="191" spans="1:30" s="29" customFormat="1" ht="15.6" hidden="1" customHeight="1" x14ac:dyDescent="0.35">
      <c r="A191" s="349"/>
      <c r="B191" s="99" t="s">
        <v>196</v>
      </c>
      <c r="C191" s="100">
        <f t="shared" ref="C191:W191" si="4">C177+C180</f>
        <v>0.93589855579515269</v>
      </c>
      <c r="D191" s="103">
        <f t="shared" si="4"/>
        <v>0.90665514307758355</v>
      </c>
      <c r="E191" s="103" t="e">
        <f t="shared" si="4"/>
        <v>#REF!</v>
      </c>
      <c r="F191" s="103" t="e">
        <f t="shared" si="4"/>
        <v>#REF!</v>
      </c>
      <c r="G191" s="101">
        <f t="shared" si="4"/>
        <v>2.121521551587799</v>
      </c>
      <c r="H191" s="101">
        <f t="shared" si="4"/>
        <v>1.1667769144979618</v>
      </c>
      <c r="I191" s="103">
        <f t="shared" si="4"/>
        <v>213.94497335024664</v>
      </c>
      <c r="J191" s="103">
        <f t="shared" si="4"/>
        <v>42.36560726779355</v>
      </c>
      <c r="K191" s="103">
        <f t="shared" si="4"/>
        <v>37.424159414381812</v>
      </c>
      <c r="L191" s="103">
        <f t="shared" si="4"/>
        <v>6.0005945144403924E-2</v>
      </c>
      <c r="M191" s="100">
        <f t="shared" si="4"/>
        <v>2.260249618501315E-2</v>
      </c>
      <c r="N191" s="103">
        <f t="shared" si="4"/>
        <v>0.27115837844648311</v>
      </c>
      <c r="O191" s="103">
        <f t="shared" si="4"/>
        <v>6.9595812983407663</v>
      </c>
      <c r="P191" s="103">
        <f t="shared" si="4"/>
        <v>25.985694956010345</v>
      </c>
      <c r="Q191" s="103">
        <f t="shared" si="4"/>
        <v>329.61136309391816</v>
      </c>
      <c r="R191" s="103">
        <f t="shared" si="4"/>
        <v>0.21341854529949533</v>
      </c>
      <c r="S191" s="103">
        <f t="shared" si="4"/>
        <v>13.733806795579923</v>
      </c>
      <c r="T191" s="124">
        <f t="shared" si="4"/>
        <v>1418.6671669913958</v>
      </c>
      <c r="U191" s="124">
        <f t="shared" si="4"/>
        <v>3282.0218830719086</v>
      </c>
      <c r="V191" s="124">
        <f t="shared" si="4"/>
        <v>2.1740594699283506</v>
      </c>
      <c r="W191" s="124">
        <f t="shared" si="4"/>
        <v>25.210690324097236</v>
      </c>
      <c r="X191" s="124">
        <f>X177+X180</f>
        <v>588.59202911822604</v>
      </c>
      <c r="Y191" s="124">
        <f>Y177+Y180</f>
        <v>226.26204386009812</v>
      </c>
      <c r="AD191" s="127"/>
    </row>
    <row r="192" spans="1:30" s="29" customFormat="1" ht="15.6" hidden="1" customHeight="1" x14ac:dyDescent="0.35">
      <c r="A192" s="349"/>
      <c r="B192" s="99" t="s">
        <v>195</v>
      </c>
      <c r="C192" s="100">
        <f t="shared" ref="C192:W192" si="5">C177-C180</f>
        <v>0.80942526877340848</v>
      </c>
      <c r="D192" s="103">
        <f t="shared" si="5"/>
        <v>0.78400783298946486</v>
      </c>
      <c r="E192" s="103" t="e">
        <f t="shared" si="5"/>
        <v>#REF!</v>
      </c>
      <c r="F192" s="103" t="e">
        <f t="shared" si="5"/>
        <v>#REF!</v>
      </c>
      <c r="G192" s="101">
        <f t="shared" si="5"/>
        <v>0.65183210750310983</v>
      </c>
      <c r="H192" s="101">
        <f t="shared" si="5"/>
        <v>0.13410751504749274</v>
      </c>
      <c r="I192" s="103">
        <f t="shared" si="5"/>
        <v>112.35957210429888</v>
      </c>
      <c r="J192" s="103">
        <f t="shared" si="5"/>
        <v>5.1658472776609941</v>
      </c>
      <c r="K192" s="103">
        <f t="shared" si="5"/>
        <v>10.107295131072732</v>
      </c>
      <c r="L192" s="103">
        <f t="shared" si="5"/>
        <v>2.6908340569881797E-2</v>
      </c>
      <c r="M192" s="100">
        <f t="shared" si="5"/>
        <v>-2.9367243991128798E-4</v>
      </c>
      <c r="N192" s="103">
        <f t="shared" si="5"/>
        <v>3.4770528310905893E-2</v>
      </c>
      <c r="O192" s="103">
        <f t="shared" si="5"/>
        <v>6.7537719824155582</v>
      </c>
      <c r="P192" s="103">
        <f t="shared" si="5"/>
        <v>21.846885046602008</v>
      </c>
      <c r="Q192" s="103">
        <f t="shared" si="5"/>
        <v>-155.22706635736168</v>
      </c>
      <c r="R192" s="103">
        <f t="shared" si="5"/>
        <v>0.12059048647932119</v>
      </c>
      <c r="S192" s="103">
        <f t="shared" si="5"/>
        <v>-6.4677944315567366</v>
      </c>
      <c r="T192" s="124">
        <f t="shared" si="5"/>
        <v>1178.6261663419382</v>
      </c>
      <c r="U192" s="124">
        <f t="shared" si="5"/>
        <v>2103.950339150314</v>
      </c>
      <c r="V192" s="124">
        <f t="shared" si="5"/>
        <v>1.4970389042632728</v>
      </c>
      <c r="W192" s="124">
        <f t="shared" si="5"/>
        <v>20.17964419265963</v>
      </c>
      <c r="X192" s="124">
        <f>X177-X180</f>
        <v>74.607970881773952</v>
      </c>
      <c r="Y192" s="124">
        <f>Y177-Y180</f>
        <v>6.2685683847998206</v>
      </c>
      <c r="AD192" s="127"/>
    </row>
    <row r="193" spans="1:30" s="29" customFormat="1" ht="15.6" hidden="1" customHeight="1" x14ac:dyDescent="0.35">
      <c r="A193" s="349"/>
      <c r="B193" s="99" t="s">
        <v>194</v>
      </c>
      <c r="C193" s="100">
        <f t="shared" ref="C193:W193" si="6">C178+C179</f>
        <v>0.94439648674591536</v>
      </c>
      <c r="D193" s="103">
        <f t="shared" si="6"/>
        <v>0.91231441045292938</v>
      </c>
      <c r="E193" s="103" t="e">
        <f t="shared" si="6"/>
        <v>#REF!</v>
      </c>
      <c r="F193" s="103" t="e">
        <f t="shared" si="6"/>
        <v>#REF!</v>
      </c>
      <c r="G193" s="101">
        <f t="shared" si="6"/>
        <v>1.8047212208256167</v>
      </c>
      <c r="H193" s="101">
        <f t="shared" si="6"/>
        <v>0.97798653792355605</v>
      </c>
      <c r="I193" s="103">
        <f t="shared" si="6"/>
        <v>203.54719355095276</v>
      </c>
      <c r="J193" s="103">
        <f t="shared" si="6"/>
        <v>42.596802956565668</v>
      </c>
      <c r="K193" s="103">
        <f t="shared" si="6"/>
        <v>37.711830647666162</v>
      </c>
      <c r="L193" s="103">
        <f t="shared" si="6"/>
        <v>6.132121378470827E-2</v>
      </c>
      <c r="M193" s="100">
        <f t="shared" si="6"/>
        <v>2.0362857913547344E-2</v>
      </c>
      <c r="N193" s="103">
        <f t="shared" si="6"/>
        <v>0.27773253645520496</v>
      </c>
      <c r="O193" s="103">
        <f t="shared" si="6"/>
        <v>6.9166379668348039</v>
      </c>
      <c r="P193" s="103">
        <f t="shared" si="6"/>
        <v>25.636691335619197</v>
      </c>
      <c r="Q193" s="103">
        <f t="shared" si="6"/>
        <v>278.33424254212747</v>
      </c>
      <c r="R193" s="103">
        <f t="shared" si="6"/>
        <v>0.21374616135815466</v>
      </c>
      <c r="S193" s="103">
        <f t="shared" si="6"/>
        <v>9.9853591009624978</v>
      </c>
      <c r="T193" s="124">
        <f t="shared" si="6"/>
        <v>1408.5176786032825</v>
      </c>
      <c r="U193" s="124">
        <f t="shared" si="6"/>
        <v>3324.9309430526241</v>
      </c>
      <c r="V193" s="124">
        <f t="shared" si="6"/>
        <v>2.1359412746255004</v>
      </c>
      <c r="W193" s="124">
        <f t="shared" si="6"/>
        <v>25.608120603168178</v>
      </c>
      <c r="X193" s="124">
        <f>X178+X179</f>
        <v>479.06696808672683</v>
      </c>
      <c r="Y193" s="124">
        <f>Y178+Y179</f>
        <v>186.86853624482126</v>
      </c>
      <c r="AD193" s="127"/>
    </row>
    <row r="194" spans="1:30" s="29" customFormat="1" ht="15.6" hidden="1" customHeight="1" x14ac:dyDescent="0.35">
      <c r="A194" s="349"/>
      <c r="B194" s="99" t="s">
        <v>193</v>
      </c>
      <c r="C194" s="100">
        <f t="shared" ref="C194:W194" si="7">C178-C179</f>
        <v>0.8193686561901079</v>
      </c>
      <c r="D194" s="103">
        <f t="shared" si="7"/>
        <v>0.79106882994400751</v>
      </c>
      <c r="E194" s="103" t="e">
        <f t="shared" si="7"/>
        <v>#REF!</v>
      </c>
      <c r="F194" s="103" t="e">
        <f t="shared" si="7"/>
        <v>#REF!</v>
      </c>
      <c r="G194" s="101">
        <f t="shared" si="7"/>
        <v>0.35182877917438349</v>
      </c>
      <c r="H194" s="101">
        <f t="shared" si="7"/>
        <v>-4.2880537923556283E-2</v>
      </c>
      <c r="I194" s="103">
        <f t="shared" si="7"/>
        <v>103.1228064490472</v>
      </c>
      <c r="J194" s="103">
        <f t="shared" si="7"/>
        <v>5.8221970434343255</v>
      </c>
      <c r="K194" s="103">
        <f t="shared" si="7"/>
        <v>10.707169352333835</v>
      </c>
      <c r="L194" s="103">
        <f t="shared" si="7"/>
        <v>3.0678786215291732E-2</v>
      </c>
      <c r="M194" s="100">
        <f t="shared" si="7"/>
        <v>-2.2716316187922046E-3</v>
      </c>
      <c r="N194" s="103">
        <f t="shared" si="7"/>
        <v>4.4046350477282267E-2</v>
      </c>
      <c r="O194" s="103">
        <f t="shared" si="7"/>
        <v>6.713180834627277</v>
      </c>
      <c r="P194" s="103">
        <f t="shared" si="7"/>
        <v>21.545183664380801</v>
      </c>
      <c r="Q194" s="103">
        <f t="shared" si="7"/>
        <v>-200.96299430407242</v>
      </c>
      <c r="R194" s="103">
        <f t="shared" si="7"/>
        <v>0.12197902948154077</v>
      </c>
      <c r="S194" s="103">
        <f t="shared" si="7"/>
        <v>-9.9853591009624978</v>
      </c>
      <c r="T194" s="124">
        <f t="shared" si="7"/>
        <v>1170.0823213967174</v>
      </c>
      <c r="U194" s="124">
        <f t="shared" si="7"/>
        <v>2155.0690569473759</v>
      </c>
      <c r="V194" s="124">
        <f t="shared" si="7"/>
        <v>1.4636386797894585</v>
      </c>
      <c r="W194" s="124">
        <f t="shared" si="7"/>
        <v>20.613664383746869</v>
      </c>
      <c r="X194" s="124">
        <f>X178-X179</f>
        <v>-31.066968086726831</v>
      </c>
      <c r="Y194" s="124">
        <f>Y178-Y179</f>
        <v>-30.868536244821271</v>
      </c>
      <c r="AD194" s="127"/>
    </row>
    <row r="195" spans="1:30" s="29" customFormat="1" ht="15.6" hidden="1" customHeight="1" x14ac:dyDescent="0.35">
      <c r="A195" s="349"/>
      <c r="B195" s="99" t="s">
        <v>191</v>
      </c>
      <c r="C195" s="100">
        <f t="shared" ref="C195:W195" si="8">C178+C179</f>
        <v>0.94439648674591536</v>
      </c>
      <c r="D195" s="103">
        <f t="shared" si="8"/>
        <v>0.91231441045292938</v>
      </c>
      <c r="E195" s="103" t="e">
        <f t="shared" si="8"/>
        <v>#REF!</v>
      </c>
      <c r="F195" s="103" t="e">
        <f t="shared" si="8"/>
        <v>#REF!</v>
      </c>
      <c r="G195" s="101">
        <f t="shared" si="8"/>
        <v>1.8047212208256167</v>
      </c>
      <c r="H195" s="101">
        <f t="shared" si="8"/>
        <v>0.97798653792355605</v>
      </c>
      <c r="I195" s="103">
        <f t="shared" si="8"/>
        <v>203.54719355095276</v>
      </c>
      <c r="J195" s="103">
        <f t="shared" si="8"/>
        <v>42.596802956565668</v>
      </c>
      <c r="K195" s="103">
        <f t="shared" si="8"/>
        <v>37.711830647666162</v>
      </c>
      <c r="L195" s="103">
        <f t="shared" si="8"/>
        <v>6.132121378470827E-2</v>
      </c>
      <c r="M195" s="100">
        <f t="shared" si="8"/>
        <v>2.0362857913547344E-2</v>
      </c>
      <c r="N195" s="103">
        <f t="shared" si="8"/>
        <v>0.27773253645520496</v>
      </c>
      <c r="O195" s="103">
        <f t="shared" si="8"/>
        <v>6.9166379668348039</v>
      </c>
      <c r="P195" s="103">
        <f t="shared" si="8"/>
        <v>25.636691335619197</v>
      </c>
      <c r="Q195" s="103">
        <f t="shared" si="8"/>
        <v>278.33424254212747</v>
      </c>
      <c r="R195" s="103">
        <f t="shared" si="8"/>
        <v>0.21374616135815466</v>
      </c>
      <c r="S195" s="103">
        <f t="shared" si="8"/>
        <v>9.9853591009624978</v>
      </c>
      <c r="T195" s="124">
        <f t="shared" si="8"/>
        <v>1408.5176786032825</v>
      </c>
      <c r="U195" s="124">
        <f t="shared" si="8"/>
        <v>3324.9309430526241</v>
      </c>
      <c r="V195" s="124">
        <f t="shared" si="8"/>
        <v>2.1359412746255004</v>
      </c>
      <c r="W195" s="124">
        <f t="shared" si="8"/>
        <v>25.608120603168178</v>
      </c>
      <c r="X195" s="124">
        <f>X178+X179</f>
        <v>479.06696808672683</v>
      </c>
      <c r="Y195" s="124">
        <f>Y178+Y179</f>
        <v>186.86853624482126</v>
      </c>
      <c r="AD195" s="127"/>
    </row>
    <row r="196" spans="1:30" s="29" customFormat="1" ht="15.6" hidden="1" customHeight="1" x14ac:dyDescent="0.35">
      <c r="A196" s="349"/>
      <c r="B196" s="99" t="s">
        <v>192</v>
      </c>
      <c r="C196" s="100">
        <f t="shared" ref="C196:W196" si="9">C178-C180</f>
        <v>0.81864592795713953</v>
      </c>
      <c r="D196" s="103">
        <f t="shared" si="9"/>
        <v>0.7903679651544091</v>
      </c>
      <c r="E196" s="103" t="e">
        <f t="shared" si="9"/>
        <v>#REF!</v>
      </c>
      <c r="F196" s="103" t="e">
        <f t="shared" si="9"/>
        <v>#REF!</v>
      </c>
      <c r="G196" s="101">
        <f t="shared" si="9"/>
        <v>0.34343027795765557</v>
      </c>
      <c r="H196" s="101">
        <f t="shared" si="9"/>
        <v>-4.8781699725234717E-2</v>
      </c>
      <c r="I196" s="103">
        <f t="shared" si="9"/>
        <v>102.5422993770261</v>
      </c>
      <c r="J196" s="103">
        <f t="shared" si="9"/>
        <v>5.6096200049337206</v>
      </c>
      <c r="K196" s="103">
        <f t="shared" si="9"/>
        <v>10.551067858345458</v>
      </c>
      <c r="L196" s="103">
        <f t="shared" si="9"/>
        <v>2.9451197712738936E-2</v>
      </c>
      <c r="M196" s="100">
        <f t="shared" si="9"/>
        <v>-2.4024711650846506E-3</v>
      </c>
      <c r="N196" s="103">
        <f t="shared" si="9"/>
        <v>4.2695518398455021E-2</v>
      </c>
      <c r="O196" s="103">
        <f t="shared" si="9"/>
        <v>6.7120047427684364</v>
      </c>
      <c r="P196" s="103">
        <f t="shared" si="9"/>
        <v>21.52153254529583</v>
      </c>
      <c r="Q196" s="103">
        <f t="shared" si="9"/>
        <v>-203.73359060661241</v>
      </c>
      <c r="R196" s="103">
        <f t="shared" si="9"/>
        <v>0.12144856600976064</v>
      </c>
      <c r="S196" s="103">
        <f t="shared" si="9"/>
        <v>-10.10080061356833</v>
      </c>
      <c r="T196" s="124">
        <f t="shared" si="9"/>
        <v>1169.2794996752714</v>
      </c>
      <c r="U196" s="124">
        <f t="shared" si="9"/>
        <v>2150.9642280392027</v>
      </c>
      <c r="V196" s="124">
        <f t="shared" si="9"/>
        <v>1.4612796943749407</v>
      </c>
      <c r="W196" s="124">
        <f t="shared" si="9"/>
        <v>20.595369427738721</v>
      </c>
      <c r="X196" s="124">
        <f>X178-X180</f>
        <v>-32.992029118226014</v>
      </c>
      <c r="Y196" s="124">
        <f>Y178-Y180</f>
        <v>-31.996737737649156</v>
      </c>
      <c r="AD196" s="127"/>
    </row>
    <row r="197" spans="1:30" s="29" customFormat="1" ht="15.6" hidden="1" customHeight="1" x14ac:dyDescent="0.3">
      <c r="A197" s="349"/>
      <c r="B197" s="99" t="s">
        <v>205</v>
      </c>
      <c r="C197" s="119">
        <f t="shared" ref="C197:W197" si="10">C183-1</f>
        <v>43</v>
      </c>
      <c r="D197" s="119">
        <f t="shared" si="10"/>
        <v>43</v>
      </c>
      <c r="E197" s="119">
        <f t="shared" si="10"/>
        <v>-1</v>
      </c>
      <c r="F197" s="119">
        <f t="shared" si="10"/>
        <v>-1</v>
      </c>
      <c r="G197" s="119">
        <f t="shared" si="10"/>
        <v>43</v>
      </c>
      <c r="H197" s="119">
        <f t="shared" si="10"/>
        <v>43</v>
      </c>
      <c r="I197" s="119">
        <f t="shared" si="10"/>
        <v>43</v>
      </c>
      <c r="J197" s="119">
        <f t="shared" si="10"/>
        <v>43</v>
      </c>
      <c r="K197" s="119">
        <f t="shared" si="10"/>
        <v>43</v>
      </c>
      <c r="L197" s="119">
        <f t="shared" si="10"/>
        <v>6</v>
      </c>
      <c r="M197" s="119">
        <f t="shared" si="10"/>
        <v>43</v>
      </c>
      <c r="N197" s="119">
        <f t="shared" si="10"/>
        <v>43</v>
      </c>
      <c r="O197" s="119">
        <f t="shared" si="10"/>
        <v>43</v>
      </c>
      <c r="P197" s="119">
        <f t="shared" si="10"/>
        <v>43</v>
      </c>
      <c r="Q197" s="119">
        <f t="shared" si="10"/>
        <v>43</v>
      </c>
      <c r="R197" s="119">
        <f t="shared" si="10"/>
        <v>43</v>
      </c>
      <c r="S197" s="119">
        <f t="shared" si="10"/>
        <v>0.83333333333333326</v>
      </c>
      <c r="T197" s="117">
        <f t="shared" si="10"/>
        <v>74</v>
      </c>
      <c r="U197" s="117">
        <f t="shared" si="10"/>
        <v>71</v>
      </c>
      <c r="V197" s="117">
        <f t="shared" si="10"/>
        <v>71</v>
      </c>
      <c r="W197" s="117">
        <f t="shared" si="10"/>
        <v>68</v>
      </c>
      <c r="X197" s="117">
        <f>X183-1</f>
        <v>66</v>
      </c>
      <c r="Y197" s="117">
        <f>Y183-1</f>
        <v>48</v>
      </c>
      <c r="AD197" s="127"/>
    </row>
    <row r="198" spans="1:30" s="29" customFormat="1" ht="15.6" hidden="1" customHeight="1" thickBot="1" x14ac:dyDescent="0.4">
      <c r="A198" s="350"/>
      <c r="B198" s="96" t="s">
        <v>190</v>
      </c>
      <c r="C198" s="97">
        <f t="shared" ref="C198:W198" si="11">C185-C184</f>
        <v>0.43527587092198528</v>
      </c>
      <c r="D198" s="97">
        <f t="shared" si="11"/>
        <v>0.42699286823558269</v>
      </c>
      <c r="E198" s="98" t="e">
        <f t="shared" si="11"/>
        <v>#REF!</v>
      </c>
      <c r="F198" s="98" t="e">
        <f t="shared" si="11"/>
        <v>#REF!</v>
      </c>
      <c r="G198" s="104">
        <f t="shared" si="11"/>
        <v>2.9452699999999994</v>
      </c>
      <c r="H198" s="104">
        <f t="shared" si="11"/>
        <v>2.0502720000000001</v>
      </c>
      <c r="I198" s="98">
        <f t="shared" si="11"/>
        <v>359.41</v>
      </c>
      <c r="J198" s="98">
        <f t="shared" si="11"/>
        <v>57.631999999999998</v>
      </c>
      <c r="K198" s="98">
        <f t="shared" si="11"/>
        <v>69.402000000000001</v>
      </c>
      <c r="L198" s="98">
        <f t="shared" si="11"/>
        <v>4.7E-2</v>
      </c>
      <c r="M198" s="97">
        <f t="shared" si="11"/>
        <v>5.9503928023357459E-2</v>
      </c>
      <c r="N198" s="98">
        <f t="shared" si="11"/>
        <v>0.35555238800041256</v>
      </c>
      <c r="O198" s="98">
        <f t="shared" si="11"/>
        <v>0.48762179042333997</v>
      </c>
      <c r="P198" s="98">
        <f t="shared" si="11"/>
        <v>8.7707638888888901</v>
      </c>
      <c r="Q198" s="98">
        <f t="shared" si="11"/>
        <v>1623.8408211038081</v>
      </c>
      <c r="R198" s="98">
        <f t="shared" si="11"/>
        <v>0.24303198887343522</v>
      </c>
      <c r="S198" s="84">
        <f t="shared" si="11"/>
        <v>0</v>
      </c>
      <c r="T198" s="123">
        <f t="shared" si="11"/>
        <v>640.36000000000013</v>
      </c>
      <c r="U198" s="123">
        <f t="shared" si="11"/>
        <v>3780</v>
      </c>
      <c r="V198" s="123">
        <f t="shared" si="11"/>
        <v>2.3565566832569327</v>
      </c>
      <c r="W198" s="123">
        <f t="shared" si="11"/>
        <v>11.806317269160738</v>
      </c>
      <c r="X198" s="123">
        <f>X185-X184</f>
        <v>1182</v>
      </c>
      <c r="Y198" s="123">
        <f>Y185-Y184</f>
        <v>421</v>
      </c>
      <c r="AD198" s="127"/>
    </row>
    <row r="199" spans="1:30" ht="14.4" hidden="1" customHeight="1" thickTop="1" x14ac:dyDescent="0.35">
      <c r="A199" s="351" t="s">
        <v>47</v>
      </c>
      <c r="B199" s="90" t="s">
        <v>181</v>
      </c>
      <c r="C199" s="91">
        <f>AVERAGE(MEDIA[ARE 
(%)])</f>
        <v>0.60567773837361438</v>
      </c>
      <c r="D199" s="91">
        <f>AVERAGE(MEDIA[NRE 
(%)])</f>
        <v>0.57201731935187816</v>
      </c>
      <c r="E199" s="92" t="e">
        <f>AVERAGE(#REF!)</f>
        <v>#REF!</v>
      </c>
      <c r="F199" s="92" t="e">
        <f>AVERAGE(#REF!)</f>
        <v>#REF!</v>
      </c>
      <c r="G199" s="93">
        <f>AVERAGE(MEDIA[OLR
(kg COD m-3 d-1)])</f>
        <v>0.7476449906194762</v>
      </c>
      <c r="H199" s="93">
        <f>AVERAGE(MEDIA[ORR 
(kg COD m-3 d-1)])</f>
        <v>0.290502347631027</v>
      </c>
      <c r="I199" s="94">
        <f>AVERAGE(MEDIA[NH4-N 
(mg L-1)])</f>
        <v>513.34196078431376</v>
      </c>
      <c r="J199" s="94">
        <f>AVERAGE(MEDIA[NO2-N 
(mg L-1)])</f>
        <v>40.042836734693878</v>
      </c>
      <c r="K199" s="94">
        <f>AVERAGE(MEDIA[NO3-N 
(mg L-1)])</f>
        <v>12.439653061224492</v>
      </c>
      <c r="L199" s="93">
        <f>AVERAGE(MEDIA[SAAcombined
(g N g VSS-1d-1)])</f>
        <v>1.0590000000000002</v>
      </c>
      <c r="M199" s="91">
        <f>AVERAGE(MEDIA[NO3-N/ NH4-N])</f>
        <v>2.0862132629242768E-2</v>
      </c>
      <c r="N199" s="94">
        <f>AVERAGE(MEDIA[NO2-N/ NH4-N])</f>
        <v>0.13660371630135607</v>
      </c>
      <c r="O199" s="94">
        <f>AVERAGE(MEDIA[pHreactor])</f>
        <v>7.3765251760881769</v>
      </c>
      <c r="P199" s="94">
        <f>AVERAGE(MEDIA[Temp. 
(°C)])</f>
        <v>29.718997516588331</v>
      </c>
      <c r="Q199" s="95">
        <f>AVERAGE(MEDIA[HRT 
(h)])</f>
        <v>200.1327791172246</v>
      </c>
      <c r="R199" s="92">
        <f>AVERAGE(MEDIA[DO 
(mg L-1)])</f>
        <v>0.78764229455746881</v>
      </c>
      <c r="S199" s="82">
        <f>Q199/24</f>
        <v>8.3388657965510244</v>
      </c>
      <c r="T199" s="88"/>
      <c r="U199" s="88"/>
      <c r="V199" s="88"/>
      <c r="W199" s="88"/>
      <c r="AD199" s="127"/>
    </row>
    <row r="200" spans="1:30" ht="15.6" hidden="1" x14ac:dyDescent="0.35">
      <c r="A200" s="351"/>
      <c r="B200" s="43" t="s">
        <v>182</v>
      </c>
      <c r="C200" s="85">
        <f>MEDIAN(MEDIA[ARE 
(%)])</f>
        <v>0.56589941022280466</v>
      </c>
      <c r="D200" s="85">
        <f>MEDIAN(MEDIA[NRE 
(%)])</f>
        <v>0.50631795269484292</v>
      </c>
      <c r="E200" s="86" t="e">
        <f>MEDIAN(#REF!)</f>
        <v>#REF!</v>
      </c>
      <c r="F200" s="86" t="e">
        <f>MEDIAN(#REF!)</f>
        <v>#REF!</v>
      </c>
      <c r="G200" s="87">
        <f>MEDIAN(MEDIA[OLR
(kg COD m-3 d-1)])</f>
        <v>0.51161789532914348</v>
      </c>
      <c r="H200" s="87">
        <f>MEDIAN(MEDIA[ORR 
(kg COD m-3 d-1)])</f>
        <v>0.2149760857678461</v>
      </c>
      <c r="I200" s="82">
        <f>MEDIAN(MEDIA[NH4-N 
(mg L-1)])</f>
        <v>564.02</v>
      </c>
      <c r="J200" s="82">
        <f>MEDIAN(MEDIA[NO2-N 
(mg L-1)])</f>
        <v>15.375999999999999</v>
      </c>
      <c r="K200" s="82">
        <f>MEDIAN(MEDIA[NO3-N 
(mg L-1)])</f>
        <v>2.75</v>
      </c>
      <c r="L200" s="87">
        <f>MEDIAN(MEDIA[SAAcombined
(g N g VSS-1d-1)])</f>
        <v>1.214</v>
      </c>
      <c r="M200" s="85">
        <f>MEDIAN(MEDIA[NO3-N/ NH4-N])</f>
        <v>4.5770156208226713E-3</v>
      </c>
      <c r="N200" s="82">
        <f>MEDIAN(MEDIA[NO2-N/ NH4-N])</f>
        <v>3.3012916791829376E-2</v>
      </c>
      <c r="O200" s="82">
        <f>MEDIAN(MEDIA[pHreactor])</f>
        <v>7.4565674602385403</v>
      </c>
      <c r="P200" s="82">
        <f>MEDIAN(MEDIA[Temp. 
(°C)])</f>
        <v>30.222949961828135</v>
      </c>
      <c r="Q200" s="83">
        <f>MEDIAN(MEDIA[HRT 
(h)])</f>
        <v>129.12436651675904</v>
      </c>
      <c r="R200" s="86">
        <f>MEDIAN(MEDIA[DO 
(mg L-1)])</f>
        <v>0.75967979860963697</v>
      </c>
      <c r="S200" s="82">
        <f>Q200/24</f>
        <v>5.3801819381982936</v>
      </c>
      <c r="T200" s="88"/>
      <c r="U200" s="88"/>
      <c r="V200" s="88"/>
      <c r="W200" s="88"/>
      <c r="AD200" s="127"/>
    </row>
    <row r="201" spans="1:30" s="29" customFormat="1" ht="15.6" hidden="1" customHeight="1" x14ac:dyDescent="0.3">
      <c r="A201" s="351"/>
      <c r="B201" s="44" t="s">
        <v>185</v>
      </c>
      <c r="C201" s="85">
        <f>_xlfn.STDEV.P(MEDIA[ARE 
(%)])</f>
        <v>0.2167069131534097</v>
      </c>
      <c r="D201" s="85">
        <f>_xlfn.STDEV.P(MEDIA[NRE 
(%)])</f>
        <v>0.23122999943800207</v>
      </c>
      <c r="E201" s="86" t="e">
        <f>_xlfn.STDEV.P(#REF!)</f>
        <v>#REF!</v>
      </c>
      <c r="F201" s="86" t="e">
        <f>_xlfn.STDEV.P(#REF!)</f>
        <v>#REF!</v>
      </c>
      <c r="G201" s="87">
        <f>_xlfn.STDEV.P(MEDIA[OLR
(kg COD m-3 d-1)])</f>
        <v>0.84511981689656834</v>
      </c>
      <c r="H201" s="87">
        <f>_xlfn.STDEV.P(MEDIA[ORR 
(kg COD m-3 d-1)])</f>
        <v>0.25796231129199598</v>
      </c>
      <c r="I201" s="82">
        <f>_xlfn.STDEV.P(MEDIA[NH4-N 
(mg L-1)])</f>
        <v>290.90168728080977</v>
      </c>
      <c r="J201" s="82">
        <f>_xlfn.STDEV.P(MEDIA[NO2-N 
(mg L-1)])</f>
        <v>62.229635408176442</v>
      </c>
      <c r="K201" s="82">
        <f>_xlfn.STDEV.P(MEDIA[NO3-N 
(mg L-1)])</f>
        <v>36.723655776263755</v>
      </c>
      <c r="L201" s="87">
        <f>_xlfn.STDEV.P(MEDIA[SAAcombined
(g N g VSS-1d-1)])</f>
        <v>0.6768745165177299</v>
      </c>
      <c r="M201" s="85">
        <f>_xlfn.STDEV.P(MEDIA[NO3-N/ NH4-N])</f>
        <v>6.3705723951275356E-2</v>
      </c>
      <c r="N201" s="82">
        <f>_xlfn.STDEV.P(MEDIA[NO2-N/ NH4-N])</f>
        <v>0.25774131512960041</v>
      </c>
      <c r="O201" s="82">
        <f>_xlfn.STDEV.P(MEDIA[pHreactor])</f>
        <v>0.46534291375108328</v>
      </c>
      <c r="P201" s="82">
        <f>_xlfn.STDEV.P(MEDIA[Temp. 
(°C)])</f>
        <v>1.8837456380746525</v>
      </c>
      <c r="Q201" s="83">
        <f>_xlfn.STDEV.P(MEDIA[HRT 
(h)])</f>
        <v>201.68838397917912</v>
      </c>
      <c r="R201" s="86">
        <f>_xlfn.STDEV.P(MEDIA[DO 
(mg L-1)])</f>
        <v>0.50099217196795398</v>
      </c>
      <c r="S201" s="82"/>
      <c r="T201" s="88"/>
      <c r="U201" s="88"/>
      <c r="V201" s="88"/>
      <c r="W201" s="88"/>
      <c r="AD201" s="127"/>
    </row>
    <row r="202" spans="1:30" s="29" customFormat="1" ht="15.6" hidden="1" customHeight="1" x14ac:dyDescent="0.3">
      <c r="A202" s="351"/>
      <c r="B202" s="44" t="s">
        <v>184</v>
      </c>
      <c r="C202" s="85">
        <f>_xlfn.STDEV.S(MEDIA[ARE 
(%)])</f>
        <v>0.21886325395700637</v>
      </c>
      <c r="D202" s="85">
        <f>_xlfn.STDEV.S(MEDIA[NRE 
(%)])</f>
        <v>0.23362622923543322</v>
      </c>
      <c r="E202" s="86" t="e">
        <f>_xlfn.STDEV.S(#REF!)</f>
        <v>#REF!</v>
      </c>
      <c r="F202" s="86" t="e">
        <f>_xlfn.STDEV.S(#REF!)</f>
        <v>#REF!</v>
      </c>
      <c r="G202" s="87">
        <f>_xlfn.STDEV.S(MEDIA[OLR
(kg COD m-3 d-1)])</f>
        <v>0.85466949647494017</v>
      </c>
      <c r="H202" s="87">
        <f>_xlfn.STDEV.S(MEDIA[ORR 
(kg COD m-3 d-1)])</f>
        <v>0.26094463362109221</v>
      </c>
      <c r="I202" s="82">
        <f>_xlfn.STDEV.S(MEDIA[NH4-N 
(mg L-1)])</f>
        <v>293.79630272703986</v>
      </c>
      <c r="J202" s="82">
        <f>_xlfn.STDEV.S(MEDIA[NO2-N 
(mg L-1)])</f>
        <v>62.874519320345144</v>
      </c>
      <c r="K202" s="82">
        <f>_xlfn.STDEV.S(MEDIA[NO3-N 
(mg L-1)])</f>
        <v>37.104221959092811</v>
      </c>
      <c r="L202" s="87">
        <f>_xlfn.STDEV.S(MEDIA[SAAcombined
(g N g VSS-1d-1)])</f>
        <v>0.71793384096307888</v>
      </c>
      <c r="M202" s="85">
        <f>_xlfn.STDEV.S(MEDIA[NO3-N/ NH4-N])</f>
        <v>6.4365904526330411E-2</v>
      </c>
      <c r="N202" s="82">
        <f>_xlfn.STDEV.S(MEDIA[NO2-N/ NH4-N])</f>
        <v>0.26041228092488516</v>
      </c>
      <c r="O202" s="82">
        <f>_xlfn.STDEV.S(MEDIA[pHreactor])</f>
        <v>0.46997330554608635</v>
      </c>
      <c r="P202" s="82">
        <f>_xlfn.STDEV.S(MEDIA[Temp. 
(°C)])</f>
        <v>1.9024898374352976</v>
      </c>
      <c r="Q202" s="83">
        <f>_xlfn.STDEV.S(MEDIA[HRT 
(h)])</f>
        <v>203.69528300079867</v>
      </c>
      <c r="R202" s="86">
        <f>_xlfn.STDEV.S(MEDIA[DO 
(mg L-1)])</f>
        <v>0.50597729148710946</v>
      </c>
      <c r="S202" s="82"/>
      <c r="T202" s="88"/>
      <c r="U202" s="88"/>
      <c r="V202" s="88"/>
      <c r="W202" s="88"/>
      <c r="AD202" s="127"/>
    </row>
    <row r="203" spans="1:30" s="29" customFormat="1" ht="15.6" hidden="1" customHeight="1" x14ac:dyDescent="0.3">
      <c r="A203" s="351"/>
      <c r="B203" s="44" t="s">
        <v>187</v>
      </c>
      <c r="C203" s="85">
        <f>_xlfn.VAR.P(MEDIA[ARE 
(%)])</f>
        <v>4.6961886208479457E-2</v>
      </c>
      <c r="D203" s="85">
        <f>_xlfn.VAR.P(MEDIA[NRE 
(%)])</f>
        <v>5.3467312640098436E-2</v>
      </c>
      <c r="E203" s="86" t="e">
        <f>_xlfn.VAR.P(#REF!)</f>
        <v>#REF!</v>
      </c>
      <c r="F203" s="86" t="e">
        <f>_xlfn.VAR.P(#REF!)</f>
        <v>#REF!</v>
      </c>
      <c r="G203" s="87">
        <f>_xlfn.VAR.P(MEDIA[OLR
(kg COD m-3 d-1)])</f>
        <v>0.71422750491128928</v>
      </c>
      <c r="H203" s="87">
        <f>_xlfn.VAR.P(MEDIA[ORR 
(kg COD m-3 d-1)])</f>
        <v>6.6544554047108628E-2</v>
      </c>
      <c r="I203" s="82">
        <f>_xlfn.VAR.P(MEDIA[NH4-N 
(mg L-1)])</f>
        <v>84623.791662822041</v>
      </c>
      <c r="J203" s="82">
        <f>_xlfn.VAR.P(MEDIA[NO2-N 
(mg L-1)])</f>
        <v>3872.5275230345674</v>
      </c>
      <c r="K203" s="82">
        <f>_xlfn.VAR.P(MEDIA[NO3-N 
(mg L-1)])</f>
        <v>1348.6268935735104</v>
      </c>
      <c r="L203" s="87">
        <f>_xlfn.VAR.P(MEDIA[SAAcombined
(g N g VSS-1d-1)])</f>
        <v>0.45815911111111063</v>
      </c>
      <c r="M203" s="85">
        <f>_xlfn.VAR.P(MEDIA[NO3-N/ NH4-N])</f>
        <v>4.0584192641560978E-3</v>
      </c>
      <c r="N203" s="82">
        <f>_xlfn.VAR.P(MEDIA[NO2-N/ NH4-N])</f>
        <v>6.6430585524735977E-2</v>
      </c>
      <c r="O203" s="82">
        <f>_xlfn.VAR.P(MEDIA[pHreactor])</f>
        <v>0.2165440273783481</v>
      </c>
      <c r="P203" s="82">
        <f>_xlfn.VAR.P(MEDIA[Temp. 
(°C)])</f>
        <v>3.5484976289652796</v>
      </c>
      <c r="Q203" s="83">
        <f>_xlfn.VAR.P(MEDIA[HRT 
(h)])</f>
        <v>40678.204232132797</v>
      </c>
      <c r="R203" s="86">
        <f>_xlfn.VAR.P(MEDIA[DO 
(mg L-1)])</f>
        <v>0.25099315637316794</v>
      </c>
      <c r="S203" s="82"/>
      <c r="T203" s="88"/>
      <c r="U203" s="88"/>
      <c r="V203" s="88"/>
      <c r="W203" s="88"/>
      <c r="AD203" s="127"/>
    </row>
    <row r="204" spans="1:30" s="29" customFormat="1" ht="15.6" hidden="1" customHeight="1" x14ac:dyDescent="0.3">
      <c r="A204" s="351"/>
      <c r="B204" s="44" t="s">
        <v>186</v>
      </c>
      <c r="C204" s="85">
        <f>_xlfn.VAR.S(MEDIA[ARE 
(%)])</f>
        <v>4.7901123932649059E-2</v>
      </c>
      <c r="D204" s="85">
        <f>_xlfn.VAR.S(MEDIA[NRE 
(%)])</f>
        <v>5.4581214986767192E-2</v>
      </c>
      <c r="E204" s="86" t="e">
        <f>_xlfn.VAR.S(#REF!)</f>
        <v>#REF!</v>
      </c>
      <c r="F204" s="86" t="e">
        <f>_xlfn.VAR.S(#REF!)</f>
        <v>#REF!</v>
      </c>
      <c r="G204" s="87">
        <f>_xlfn.VAR.S(MEDIA[OLR
(kg COD m-3 d-1)])</f>
        <v>0.7304599482047277</v>
      </c>
      <c r="H204" s="87">
        <f>_xlfn.VAR.S(MEDIA[ORR 
(kg COD m-3 d-1)])</f>
        <v>6.8092101815646039E-2</v>
      </c>
      <c r="I204" s="82">
        <f>_xlfn.VAR.S(MEDIA[NH4-N 
(mg L-1)])</f>
        <v>86316.267496078464</v>
      </c>
      <c r="J204" s="82">
        <f>_xlfn.VAR.S(MEDIA[NO2-N 
(mg L-1)])</f>
        <v>3953.2051797644544</v>
      </c>
      <c r="K204" s="82">
        <f>_xlfn.VAR.S(MEDIA[NO3-N 
(mg L-1)])</f>
        <v>1376.7232871896251</v>
      </c>
      <c r="L204" s="87">
        <f>_xlfn.VAR.S(MEDIA[SAAcombined
(g N g VSS-1d-1)])</f>
        <v>0.51542899999999947</v>
      </c>
      <c r="M204" s="85">
        <f>_xlfn.VAR.S(MEDIA[NO3-N/ NH4-N])</f>
        <v>4.1429696654926825E-3</v>
      </c>
      <c r="N204" s="82">
        <f>_xlfn.VAR.S(MEDIA[NO2-N/ NH4-N])</f>
        <v>6.7814556056501316E-2</v>
      </c>
      <c r="O204" s="82">
        <f>_xlfn.VAR.S(MEDIA[pHreactor])</f>
        <v>0.22087490792591505</v>
      </c>
      <c r="P204" s="82">
        <f>_xlfn.VAR.S(MEDIA[Temp. 
(°C)])</f>
        <v>3.6194675815445851</v>
      </c>
      <c r="Q204" s="83">
        <f>_xlfn.VAR.S(MEDIA[HRT 
(h)])</f>
        <v>41491.768316775459</v>
      </c>
      <c r="R204" s="86">
        <f>_xlfn.VAR.S(MEDIA[DO 
(mg L-1)])</f>
        <v>0.25601301950063138</v>
      </c>
      <c r="S204" s="82"/>
      <c r="T204" s="88"/>
      <c r="U204" s="88"/>
      <c r="V204" s="88"/>
      <c r="W204" s="88"/>
      <c r="AD204" s="127"/>
    </row>
    <row r="205" spans="1:30" s="29" customFormat="1" ht="15.6" hidden="1" customHeight="1" x14ac:dyDescent="0.3">
      <c r="A205" s="351"/>
      <c r="B205" s="44" t="s">
        <v>200</v>
      </c>
      <c r="C205" s="117">
        <f>COUNT(MEDIA[ARE 
(%)])</f>
        <v>51</v>
      </c>
      <c r="D205" s="117">
        <f>COUNT(MEDIA[NRE 
(%)])</f>
        <v>49</v>
      </c>
      <c r="E205" s="83">
        <f>COUNT(#REF!)</f>
        <v>0</v>
      </c>
      <c r="F205" s="83">
        <f>COUNT(#REF!)</f>
        <v>0</v>
      </c>
      <c r="G205" s="83">
        <f>COUNT(MEDIA[OLR
(kg COD m-3 d-1)])</f>
        <v>45</v>
      </c>
      <c r="H205" s="83">
        <f>COUNT(MEDIA[ORR 
(kg COD m-3 d-1)])</f>
        <v>44</v>
      </c>
      <c r="I205" s="83">
        <f>COUNT(MEDIA[NH4-N 
(mg L-1)])</f>
        <v>51</v>
      </c>
      <c r="J205" s="83">
        <f>COUNT(MEDIA[NO2-N 
(mg L-1)])</f>
        <v>49</v>
      </c>
      <c r="K205" s="83">
        <f>COUNT(MEDIA[NO3-N 
(mg L-1)])</f>
        <v>49</v>
      </c>
      <c r="L205" s="83">
        <f>COUNT(MEDIA[SAAcombined
(g N g VSS-1d-1)])</f>
        <v>9</v>
      </c>
      <c r="M205" s="117">
        <f>COUNT(MEDIA[NO3-N/ NH4-N])</f>
        <v>49</v>
      </c>
      <c r="N205" s="83">
        <f>COUNT(MEDIA[NO2-N/ NH4-N])</f>
        <v>49</v>
      </c>
      <c r="O205" s="83">
        <f>COUNT(MEDIA[pHreactor])</f>
        <v>51</v>
      </c>
      <c r="P205" s="83">
        <f>COUNT(MEDIA[Temp. 
(°C)])</f>
        <v>51</v>
      </c>
      <c r="Q205" s="83">
        <f>COUNT(MEDIA[HRT 
(h)])</f>
        <v>51</v>
      </c>
      <c r="R205" s="83">
        <f>COUNT(MEDIA[DO 
(mg L-1)])</f>
        <v>51</v>
      </c>
      <c r="S205" s="82"/>
      <c r="T205" s="88"/>
      <c r="U205" s="88"/>
      <c r="V205" s="88"/>
      <c r="W205" s="88"/>
      <c r="AD205" s="127"/>
    </row>
    <row r="206" spans="1:30" s="29" customFormat="1" ht="15.6" hidden="1" customHeight="1" x14ac:dyDescent="0.3">
      <c r="A206" s="351"/>
      <c r="B206" s="44" t="s">
        <v>174</v>
      </c>
      <c r="C206" s="85">
        <f>MIN(MEDIA[ARE 
(%)])</f>
        <v>0.21345656192236603</v>
      </c>
      <c r="D206" s="85">
        <f>MIN(MEDIA[NRE 
(%)])</f>
        <v>0.20748389247472515</v>
      </c>
      <c r="E206" s="86" t="e">
        <f>MIN(#REF!)</f>
        <v>#REF!</v>
      </c>
      <c r="F206" s="86" t="e">
        <f>MIN(#REF!)</f>
        <v>#REF!</v>
      </c>
      <c r="G206" s="87">
        <f>MIN(MEDIA[OLR
(kg COD m-3 d-1)])</f>
        <v>0</v>
      </c>
      <c r="H206" s="87">
        <f>MIN(MEDIA[ORR 
(kg COD m-3 d-1)])</f>
        <v>0</v>
      </c>
      <c r="I206" s="82">
        <f>MIN(MEDIA[NH4-N 
(mg L-1)])</f>
        <v>19.329999999999998</v>
      </c>
      <c r="J206" s="82">
        <f>MIN(MEDIA[NO2-N 
(mg L-1)])</f>
        <v>8.0000000000000002E-3</v>
      </c>
      <c r="K206" s="82">
        <f>MIN(MEDIA[NO3-N 
(mg L-1)])</f>
        <v>8.1000000000000016E-2</v>
      </c>
      <c r="L206" s="87">
        <f>MIN(MEDIA[SAAcombined
(g N g VSS-1d-1)])</f>
        <v>0.158</v>
      </c>
      <c r="M206" s="85">
        <f>MIN(MEDIA[NO3-N/ NH4-N])</f>
        <v>5.826541695739433E-5</v>
      </c>
      <c r="N206" s="82">
        <f>MIN(MEDIA[NO2-N/ NH4-N])</f>
        <v>2.3267989064045142E-5</v>
      </c>
      <c r="O206" s="82">
        <f>MIN(MEDIA[pHreactor])</f>
        <v>6.3551720771802795</v>
      </c>
      <c r="P206" s="82">
        <f>MIN(MEDIA[Temp. 
(°C)])</f>
        <v>20.258395487961774</v>
      </c>
      <c r="Q206" s="83">
        <f>MIN(MEDIA[HRT 
(h)])</f>
        <v>13.647733808682398</v>
      </c>
      <c r="R206" s="86">
        <f>MIN(MEDIA[DO 
(mg L-1)])</f>
        <v>5.4614717239712479E-2</v>
      </c>
      <c r="S206" s="82"/>
      <c r="T206" s="88"/>
      <c r="U206" s="88"/>
      <c r="V206" s="88"/>
      <c r="W206" s="88"/>
      <c r="AD206" s="127"/>
    </row>
    <row r="207" spans="1:30" s="29" customFormat="1" ht="15.6" hidden="1" customHeight="1" x14ac:dyDescent="0.3">
      <c r="A207" s="351"/>
      <c r="B207" s="44" t="s">
        <v>175</v>
      </c>
      <c r="C207" s="85">
        <f>MAX(MEDIA[ARE 
(%)])</f>
        <v>0.98561434844087226</v>
      </c>
      <c r="D207" s="85">
        <f>MAX(MEDIA[NRE 
(%)])</f>
        <v>0.96912706043040342</v>
      </c>
      <c r="E207" s="86" t="e">
        <f>MAX(#REF!)</f>
        <v>#REF!</v>
      </c>
      <c r="F207" s="86" t="e">
        <f>MAX(#REF!)</f>
        <v>#REF!</v>
      </c>
      <c r="G207" s="87">
        <f>MAX(MEDIA[OLR
(kg COD m-3 d-1)])</f>
        <v>5.0645770916214179</v>
      </c>
      <c r="H207" s="87">
        <f>MAX(MEDIA[ORR 
(kg COD m-3 d-1)])</f>
        <v>1.0764828293302913</v>
      </c>
      <c r="I207" s="82">
        <f>MAX(MEDIA[NH4-N 
(mg L-1)])</f>
        <v>1063.8</v>
      </c>
      <c r="J207" s="82">
        <f>MAX(MEDIA[NO2-N 
(mg L-1)])</f>
        <v>346.25</v>
      </c>
      <c r="K207" s="82">
        <f>MAX(MEDIA[NO3-N 
(mg L-1)])</f>
        <v>237.40600000000001</v>
      </c>
      <c r="L207" s="87">
        <f>MAX(MEDIA[SAAcombined
(g N g VSS-1d-1)])</f>
        <v>2.048</v>
      </c>
      <c r="M207" s="85">
        <f>MAX(MEDIA[NO3-N/ NH4-N])</f>
        <v>0.40729125564000068</v>
      </c>
      <c r="N207" s="82">
        <f>MAX(MEDIA[NO2-N/ NH4-N])</f>
        <v>1.2634310427679003</v>
      </c>
      <c r="O207" s="82">
        <f>MAX(MEDIA[pHreactor])</f>
        <v>8.5212951618447477</v>
      </c>
      <c r="P207" s="82">
        <f>MAX(MEDIA[Temp. 
(°C)])</f>
        <v>32.51722166001155</v>
      </c>
      <c r="Q207" s="83">
        <f>MAX(MEDIA[HRT 
(h)])</f>
        <v>1140.1669585829252</v>
      </c>
      <c r="R207" s="86">
        <f>MAX(MEDIA[DO 
(mg L-1)])</f>
        <v>3.0341903840303837</v>
      </c>
      <c r="S207" s="82"/>
      <c r="T207" s="88"/>
      <c r="U207" s="88"/>
      <c r="V207" s="88"/>
      <c r="W207" s="88"/>
      <c r="AD207" s="127"/>
    </row>
    <row r="208" spans="1:30" s="29" customFormat="1" ht="15.6" hidden="1" customHeight="1" x14ac:dyDescent="0.3">
      <c r="A208" s="351"/>
      <c r="B208" s="99" t="s">
        <v>214</v>
      </c>
      <c r="C208" s="85">
        <f>SUMSQ(MEDIA[ARE 
(%)])</f>
        <v>21.104177857462652</v>
      </c>
      <c r="D208" s="85">
        <f>SUMSQ(MEDIA[NRE 
(%)])</f>
        <v>18.652885187651748</v>
      </c>
      <c r="E208" s="86" t="e">
        <f>SUMSQ(#REF!)</f>
        <v>#REF!</v>
      </c>
      <c r="F208" s="86" t="e">
        <f>SUMSQ(#REF!)</f>
        <v>#REF!</v>
      </c>
      <c r="G208" s="87">
        <f>SUMSQ(MEDIA[OLR
(kg COD m-3 d-1)])</f>
        <v>57.294024160935869</v>
      </c>
      <c r="H208" s="87">
        <f>SUMSQ(MEDIA[ORR 
(kg COD m-3 d-1)])</f>
        <v>6.6411913931548536</v>
      </c>
      <c r="I208" s="82">
        <f>SUMSQ(MEDIA[NH4-N 
(mg L-1)])</f>
        <v>17755331.7786</v>
      </c>
      <c r="J208" s="82">
        <f>SUMSQ(MEDIA[NO2-N 
(mg L-1)])</f>
        <v>268321.85854299995</v>
      </c>
      <c r="K208" s="82">
        <f>SUMSQ(MEDIA[NO3-N 
(mg L-1)])</f>
        <v>73665.221230999974</v>
      </c>
      <c r="L208" s="87">
        <f>SUMSQ(MEDIA[SAAcombined
(g N g VSS-1d-1)])</f>
        <v>14.216760999999998</v>
      </c>
      <c r="M208" s="85">
        <f>SUMSQ(MEDIA[NO3-N/ NH4-N])</f>
        <v>0.22018874425781443</v>
      </c>
      <c r="N208" s="82">
        <f>SUMSQ(MEDIA[NO2-N/ NH4-N])</f>
        <v>4.1694668807717905</v>
      </c>
      <c r="O208" s="82">
        <f>SUMSQ(MEDIA[pHreactor])</f>
        <v>2786.1130527428927</v>
      </c>
      <c r="P208" s="82">
        <f>SUMSQ(MEDIA[Temp. 
(°C)])</f>
        <v>45225.132862017395</v>
      </c>
      <c r="Q208" s="83">
        <f>SUMSQ(MEDIA[HRT 
(h)])</f>
        <v>4117298.0089751473</v>
      </c>
      <c r="R208" s="86">
        <f>SUMSQ(MEDIA[DO 
(mg L-1)])</f>
        <v>44.440050567995044</v>
      </c>
      <c r="S208" s="126"/>
      <c r="T208" s="88"/>
      <c r="U208" s="88"/>
      <c r="V208" s="88"/>
      <c r="W208" s="88"/>
      <c r="AD208" s="127"/>
    </row>
    <row r="209" spans="1:30" s="29" customFormat="1" ht="15.6" hidden="1" customHeight="1" x14ac:dyDescent="0.3">
      <c r="A209" s="351"/>
      <c r="B209" s="99" t="s">
        <v>206</v>
      </c>
      <c r="C209" s="101">
        <f>C201/C205</f>
        <v>4.2491551598707782E-3</v>
      </c>
      <c r="D209" s="101">
        <f t="shared" ref="D209:S209" si="12">D201/D205</f>
        <v>4.7189795803673894E-3</v>
      </c>
      <c r="E209" s="101" t="e">
        <f t="shared" si="12"/>
        <v>#REF!</v>
      </c>
      <c r="F209" s="101" t="e">
        <f t="shared" si="12"/>
        <v>#REF!</v>
      </c>
      <c r="G209" s="101">
        <f t="shared" si="12"/>
        <v>1.8780440375479296E-2</v>
      </c>
      <c r="H209" s="101">
        <f t="shared" si="12"/>
        <v>5.8627798020908176E-3</v>
      </c>
      <c r="I209" s="101">
        <f t="shared" si="12"/>
        <v>5.7039546525648976</v>
      </c>
      <c r="J209" s="101">
        <f t="shared" si="12"/>
        <v>1.2699925593505397</v>
      </c>
      <c r="K209" s="101">
        <f t="shared" si="12"/>
        <v>0.74946236278089295</v>
      </c>
      <c r="L209" s="101">
        <f t="shared" si="12"/>
        <v>7.5208279613081103E-2</v>
      </c>
      <c r="M209" s="101">
        <f t="shared" si="12"/>
        <v>1.3001168153321501E-3</v>
      </c>
      <c r="N209" s="101">
        <f t="shared" si="12"/>
        <v>5.2600268393796007E-3</v>
      </c>
      <c r="O209" s="101">
        <f t="shared" si="12"/>
        <v>9.1243708578643782E-3</v>
      </c>
      <c r="P209" s="101">
        <f t="shared" si="12"/>
        <v>3.6936188981855932E-2</v>
      </c>
      <c r="Q209" s="101">
        <f t="shared" si="12"/>
        <v>3.954674195670179</v>
      </c>
      <c r="R209" s="101">
        <f t="shared" si="12"/>
        <v>9.8233759209402742E-3</v>
      </c>
      <c r="S209" s="101" t="e">
        <f t="shared" si="12"/>
        <v>#DIV/0!</v>
      </c>
      <c r="T209" s="88"/>
      <c r="U209" s="88"/>
      <c r="V209" s="88"/>
      <c r="W209" s="88"/>
      <c r="AD209" s="127"/>
    </row>
    <row r="210" spans="1:30" s="29" customFormat="1" ht="15.6" hidden="1" customHeight="1" x14ac:dyDescent="0.3">
      <c r="A210" s="351"/>
      <c r="B210" s="99" t="s">
        <v>207</v>
      </c>
      <c r="C210" s="101">
        <f>C202/C205</f>
        <v>4.291436352098164E-3</v>
      </c>
      <c r="D210" s="101">
        <f t="shared" ref="D210:R210" si="13">D202/D205</f>
        <v>4.7678822292945558E-3</v>
      </c>
      <c r="E210" s="101" t="e">
        <f t="shared" si="13"/>
        <v>#REF!</v>
      </c>
      <c r="F210" s="101" t="e">
        <f t="shared" si="13"/>
        <v>#REF!</v>
      </c>
      <c r="G210" s="101">
        <f t="shared" si="13"/>
        <v>1.8992655477220892E-2</v>
      </c>
      <c r="H210" s="101">
        <f t="shared" si="13"/>
        <v>5.9305598550248228E-3</v>
      </c>
      <c r="I210" s="101">
        <f t="shared" si="13"/>
        <v>5.7607118181772519</v>
      </c>
      <c r="J210" s="101">
        <f t="shared" si="13"/>
        <v>1.2831534555172479</v>
      </c>
      <c r="K210" s="101">
        <f t="shared" si="13"/>
        <v>0.75722901957332267</v>
      </c>
      <c r="L210" s="101">
        <f t="shared" si="13"/>
        <v>7.9770426773675435E-2</v>
      </c>
      <c r="M210" s="101">
        <f t="shared" si="13"/>
        <v>1.3135898882924574E-3</v>
      </c>
      <c r="N210" s="101">
        <f t="shared" si="13"/>
        <v>5.3145363454058193E-3</v>
      </c>
      <c r="O210" s="101">
        <f t="shared" si="13"/>
        <v>9.2151628538448306E-3</v>
      </c>
      <c r="P210" s="101">
        <f t="shared" si="13"/>
        <v>3.7303722302652893E-2</v>
      </c>
      <c r="Q210" s="101">
        <f t="shared" si="13"/>
        <v>3.9940251568784051</v>
      </c>
      <c r="R210" s="101">
        <f t="shared" si="13"/>
        <v>9.9211233624923421E-3</v>
      </c>
      <c r="S210" s="82"/>
      <c r="T210" s="88"/>
      <c r="U210" s="88"/>
      <c r="V210" s="88"/>
      <c r="W210" s="88"/>
      <c r="AD210" s="127"/>
    </row>
    <row r="211" spans="1:30" s="29" customFormat="1" ht="15.6" hidden="1" customHeight="1" x14ac:dyDescent="0.35">
      <c r="A211" s="351"/>
      <c r="B211" s="99" t="s">
        <v>188</v>
      </c>
      <c r="C211" s="85">
        <f t="shared" ref="C211:R211" si="14">C199+C201</f>
        <v>0.82238465152702411</v>
      </c>
      <c r="D211" s="85">
        <f t="shared" si="14"/>
        <v>0.8032473187898802</v>
      </c>
      <c r="E211" s="86" t="e">
        <f t="shared" si="14"/>
        <v>#REF!</v>
      </c>
      <c r="F211" s="86" t="e">
        <f t="shared" si="14"/>
        <v>#REF!</v>
      </c>
      <c r="G211" s="87">
        <f t="shared" si="14"/>
        <v>1.5927648075160445</v>
      </c>
      <c r="H211" s="87">
        <f t="shared" si="14"/>
        <v>0.54846465892302299</v>
      </c>
      <c r="I211" s="82">
        <f t="shared" si="14"/>
        <v>804.24364806512358</v>
      </c>
      <c r="J211" s="82">
        <f t="shared" si="14"/>
        <v>102.27247214287033</v>
      </c>
      <c r="K211" s="82">
        <f t="shared" si="14"/>
        <v>49.163308837488245</v>
      </c>
      <c r="L211" s="87">
        <f t="shared" si="14"/>
        <v>1.7358745165177301</v>
      </c>
      <c r="M211" s="85">
        <f t="shared" si="14"/>
        <v>8.456785658051813E-2</v>
      </c>
      <c r="N211" s="82">
        <f t="shared" si="14"/>
        <v>0.39434503143095645</v>
      </c>
      <c r="O211" s="82">
        <f t="shared" si="14"/>
        <v>7.8418680898392603</v>
      </c>
      <c r="P211" s="82">
        <f t="shared" si="14"/>
        <v>31.602743154662985</v>
      </c>
      <c r="Q211" s="83">
        <f t="shared" si="14"/>
        <v>401.82116309640372</v>
      </c>
      <c r="R211" s="86">
        <f t="shared" si="14"/>
        <v>1.2886344665254228</v>
      </c>
      <c r="S211" s="82"/>
      <c r="T211" s="88"/>
      <c r="U211" s="88"/>
      <c r="V211" s="88"/>
      <c r="W211" s="88"/>
      <c r="AD211" s="127"/>
    </row>
    <row r="212" spans="1:30" s="29" customFormat="1" ht="15.6" hidden="1" customHeight="1" x14ac:dyDescent="0.35">
      <c r="A212" s="351"/>
      <c r="B212" s="99" t="s">
        <v>189</v>
      </c>
      <c r="C212" s="85">
        <f t="shared" ref="C212:R212" si="15">C199-C201</f>
        <v>0.38897082522020465</v>
      </c>
      <c r="D212" s="85">
        <f t="shared" si="15"/>
        <v>0.34078731991387612</v>
      </c>
      <c r="E212" s="86" t="e">
        <f t="shared" si="15"/>
        <v>#REF!</v>
      </c>
      <c r="F212" s="86" t="e">
        <f t="shared" si="15"/>
        <v>#REF!</v>
      </c>
      <c r="G212" s="87">
        <f t="shared" si="15"/>
        <v>-9.7474826277092141E-2</v>
      </c>
      <c r="H212" s="87">
        <f t="shared" si="15"/>
        <v>3.254003633903102E-2</v>
      </c>
      <c r="I212" s="82">
        <f t="shared" si="15"/>
        <v>222.44027350350399</v>
      </c>
      <c r="J212" s="82">
        <f t="shared" si="15"/>
        <v>-22.186798673482564</v>
      </c>
      <c r="K212" s="82">
        <f t="shared" si="15"/>
        <v>-24.284002715039264</v>
      </c>
      <c r="L212" s="87">
        <f t="shared" si="15"/>
        <v>0.38212548348227027</v>
      </c>
      <c r="M212" s="85">
        <f t="shared" si="15"/>
        <v>-4.2843591322032588E-2</v>
      </c>
      <c r="N212" s="82">
        <f t="shared" si="15"/>
        <v>-0.12113759882824435</v>
      </c>
      <c r="O212" s="82">
        <f t="shared" si="15"/>
        <v>6.9111822623370935</v>
      </c>
      <c r="P212" s="82">
        <f t="shared" si="15"/>
        <v>27.835251878513677</v>
      </c>
      <c r="Q212" s="83">
        <f t="shared" si="15"/>
        <v>-1.5556048619545209</v>
      </c>
      <c r="R212" s="86">
        <f t="shared" si="15"/>
        <v>0.28665012258951483</v>
      </c>
      <c r="S212" s="82"/>
      <c r="T212" s="88"/>
      <c r="U212" s="88"/>
      <c r="V212" s="88"/>
      <c r="W212" s="88"/>
      <c r="AD212" s="127"/>
    </row>
    <row r="213" spans="1:30" s="29" customFormat="1" ht="15.6" hidden="1" customHeight="1" x14ac:dyDescent="0.35">
      <c r="A213" s="351"/>
      <c r="B213" s="99" t="s">
        <v>196</v>
      </c>
      <c r="C213" s="85">
        <f t="shared" ref="C213:R213" si="16">C199+C202</f>
        <v>0.82454099233062073</v>
      </c>
      <c r="D213" s="85">
        <f t="shared" si="16"/>
        <v>0.80564354858731135</v>
      </c>
      <c r="E213" s="86" t="e">
        <f t="shared" si="16"/>
        <v>#REF!</v>
      </c>
      <c r="F213" s="86" t="e">
        <f t="shared" si="16"/>
        <v>#REF!</v>
      </c>
      <c r="G213" s="87">
        <f t="shared" si="16"/>
        <v>1.6023144870944164</v>
      </c>
      <c r="H213" s="87">
        <f t="shared" si="16"/>
        <v>0.55144698125211922</v>
      </c>
      <c r="I213" s="82">
        <f t="shared" si="16"/>
        <v>807.13826351135367</v>
      </c>
      <c r="J213" s="82">
        <f t="shared" si="16"/>
        <v>102.91735605503902</v>
      </c>
      <c r="K213" s="82">
        <f t="shared" si="16"/>
        <v>49.543875020317302</v>
      </c>
      <c r="L213" s="87">
        <f t="shared" si="16"/>
        <v>1.776933840963079</v>
      </c>
      <c r="M213" s="85">
        <f t="shared" si="16"/>
        <v>8.5228037155573172E-2</v>
      </c>
      <c r="N213" s="82">
        <f t="shared" si="16"/>
        <v>0.39701599722624126</v>
      </c>
      <c r="O213" s="82">
        <f t="shared" si="16"/>
        <v>7.8464984816342636</v>
      </c>
      <c r="P213" s="82">
        <f t="shared" si="16"/>
        <v>31.621487354023628</v>
      </c>
      <c r="Q213" s="83">
        <f t="shared" si="16"/>
        <v>403.82806211802324</v>
      </c>
      <c r="R213" s="86">
        <f t="shared" si="16"/>
        <v>1.2936195860445783</v>
      </c>
      <c r="S213" s="82"/>
      <c r="T213" s="88"/>
      <c r="U213" s="88"/>
      <c r="V213" s="88"/>
      <c r="W213" s="88"/>
      <c r="AD213" s="127"/>
    </row>
    <row r="214" spans="1:30" s="29" customFormat="1" ht="15.6" hidden="1" customHeight="1" x14ac:dyDescent="0.35">
      <c r="A214" s="351"/>
      <c r="B214" s="99" t="s">
        <v>195</v>
      </c>
      <c r="C214" s="85">
        <f t="shared" ref="C214:R214" si="17">C199-C202</f>
        <v>0.38681448441660804</v>
      </c>
      <c r="D214" s="85">
        <f t="shared" si="17"/>
        <v>0.33839109011644497</v>
      </c>
      <c r="E214" s="86" t="e">
        <f t="shared" si="17"/>
        <v>#REF!</v>
      </c>
      <c r="F214" s="86" t="e">
        <f t="shared" si="17"/>
        <v>#REF!</v>
      </c>
      <c r="G214" s="87">
        <f t="shared" si="17"/>
        <v>-0.10702450585546397</v>
      </c>
      <c r="H214" s="87">
        <f t="shared" si="17"/>
        <v>2.9557714009934788E-2</v>
      </c>
      <c r="I214" s="82">
        <f t="shared" si="17"/>
        <v>219.5456580572739</v>
      </c>
      <c r="J214" s="82">
        <f t="shared" si="17"/>
        <v>-22.831682585651265</v>
      </c>
      <c r="K214" s="82">
        <f t="shared" si="17"/>
        <v>-24.664568897868321</v>
      </c>
      <c r="L214" s="87">
        <f t="shared" si="17"/>
        <v>0.34106615903692128</v>
      </c>
      <c r="M214" s="85">
        <f t="shared" si="17"/>
        <v>-4.3503771897087644E-2</v>
      </c>
      <c r="N214" s="82">
        <f t="shared" si="17"/>
        <v>-0.1238085646235291</v>
      </c>
      <c r="O214" s="82">
        <f t="shared" si="17"/>
        <v>6.9065518705420903</v>
      </c>
      <c r="P214" s="82">
        <f t="shared" si="17"/>
        <v>27.816507679153034</v>
      </c>
      <c r="Q214" s="83">
        <f t="shared" si="17"/>
        <v>-3.5625038835740668</v>
      </c>
      <c r="R214" s="86">
        <f t="shared" si="17"/>
        <v>0.28166500307035935</v>
      </c>
      <c r="S214" s="82"/>
      <c r="T214" s="88"/>
      <c r="U214" s="88"/>
      <c r="V214" s="88"/>
      <c r="W214" s="88"/>
      <c r="AD214" s="127"/>
    </row>
    <row r="215" spans="1:30" s="29" customFormat="1" ht="15.6" hidden="1" customHeight="1" x14ac:dyDescent="0.35">
      <c r="A215" s="351"/>
      <c r="B215" s="99" t="s">
        <v>194</v>
      </c>
      <c r="C215" s="85">
        <f t="shared" ref="C215:R215" si="18">C200+C201</f>
        <v>0.78260632337621439</v>
      </c>
      <c r="D215" s="85">
        <f t="shared" si="18"/>
        <v>0.73754795213284496</v>
      </c>
      <c r="E215" s="86" t="e">
        <f t="shared" si="18"/>
        <v>#REF!</v>
      </c>
      <c r="F215" s="86" t="e">
        <f t="shared" si="18"/>
        <v>#REF!</v>
      </c>
      <c r="G215" s="87">
        <f t="shared" si="18"/>
        <v>1.3567377122257118</v>
      </c>
      <c r="H215" s="87">
        <f t="shared" si="18"/>
        <v>0.47293839705984209</v>
      </c>
      <c r="I215" s="82">
        <f t="shared" si="18"/>
        <v>854.92168728080969</v>
      </c>
      <c r="J215" s="82">
        <f t="shared" si="18"/>
        <v>77.60563540817644</v>
      </c>
      <c r="K215" s="82">
        <f t="shared" si="18"/>
        <v>39.473655776263755</v>
      </c>
      <c r="L215" s="87">
        <f t="shared" si="18"/>
        <v>1.8908745165177299</v>
      </c>
      <c r="M215" s="85">
        <f t="shared" si="18"/>
        <v>6.8282739572098031E-2</v>
      </c>
      <c r="N215" s="82">
        <f t="shared" si="18"/>
        <v>0.2907542319214298</v>
      </c>
      <c r="O215" s="82">
        <f t="shared" si="18"/>
        <v>7.9219103739896237</v>
      </c>
      <c r="P215" s="82">
        <f t="shared" si="18"/>
        <v>32.106695599902785</v>
      </c>
      <c r="Q215" s="83">
        <f t="shared" si="18"/>
        <v>330.81275049593819</v>
      </c>
      <c r="R215" s="86">
        <f t="shared" si="18"/>
        <v>1.2606719705775911</v>
      </c>
      <c r="S215" s="82"/>
      <c r="T215" s="88"/>
      <c r="U215" s="88"/>
      <c r="V215" s="88"/>
      <c r="W215" s="88"/>
      <c r="AD215" s="127"/>
    </row>
    <row r="216" spans="1:30" s="29" customFormat="1" ht="15.6" hidden="1" customHeight="1" x14ac:dyDescent="0.35">
      <c r="A216" s="351"/>
      <c r="B216" s="99" t="s">
        <v>193</v>
      </c>
      <c r="C216" s="85">
        <f t="shared" ref="C216:R216" si="19">C200-C201</f>
        <v>0.34919249706939492</v>
      </c>
      <c r="D216" s="85">
        <f t="shared" si="19"/>
        <v>0.27508795325684088</v>
      </c>
      <c r="E216" s="86" t="e">
        <f t="shared" si="19"/>
        <v>#REF!</v>
      </c>
      <c r="F216" s="86" t="e">
        <f t="shared" si="19"/>
        <v>#REF!</v>
      </c>
      <c r="G216" s="87">
        <f t="shared" si="19"/>
        <v>-0.33350192156742486</v>
      </c>
      <c r="H216" s="87">
        <f t="shared" si="19"/>
        <v>-4.2986225524149879E-2</v>
      </c>
      <c r="I216" s="82">
        <f t="shared" si="19"/>
        <v>273.11831271919021</v>
      </c>
      <c r="J216" s="82">
        <f t="shared" si="19"/>
        <v>-46.853635408176444</v>
      </c>
      <c r="K216" s="82">
        <f t="shared" si="19"/>
        <v>-33.973655776263755</v>
      </c>
      <c r="L216" s="87">
        <f t="shared" si="19"/>
        <v>0.53712548348227007</v>
      </c>
      <c r="M216" s="85">
        <f t="shared" si="19"/>
        <v>-5.9128708330452681E-2</v>
      </c>
      <c r="N216" s="82">
        <f t="shared" si="19"/>
        <v>-0.22472839833777103</v>
      </c>
      <c r="O216" s="82">
        <f t="shared" si="19"/>
        <v>6.9912245464874569</v>
      </c>
      <c r="P216" s="82">
        <f t="shared" si="19"/>
        <v>28.339204323753481</v>
      </c>
      <c r="Q216" s="83">
        <f t="shared" si="19"/>
        <v>-72.564017462420082</v>
      </c>
      <c r="R216" s="86">
        <f t="shared" si="19"/>
        <v>0.25868762664168299</v>
      </c>
      <c r="S216" s="82"/>
      <c r="T216" s="88"/>
      <c r="U216" s="88"/>
      <c r="V216" s="88"/>
      <c r="W216" s="88"/>
      <c r="AD216" s="127"/>
    </row>
    <row r="217" spans="1:30" s="29" customFormat="1" ht="15.6" hidden="1" customHeight="1" x14ac:dyDescent="0.35">
      <c r="A217" s="351"/>
      <c r="B217" s="99" t="s">
        <v>191</v>
      </c>
      <c r="C217" s="85">
        <f t="shared" ref="C217:R217" si="20">C200+C201</f>
        <v>0.78260632337621439</v>
      </c>
      <c r="D217" s="85">
        <f t="shared" si="20"/>
        <v>0.73754795213284496</v>
      </c>
      <c r="E217" s="86" t="e">
        <f t="shared" si="20"/>
        <v>#REF!</v>
      </c>
      <c r="F217" s="86" t="e">
        <f t="shared" si="20"/>
        <v>#REF!</v>
      </c>
      <c r="G217" s="87">
        <f t="shared" si="20"/>
        <v>1.3567377122257118</v>
      </c>
      <c r="H217" s="87">
        <f t="shared" si="20"/>
        <v>0.47293839705984209</v>
      </c>
      <c r="I217" s="82">
        <f t="shared" si="20"/>
        <v>854.92168728080969</v>
      </c>
      <c r="J217" s="82">
        <f t="shared" si="20"/>
        <v>77.60563540817644</v>
      </c>
      <c r="K217" s="82">
        <f t="shared" si="20"/>
        <v>39.473655776263755</v>
      </c>
      <c r="L217" s="87">
        <f t="shared" si="20"/>
        <v>1.8908745165177299</v>
      </c>
      <c r="M217" s="85">
        <f t="shared" si="20"/>
        <v>6.8282739572098031E-2</v>
      </c>
      <c r="N217" s="82">
        <f t="shared" si="20"/>
        <v>0.2907542319214298</v>
      </c>
      <c r="O217" s="82">
        <f t="shared" si="20"/>
        <v>7.9219103739896237</v>
      </c>
      <c r="P217" s="82">
        <f t="shared" si="20"/>
        <v>32.106695599902785</v>
      </c>
      <c r="Q217" s="83">
        <f t="shared" si="20"/>
        <v>330.81275049593819</v>
      </c>
      <c r="R217" s="86">
        <f t="shared" si="20"/>
        <v>1.2606719705775911</v>
      </c>
      <c r="S217" s="82"/>
      <c r="T217" s="88"/>
      <c r="U217" s="88"/>
      <c r="V217" s="88"/>
      <c r="W217" s="88"/>
      <c r="AD217" s="127"/>
    </row>
    <row r="218" spans="1:30" s="29" customFormat="1" ht="15.6" hidden="1" customHeight="1" x14ac:dyDescent="0.35">
      <c r="A218" s="351"/>
      <c r="B218" s="99" t="s">
        <v>192</v>
      </c>
      <c r="C218" s="85">
        <f t="shared" ref="C218:R218" si="21">C200-C202</f>
        <v>0.34703615626579831</v>
      </c>
      <c r="D218" s="85">
        <f t="shared" si="21"/>
        <v>0.27269172345940973</v>
      </c>
      <c r="E218" s="86" t="e">
        <f t="shared" si="21"/>
        <v>#REF!</v>
      </c>
      <c r="F218" s="86" t="e">
        <f t="shared" si="21"/>
        <v>#REF!</v>
      </c>
      <c r="G218" s="87">
        <f t="shared" si="21"/>
        <v>-0.34305160114579669</v>
      </c>
      <c r="H218" s="87">
        <f t="shared" si="21"/>
        <v>-4.5968547853246111E-2</v>
      </c>
      <c r="I218" s="82">
        <f t="shared" si="21"/>
        <v>270.22369727296012</v>
      </c>
      <c r="J218" s="82">
        <f t="shared" si="21"/>
        <v>-47.498519320345146</v>
      </c>
      <c r="K218" s="82">
        <f t="shared" si="21"/>
        <v>-34.354221959092811</v>
      </c>
      <c r="L218" s="87">
        <f t="shared" si="21"/>
        <v>0.49606615903692108</v>
      </c>
      <c r="M218" s="85">
        <f t="shared" si="21"/>
        <v>-5.9788888905507737E-2</v>
      </c>
      <c r="N218" s="82">
        <f t="shared" si="21"/>
        <v>-0.22739936413305578</v>
      </c>
      <c r="O218" s="82">
        <f t="shared" si="21"/>
        <v>6.9865941546924537</v>
      </c>
      <c r="P218" s="82">
        <f t="shared" si="21"/>
        <v>28.320460124392838</v>
      </c>
      <c r="Q218" s="83">
        <f t="shared" si="21"/>
        <v>-74.570916484039628</v>
      </c>
      <c r="R218" s="86">
        <f t="shared" si="21"/>
        <v>0.25370250712252751</v>
      </c>
      <c r="S218" s="82"/>
      <c r="T218" s="88"/>
      <c r="U218" s="88"/>
      <c r="V218" s="88"/>
      <c r="W218" s="88"/>
      <c r="AD218" s="127"/>
    </row>
    <row r="219" spans="1:30" s="29" customFormat="1" ht="15.6" hidden="1" customHeight="1" x14ac:dyDescent="0.3">
      <c r="A219" s="351"/>
      <c r="B219" s="99" t="s">
        <v>205</v>
      </c>
      <c r="C219" s="102">
        <f>C205-1</f>
        <v>50</v>
      </c>
      <c r="D219" s="102">
        <f t="shared" ref="D219:R219" si="22">D205-1</f>
        <v>48</v>
      </c>
      <c r="E219" s="102">
        <f t="shared" si="22"/>
        <v>-1</v>
      </c>
      <c r="F219" s="102">
        <f t="shared" si="22"/>
        <v>-1</v>
      </c>
      <c r="G219" s="102">
        <f t="shared" si="22"/>
        <v>44</v>
      </c>
      <c r="H219" s="102">
        <f t="shared" si="22"/>
        <v>43</v>
      </c>
      <c r="I219" s="102">
        <f t="shared" si="22"/>
        <v>50</v>
      </c>
      <c r="J219" s="102">
        <f t="shared" si="22"/>
        <v>48</v>
      </c>
      <c r="K219" s="102">
        <f t="shared" si="22"/>
        <v>48</v>
      </c>
      <c r="L219" s="102">
        <f t="shared" si="22"/>
        <v>8</v>
      </c>
      <c r="M219" s="102">
        <f t="shared" si="22"/>
        <v>48</v>
      </c>
      <c r="N219" s="102">
        <f t="shared" si="22"/>
        <v>48</v>
      </c>
      <c r="O219" s="102">
        <f t="shared" si="22"/>
        <v>50</v>
      </c>
      <c r="P219" s="102">
        <f t="shared" si="22"/>
        <v>50</v>
      </c>
      <c r="Q219" s="102">
        <f t="shared" si="22"/>
        <v>50</v>
      </c>
      <c r="R219" s="102">
        <f t="shared" si="22"/>
        <v>50</v>
      </c>
      <c r="S219" s="82"/>
      <c r="T219" s="88"/>
      <c r="U219" s="88"/>
      <c r="V219" s="88"/>
      <c r="W219" s="88"/>
      <c r="AD219" s="127"/>
    </row>
    <row r="220" spans="1:30" s="29" customFormat="1" ht="15.6" hidden="1" customHeight="1" thickBot="1" x14ac:dyDescent="0.4">
      <c r="A220" s="352"/>
      <c r="B220" s="96" t="s">
        <v>190</v>
      </c>
      <c r="C220" s="97">
        <f t="shared" ref="C220:R220" si="23">C207-C206</f>
        <v>0.7721577865185062</v>
      </c>
      <c r="D220" s="97">
        <f t="shared" si="23"/>
        <v>0.76164316795567832</v>
      </c>
      <c r="E220" s="98" t="e">
        <f t="shared" si="23"/>
        <v>#REF!</v>
      </c>
      <c r="F220" s="98" t="e">
        <f t="shared" si="23"/>
        <v>#REF!</v>
      </c>
      <c r="G220" s="104">
        <f t="shared" si="23"/>
        <v>5.0645770916214179</v>
      </c>
      <c r="H220" s="104">
        <f t="shared" si="23"/>
        <v>1.0764828293302913</v>
      </c>
      <c r="I220" s="98">
        <f t="shared" si="23"/>
        <v>1044.47</v>
      </c>
      <c r="J220" s="98">
        <f t="shared" si="23"/>
        <v>346.24200000000002</v>
      </c>
      <c r="K220" s="98">
        <f t="shared" si="23"/>
        <v>237.32500000000002</v>
      </c>
      <c r="L220" s="98">
        <f t="shared" si="23"/>
        <v>1.8900000000000001</v>
      </c>
      <c r="M220" s="97">
        <f t="shared" si="23"/>
        <v>0.40723299022304327</v>
      </c>
      <c r="N220" s="98">
        <f t="shared" si="23"/>
        <v>1.2634077747788364</v>
      </c>
      <c r="O220" s="98">
        <f t="shared" si="23"/>
        <v>2.1661230846644681</v>
      </c>
      <c r="P220" s="98">
        <f t="shared" si="23"/>
        <v>12.258826172049776</v>
      </c>
      <c r="Q220" s="98">
        <f t="shared" si="23"/>
        <v>1126.5192247742427</v>
      </c>
      <c r="R220" s="98">
        <f t="shared" si="23"/>
        <v>2.9795756667906712</v>
      </c>
      <c r="S220" s="82"/>
      <c r="T220" s="88"/>
      <c r="U220" s="88"/>
      <c r="V220" s="88"/>
      <c r="W220" s="88"/>
      <c r="AD220" s="127"/>
    </row>
    <row r="221" spans="1:30" ht="16.2" hidden="1" thickTop="1" x14ac:dyDescent="0.35">
      <c r="A221" s="353" t="s">
        <v>48</v>
      </c>
      <c r="B221" s="111" t="s">
        <v>181</v>
      </c>
      <c r="C221" s="112">
        <f>AVERAGE(GSBR[ARE 
(%)])</f>
        <v>0.73278534512141202</v>
      </c>
      <c r="D221" s="112">
        <f>AVERAGE(GSBR[NRE 
(%)])</f>
        <v>0.56940998370992213</v>
      </c>
      <c r="E221" s="113" t="e">
        <f>AVERAGE(#REF!)</f>
        <v>#REF!</v>
      </c>
      <c r="F221" s="113" t="e">
        <f>AVERAGE(#REF!)</f>
        <v>#REF!</v>
      </c>
      <c r="G221" s="114">
        <f>AVERAGE(GSBR[OLR 
(kg COD m-3 d-1)])</f>
        <v>1.1500219207361213</v>
      </c>
      <c r="H221" s="114">
        <f>AVERAGE(GSBR[ORR 
(kg COD m-3 d-1)])</f>
        <v>0.58040915229004642</v>
      </c>
      <c r="I221" s="115">
        <f>AVERAGE(GSBR[NH4-N 
(mg L-1)])</f>
        <v>356.7936666666667</v>
      </c>
      <c r="J221" s="115">
        <f>AVERAGE(GSBR[NO2-N 
(mg L-1)])</f>
        <v>134.97706666666667</v>
      </c>
      <c r="K221" s="115">
        <f>AVERAGE(GSBR[NO3-N 
(mg L-1)])</f>
        <v>85.490266666666685</v>
      </c>
      <c r="L221" s="114">
        <f>AVERAGE(GSBR[SAA 
(g N  g VSS-1 d-1)])</f>
        <v>6.3E-2</v>
      </c>
      <c r="M221" s="112">
        <f>AVERAGE(GSBR[NO3-N/ NH4-N])</f>
        <v>8.9128719868914533E-2</v>
      </c>
      <c r="N221" s="115">
        <f>AVERAGE(GSBR[NO2-N/ NH4-N ])</f>
        <v>0.49345975268687375</v>
      </c>
      <c r="O221" s="115">
        <f>AVERAGE(GSBR[pHreactor])</f>
        <v>7.8027144208333343</v>
      </c>
      <c r="P221" s="115">
        <f>AVERAGE(GSBR[Temp. 
(°C)])</f>
        <v>28.210740916666669</v>
      </c>
      <c r="Q221" s="116">
        <f>AVERAGE(GSBR[HRT 
(h)])</f>
        <v>62.126789000000009</v>
      </c>
      <c r="R221" s="113">
        <f>AVERAGE(GSBR[DO 
(mg L-1)])</f>
        <v>0.5594658019196429</v>
      </c>
      <c r="S221" s="82">
        <f>Q221/24</f>
        <v>2.5886162083333337</v>
      </c>
      <c r="T221" s="88"/>
      <c r="U221" s="88"/>
      <c r="V221" s="88"/>
      <c r="W221" s="88"/>
      <c r="AD221" s="127"/>
    </row>
    <row r="222" spans="1:30" s="29" customFormat="1" ht="15.6" hidden="1" x14ac:dyDescent="0.35">
      <c r="A222" s="354"/>
      <c r="B222" s="43" t="s">
        <v>182</v>
      </c>
      <c r="C222" s="85">
        <f>MEDIAN(GSBR[ARE 
(%)])</f>
        <v>0.829962099772803</v>
      </c>
      <c r="D222" s="85">
        <f>MEDIAN(GSBR[NRE 
(%)])</f>
        <v>0.63252555419734402</v>
      </c>
      <c r="E222" s="86" t="e">
        <f>MEDIAN(#REF!)</f>
        <v>#REF!</v>
      </c>
      <c r="F222" s="86" t="e">
        <f>MEDIAN(#REF!)</f>
        <v>#REF!</v>
      </c>
      <c r="G222" s="87">
        <f>MEDIAN(GSBR[OLR 
(kg COD m-3 d-1)])</f>
        <v>1.1260465116279068</v>
      </c>
      <c r="H222" s="87">
        <f>MEDIAN(GSBR[ORR 
(kg COD m-3 d-1)])</f>
        <v>0.53310336979111839</v>
      </c>
      <c r="I222" s="82">
        <f>MEDIAN(GSBR[NH4-N 
(mg L-1)])</f>
        <v>244.13500000000002</v>
      </c>
      <c r="J222" s="82">
        <f>MEDIAN(GSBR[NO2-N 
(mg L-1)])</f>
        <v>29.207999999999998</v>
      </c>
      <c r="K222" s="82">
        <f>MEDIAN(GSBR[NO3-N 
(mg L-1)])</f>
        <v>52.716999999999999</v>
      </c>
      <c r="L222" s="87">
        <f>MEDIAN(GSBR[SAA 
(g N  g VSS-1 d-1)])</f>
        <v>6.3E-2</v>
      </c>
      <c r="M222" s="85">
        <f>MEDIAN(GSBR[NO3-N/ NH4-N])</f>
        <v>6.2159960691886208E-2</v>
      </c>
      <c r="N222" s="82">
        <f>MEDIAN(GSBR[NO2-N/ NH4-N ])</f>
        <v>0.10681941707170435</v>
      </c>
      <c r="O222" s="82">
        <f>MEDIAN(GSBR[pHreactor])</f>
        <v>7.6291385312499997</v>
      </c>
      <c r="P222" s="82">
        <f>MEDIAN(GSBR[Temp. 
(°C)])</f>
        <v>28.511122812499998</v>
      </c>
      <c r="Q222" s="83">
        <f>MEDIAN(GSBR[HRT 
(h)])</f>
        <v>48.322220000000002</v>
      </c>
      <c r="R222" s="86">
        <f>MEDIAN(GSBR[DO 
(mg L-1)])</f>
        <v>0.45378178125000002</v>
      </c>
      <c r="S222" s="82"/>
      <c r="T222" s="88"/>
      <c r="U222" s="88"/>
      <c r="V222" s="88"/>
      <c r="W222" s="88"/>
      <c r="AD222" s="127"/>
    </row>
    <row r="223" spans="1:30" s="29" customFormat="1" hidden="1" x14ac:dyDescent="0.3">
      <c r="A223" s="354"/>
      <c r="B223" s="44" t="s">
        <v>185</v>
      </c>
      <c r="C223" s="85">
        <f>_xlfn.STDEV.P(GSBR[ARE 
(%)])</f>
        <v>0.23666862956257398</v>
      </c>
      <c r="D223" s="85">
        <f>_xlfn.STDEV.P(GSBR[NRE 
(%)])</f>
        <v>0.28146901687433157</v>
      </c>
      <c r="E223" s="86" t="e">
        <f>_xlfn.STDEV.P(#REF!)</f>
        <v>#REF!</v>
      </c>
      <c r="F223" s="86" t="e">
        <f>_xlfn.STDEV.P(#REF!)</f>
        <v>#REF!</v>
      </c>
      <c r="G223" s="87">
        <f>_xlfn.STDEV.P(GSBR[OLR 
(kg COD m-3 d-1)])</f>
        <v>0.73725618185315489</v>
      </c>
      <c r="H223" s="87">
        <f>_xlfn.STDEV.P(GSBR[ORR 
(kg COD m-3 d-1)])</f>
        <v>0.40608689188276731</v>
      </c>
      <c r="I223" s="82">
        <f>_xlfn.STDEV.P(GSBR[NH4-N 
(mg L-1)])</f>
        <v>320.75765758054092</v>
      </c>
      <c r="J223" s="82">
        <f>_xlfn.STDEV.P(GSBR[NO2-N 
(mg L-1)])</f>
        <v>163.25824270031683</v>
      </c>
      <c r="K223" s="82">
        <f>_xlfn.STDEV.P(GSBR[NO3-N 
(mg L-1)])</f>
        <v>84.946718520860003</v>
      </c>
      <c r="L223" s="87">
        <f>_xlfn.STDEV.P(GSBR[SAA 
(g N  g VSS-1 d-1)])</f>
        <v>2.5999999999999992E-2</v>
      </c>
      <c r="M223" s="85">
        <f>_xlfn.STDEV.P(GSBR[NO3-N/ NH4-N])</f>
        <v>8.3123868380501217E-2</v>
      </c>
      <c r="N223" s="82">
        <f>_xlfn.STDEV.P(GSBR[NO2-N/ NH4-N ])</f>
        <v>0.64976612979104142</v>
      </c>
      <c r="O223" s="82">
        <f>_xlfn.STDEV.P(GSBR[pHreactor])</f>
        <v>0.41227552947688001</v>
      </c>
      <c r="P223" s="82">
        <f>_xlfn.STDEV.P(GSBR[Temp. 
(°C)])</f>
        <v>3.4685102162048453</v>
      </c>
      <c r="Q223" s="83">
        <f>_xlfn.STDEV.P(GSBR[HRT 
(h)])</f>
        <v>35.04717235155109</v>
      </c>
      <c r="R223" s="86">
        <f>_xlfn.STDEV.P(GSBR[DO 
(mg L-1)])</f>
        <v>0.28222014696669284</v>
      </c>
      <c r="S223" s="82"/>
      <c r="T223" s="88"/>
      <c r="U223" s="88"/>
      <c r="V223" s="88"/>
      <c r="W223" s="88"/>
      <c r="AD223" s="127"/>
    </row>
    <row r="224" spans="1:30" s="29" customFormat="1" hidden="1" x14ac:dyDescent="0.3">
      <c r="A224" s="354"/>
      <c r="B224" s="44" t="s">
        <v>184</v>
      </c>
      <c r="C224" s="85">
        <f>_xlfn.STDEV.S(GSBR[ARE 
(%)])</f>
        <v>0.24071454023750183</v>
      </c>
      <c r="D224" s="85">
        <f>_xlfn.STDEV.S(GSBR[NRE 
(%)])</f>
        <v>0.28628080161377134</v>
      </c>
      <c r="E224" s="86" t="e">
        <f>_xlfn.STDEV.S(#REF!)</f>
        <v>#REF!</v>
      </c>
      <c r="F224" s="86" t="e">
        <f>_xlfn.STDEV.S(#REF!)</f>
        <v>#REF!</v>
      </c>
      <c r="G224" s="87">
        <f>_xlfn.STDEV.S(GSBR[OLR 
(kg COD m-3 d-1)])</f>
        <v>0.75185673155722943</v>
      </c>
      <c r="H224" s="87">
        <f>_xlfn.STDEV.S(GSBR[ORR 
(kg COD m-3 d-1)])</f>
        <v>0.41663636013726368</v>
      </c>
      <c r="I224" s="82">
        <f>_xlfn.STDEV.S(GSBR[NH4-N 
(mg L-1)])</f>
        <v>326.24109166839861</v>
      </c>
      <c r="J224" s="82">
        <f>_xlfn.STDEV.S(GSBR[NO2-N 
(mg L-1)])</f>
        <v>166.04918406053011</v>
      </c>
      <c r="K224" s="82">
        <f>_xlfn.STDEV.S(GSBR[NO3-N 
(mg L-1)])</f>
        <v>86.398904372017682</v>
      </c>
      <c r="L224" s="87">
        <f>_xlfn.STDEV.S(GSBR[SAA 
(g N  g VSS-1 d-1)])</f>
        <v>3.6769552621700459E-2</v>
      </c>
      <c r="M224" s="85">
        <f>_xlfn.STDEV.S(GSBR[NO3-N/ NH4-N])</f>
        <v>8.4544892142896635E-2</v>
      </c>
      <c r="N224" s="82">
        <f>_xlfn.STDEV.S(GSBR[NO2-N/ NH4-N ])</f>
        <v>0.66087404775037173</v>
      </c>
      <c r="O224" s="82">
        <f>_xlfn.STDEV.S(GSBR[pHreactor])</f>
        <v>0.41932348496132693</v>
      </c>
      <c r="P224" s="82">
        <f>_xlfn.STDEV.S(GSBR[Temp. 
(°C)])</f>
        <v>3.527805284316647</v>
      </c>
      <c r="Q224" s="83">
        <f>_xlfn.STDEV.S(GSBR[HRT 
(h)])</f>
        <v>35.64631271504269</v>
      </c>
      <c r="R224" s="86">
        <f>_xlfn.STDEV.S(GSBR[DO 
(mg L-1)])</f>
        <v>0.28739893024809599</v>
      </c>
      <c r="S224" s="82"/>
      <c r="T224" s="88"/>
      <c r="U224" s="88"/>
      <c r="V224" s="88"/>
      <c r="W224" s="88"/>
      <c r="AD224" s="127"/>
    </row>
    <row r="225" spans="1:30" s="29" customFormat="1" hidden="1" x14ac:dyDescent="0.3">
      <c r="A225" s="354"/>
      <c r="B225" s="44" t="s">
        <v>187</v>
      </c>
      <c r="C225" s="85">
        <f>_xlfn.VAR.P(GSBR[ARE 
(%)])</f>
        <v>5.6012040219026872E-2</v>
      </c>
      <c r="D225" s="85">
        <f>_xlfn.VAR.P(GSBR[NRE 
(%)])</f>
        <v>7.9224807460202745E-2</v>
      </c>
      <c r="E225" s="86" t="e">
        <f>_xlfn.VAR.P(#REF!)</f>
        <v>#REF!</v>
      </c>
      <c r="F225" s="86" t="e">
        <f>_xlfn.VAR.P(#REF!)</f>
        <v>#REF!</v>
      </c>
      <c r="G225" s="87">
        <f>_xlfn.VAR.P(GSBR[OLR 
(kg COD m-3 d-1)])</f>
        <v>0.5435466776806922</v>
      </c>
      <c r="H225" s="87">
        <f>_xlfn.VAR.P(GSBR[ORR 
(kg COD m-3 d-1)])</f>
        <v>0.16490656375900634</v>
      </c>
      <c r="I225" s="82">
        <f>_xlfn.VAR.P(GSBR[NH4-N 
(mg L-1)])</f>
        <v>102885.47489655553</v>
      </c>
      <c r="J225" s="82">
        <f>_xlfn.VAR.P(GSBR[NO2-N 
(mg L-1)])</f>
        <v>26653.253809595553</v>
      </c>
      <c r="K225" s="82">
        <f>_xlfn.VAR.P(GSBR[NO3-N 
(mg L-1)])</f>
        <v>7215.9449874622196</v>
      </c>
      <c r="L225" s="87">
        <f>_xlfn.VAR.P(GSBR[SAA 
(g N  g VSS-1 d-1)])</f>
        <v>6.7599999999999952E-4</v>
      </c>
      <c r="M225" s="85">
        <f>_xlfn.VAR.P(GSBR[NO3-N/ NH4-N])</f>
        <v>6.90957749453889E-3</v>
      </c>
      <c r="N225" s="82">
        <f>_xlfn.VAR.P(GSBR[NO2-N/ NH4-N ])</f>
        <v>0.42219602342362855</v>
      </c>
      <c r="O225" s="82">
        <f>_xlfn.VAR.P(GSBR[pHreactor])</f>
        <v>0.16997111220544175</v>
      </c>
      <c r="P225" s="82">
        <f>_xlfn.VAR.P(GSBR[Temp. 
(°C)])</f>
        <v>12.030563119917383</v>
      </c>
      <c r="Q225" s="83">
        <f>_xlfn.VAR.P(GSBR[HRT 
(h)])</f>
        <v>1228.3042898393273</v>
      </c>
      <c r="R225" s="86">
        <f>_xlfn.VAR.P(GSBR[DO 
(mg L-1)])</f>
        <v>7.9648211353901696E-2</v>
      </c>
      <c r="S225" s="82"/>
      <c r="T225" s="88"/>
      <c r="U225" s="88"/>
      <c r="V225" s="88"/>
      <c r="W225" s="88"/>
      <c r="AD225" s="127"/>
    </row>
    <row r="226" spans="1:30" s="29" customFormat="1" hidden="1" x14ac:dyDescent="0.3">
      <c r="A226" s="354"/>
      <c r="B226" s="44" t="s">
        <v>186</v>
      </c>
      <c r="C226" s="85">
        <f>_xlfn.VAR.S(GSBR[ARE 
(%)])</f>
        <v>5.7943489881751881E-2</v>
      </c>
      <c r="D226" s="85">
        <f>_xlfn.VAR.S(GSBR[NRE 
(%)])</f>
        <v>8.195669737262351E-2</v>
      </c>
      <c r="E226" s="86" t="e">
        <f>_xlfn.VAR.S(#REF!)</f>
        <v>#REF!</v>
      </c>
      <c r="F226" s="86" t="e">
        <f>_xlfn.VAR.S(#REF!)</f>
        <v>#REF!</v>
      </c>
      <c r="G226" s="87">
        <f>_xlfn.VAR.S(GSBR[OLR 
(kg COD m-3 d-1)])</f>
        <v>0.56528854478791968</v>
      </c>
      <c r="H226" s="87">
        <f>_xlfn.VAR.S(GSBR[ORR 
(kg COD m-3 d-1)])</f>
        <v>0.17358585658842771</v>
      </c>
      <c r="I226" s="82">
        <f>_xlfn.VAR.S(GSBR[NH4-N 
(mg L-1)])</f>
        <v>106433.24989298846</v>
      </c>
      <c r="J226" s="82">
        <f>_xlfn.VAR.S(GSBR[NO2-N 
(mg L-1)])</f>
        <v>27572.331527167811</v>
      </c>
      <c r="K226" s="82">
        <f>_xlfn.VAR.S(GSBR[NO3-N 
(mg L-1)])</f>
        <v>7464.7706766850552</v>
      </c>
      <c r="L226" s="87">
        <f>_xlfn.VAR.S(GSBR[SAA 
(g N  g VSS-1 d-1)])</f>
        <v>1.351999999999999E-3</v>
      </c>
      <c r="M226" s="85">
        <f>_xlfn.VAR.S(GSBR[NO3-N/ NH4-N])</f>
        <v>7.1478387874540248E-3</v>
      </c>
      <c r="N226" s="82">
        <f>_xlfn.VAR.S(GSBR[NO2-N/ NH4-N ])</f>
        <v>0.4367545069899606</v>
      </c>
      <c r="O226" s="82">
        <f>_xlfn.VAR.S(GSBR[pHreactor])</f>
        <v>0.17583218504011217</v>
      </c>
      <c r="P226" s="82">
        <f>_xlfn.VAR.S(GSBR[Temp. 
(°C)])</f>
        <v>12.445410124052458</v>
      </c>
      <c r="Q226" s="83">
        <f>_xlfn.VAR.S(GSBR[HRT 
(h)])</f>
        <v>1270.6596101786142</v>
      </c>
      <c r="R226" s="86">
        <f>_xlfn.VAR.S(GSBR[DO 
(mg L-1)])</f>
        <v>8.2598145107749932E-2</v>
      </c>
      <c r="S226" s="82"/>
      <c r="T226" s="88"/>
      <c r="U226" s="88"/>
      <c r="V226" s="88"/>
      <c r="W226" s="88"/>
      <c r="AD226" s="127"/>
    </row>
    <row r="227" spans="1:30" s="29" customFormat="1" hidden="1" x14ac:dyDescent="0.3">
      <c r="A227" s="354"/>
      <c r="B227" s="44" t="s">
        <v>200</v>
      </c>
      <c r="C227" s="117">
        <f>COUNT(GSBR[ARE 
(%)])</f>
        <v>30</v>
      </c>
      <c r="D227" s="117">
        <f>COUNT(GSBR[NRE 
(%)])</f>
        <v>30</v>
      </c>
      <c r="E227" s="83">
        <f>COUNT(#REF!)</f>
        <v>0</v>
      </c>
      <c r="F227" s="83">
        <f>COUNT(#REF!)</f>
        <v>0</v>
      </c>
      <c r="G227" s="83">
        <f>COUNT(GSBR[OLR 
(kg COD m-3 d-1)])</f>
        <v>26</v>
      </c>
      <c r="H227" s="83">
        <f>COUNT(GSBR[ORR 
(kg COD m-3 d-1)])</f>
        <v>20</v>
      </c>
      <c r="I227" s="83">
        <f>COUNT(GSBR[NH4-N 
(mg L-1)])</f>
        <v>30</v>
      </c>
      <c r="J227" s="83">
        <f>COUNT(GSBR[NO2-N 
(mg L-1)])</f>
        <v>30</v>
      </c>
      <c r="K227" s="83">
        <f>COUNT(GSBR[NO3-N 
(mg L-1)])</f>
        <v>30</v>
      </c>
      <c r="L227" s="83">
        <f>COUNT(GSBR[SAA 
(g N  g VSS-1 d-1)])</f>
        <v>2</v>
      </c>
      <c r="M227" s="117">
        <f>COUNT(GSBR[NO3-N/ NH4-N])</f>
        <v>30</v>
      </c>
      <c r="N227" s="83">
        <f>COUNT(GSBR[NO2-N/ NH4-N ])</f>
        <v>30</v>
      </c>
      <c r="O227" s="83">
        <f>COUNT(GSBR[pHreactor])</f>
        <v>30</v>
      </c>
      <c r="P227" s="83">
        <f>COUNT(GSBR[Temp. 
(°C)])</f>
        <v>30</v>
      </c>
      <c r="Q227" s="83">
        <f>COUNT(GSBR[HRT 
(h)])</f>
        <v>30</v>
      </c>
      <c r="R227" s="83">
        <f>COUNT(GSBR[DO 
(mg L-1)])</f>
        <v>28</v>
      </c>
      <c r="S227" s="82"/>
      <c r="T227" s="88"/>
      <c r="U227" s="88"/>
      <c r="V227" s="88"/>
      <c r="W227" s="88"/>
      <c r="AD227" s="127"/>
    </row>
    <row r="228" spans="1:30" s="29" customFormat="1" hidden="1" x14ac:dyDescent="0.3">
      <c r="A228" s="354"/>
      <c r="B228" s="44" t="s">
        <v>174</v>
      </c>
      <c r="C228" s="85">
        <f>MIN(GSBR[ARE 
(%)])</f>
        <v>0.10618401206636498</v>
      </c>
      <c r="D228" s="85">
        <f>MIN(GSBR[NRE 
(%)])</f>
        <v>3.153802997515439E-2</v>
      </c>
      <c r="E228" s="86" t="e">
        <f>MIN(#REF!)</f>
        <v>#REF!</v>
      </c>
      <c r="F228" s="86" t="e">
        <f>MIN(#REF!)</f>
        <v>#REF!</v>
      </c>
      <c r="G228" s="87">
        <f>MIN(GSBR[OLR 
(kg COD m-3 d-1)])</f>
        <v>0</v>
      </c>
      <c r="H228" s="87">
        <f>MIN(GSBR[ORR 
(kg COD m-3 d-1)])</f>
        <v>0</v>
      </c>
      <c r="I228" s="82">
        <f>MIN(GSBR[NH4-N 
(mg L-1)])</f>
        <v>51.12</v>
      </c>
      <c r="J228" s="87">
        <f>MIN(GSBR[NO2-N 
(mg L-1)])</f>
        <v>8.0000000000000002E-3</v>
      </c>
      <c r="K228" s="82">
        <f>MIN(GSBR[NO3-N 
(mg L-1)])</f>
        <v>0.2</v>
      </c>
      <c r="L228" s="86">
        <f>MIN(GSBR[SAA 
(g N  g VSS-1 d-1)])</f>
        <v>3.6999999999999998E-2</v>
      </c>
      <c r="M228" s="85">
        <f>MIN(GSBR[NO3-N/ NH4-N])</f>
        <v>1.7679089173325792E-4</v>
      </c>
      <c r="N228" s="86">
        <f>MIN(GSBR[NO2-N/ NH4-N ])</f>
        <v>1.1490950876185004E-4</v>
      </c>
      <c r="O228" s="82">
        <f>MIN(GSBR[pHreactor])</f>
        <v>7.3</v>
      </c>
      <c r="P228" s="82">
        <f>MIN(GSBR[Temp. 
(°C)])</f>
        <v>17.549936249999998</v>
      </c>
      <c r="Q228" s="83">
        <f>MIN(GSBR[HRT 
(h)])</f>
        <v>17.733339999999998</v>
      </c>
      <c r="R228" s="86">
        <f>MIN(GSBR[DO 
(mg L-1)])</f>
        <v>0.16673729125</v>
      </c>
      <c r="S228" s="82"/>
      <c r="T228" s="88"/>
      <c r="U228" s="88"/>
      <c r="V228" s="88"/>
      <c r="W228" s="88"/>
      <c r="AD228" s="127"/>
    </row>
    <row r="229" spans="1:30" s="29" customFormat="1" hidden="1" x14ac:dyDescent="0.3">
      <c r="A229" s="354"/>
      <c r="B229" s="44" t="s">
        <v>175</v>
      </c>
      <c r="C229" s="85">
        <f>MAX(GSBR[ARE 
(%)])</f>
        <v>0.95973534971644625</v>
      </c>
      <c r="D229" s="85">
        <f>MAX(GSBR[NRE 
(%)])</f>
        <v>0.93824800913667883</v>
      </c>
      <c r="E229" s="86" t="e">
        <f>MAX(#REF!)</f>
        <v>#REF!</v>
      </c>
      <c r="F229" s="86" t="e">
        <f>MAX(#REF!)</f>
        <v>#REF!</v>
      </c>
      <c r="G229" s="87">
        <f>MAX(GSBR[OLR 
(kg COD m-3 d-1)])</f>
        <v>3.5593971581213695</v>
      </c>
      <c r="H229" s="87">
        <f>MAX(GSBR[ORR 
(kg COD m-3 d-1)])</f>
        <v>1.3907692307692308</v>
      </c>
      <c r="I229" s="82">
        <f>MAX(GSBR[NH4-N 
(mg L-1)])</f>
        <v>1187</v>
      </c>
      <c r="J229" s="82">
        <f>MAX(GSBR[NO2-N 
(mg L-1)])</f>
        <v>448.09</v>
      </c>
      <c r="K229" s="82">
        <f>MAX(GSBR[NO3-N 
(mg L-1)])</f>
        <v>257.71800000000002</v>
      </c>
      <c r="L229" s="87">
        <f>MAX(GSBR[SAA 
(g N  g VSS-1 d-1)])</f>
        <v>8.8999999999999996E-2</v>
      </c>
      <c r="M229" s="85">
        <f>MAX(GSBR[NO3-N/ NH4-N])</f>
        <v>0.25225664366466011</v>
      </c>
      <c r="N229" s="82">
        <f>MAX(GSBR[NO2-N/ NH4-N ])</f>
        <v>2.2029982035557207</v>
      </c>
      <c r="O229" s="82">
        <f>MAX(GSBR[pHreactor])</f>
        <v>8.9</v>
      </c>
      <c r="P229" s="82">
        <f>MAX(GSBR[Temp. 
(°C)])</f>
        <v>33.499074374999999</v>
      </c>
      <c r="Q229" s="83">
        <f>MAX(GSBR[HRT 
(h)])</f>
        <v>120.12220000000001</v>
      </c>
      <c r="R229" s="86">
        <f>MAX(GSBR[DO 
(mg L-1)])</f>
        <v>1.3</v>
      </c>
      <c r="S229" s="82"/>
      <c r="T229" s="88"/>
      <c r="U229" s="88"/>
      <c r="V229" s="88"/>
      <c r="W229" s="88"/>
      <c r="AD229" s="127"/>
    </row>
    <row r="230" spans="1:30" s="29" customFormat="1" hidden="1" x14ac:dyDescent="0.3">
      <c r="A230" s="354"/>
      <c r="B230" s="99" t="s">
        <v>214</v>
      </c>
      <c r="C230" s="85">
        <f>SUMSQ(GSBR[ARE 
(%)])</f>
        <v>17.789592067312014</v>
      </c>
      <c r="D230" s="85">
        <f>SUMSQ(GSBR[NRE 
(%)])</f>
        <v>12.103576110262093</v>
      </c>
      <c r="E230" s="86" t="e">
        <f>SUMSQ(#REF!)</f>
        <v>#REF!</v>
      </c>
      <c r="F230" s="86" t="e">
        <f>SUMSQ(#REF!)</f>
        <v>#REF!</v>
      </c>
      <c r="G230" s="87">
        <f>SUMSQ(GSBR[OLR 
(kg COD m-3 d-1)])</f>
        <v>48.518524492211533</v>
      </c>
      <c r="H230" s="87">
        <f>SUMSQ(GSBR[ORR 
(kg COD m-3 d-1)])</f>
        <v>10.035626956421131</v>
      </c>
      <c r="I230" s="82">
        <f>SUMSQ(GSBR[NH4-N 
(mg L-1)])</f>
        <v>6905615.8640999999</v>
      </c>
      <c r="J230" s="82">
        <f>SUMSQ(GSBR[NO2-N 
(mg L-1)])</f>
        <v>1346161.8700659999</v>
      </c>
      <c r="K230" s="82">
        <f>SUMSQ(GSBR[NO3-N 
(mg L-1)])</f>
        <v>435735.92046600004</v>
      </c>
      <c r="L230" s="87">
        <f>SUMSQ(GSBR[SAA 
(g N  g VSS-1 d-1)])</f>
        <v>9.2899999999999996E-3</v>
      </c>
      <c r="M230" s="85">
        <f>SUMSQ(GSBR[NO3-N/ NH4-N])</f>
        <v>0.44560518600030991</v>
      </c>
      <c r="N230" s="82">
        <f>SUMSQ(GSBR[NO2-N/ NH4-N ])</f>
        <v>19.970956528362578</v>
      </c>
      <c r="O230" s="82">
        <f>SUMSQ(GSBR[pHreactor])</f>
        <v>1831.569703358577</v>
      </c>
      <c r="P230" s="82">
        <f>SUMSQ(GSBR[Temp. 
(°C)])</f>
        <v>24236.293985616248</v>
      </c>
      <c r="Q230" s="83">
        <f>SUMSQ(GSBR[HRT 
(h)])</f>
        <v>152641.26603869547</v>
      </c>
      <c r="R230" s="86">
        <f>SUMSQ(GSBR[DO 
(mg L-1)])</f>
        <v>10.994205456401742</v>
      </c>
      <c r="S230" s="82"/>
      <c r="T230" s="88"/>
      <c r="U230" s="88"/>
      <c r="V230" s="88"/>
      <c r="W230" s="88"/>
      <c r="AD230" s="127"/>
    </row>
    <row r="231" spans="1:30" s="29" customFormat="1" hidden="1" x14ac:dyDescent="0.3">
      <c r="A231" s="354"/>
      <c r="B231" s="99" t="s">
        <v>206</v>
      </c>
      <c r="C231" s="120">
        <f>C223/C227</f>
        <v>7.8889543187524655E-3</v>
      </c>
      <c r="D231" s="120">
        <f t="shared" ref="D231:R231" si="24">D223/D227</f>
        <v>9.3823005624777186E-3</v>
      </c>
      <c r="E231" s="120" t="e">
        <f t="shared" si="24"/>
        <v>#REF!</v>
      </c>
      <c r="F231" s="120" t="e">
        <f t="shared" si="24"/>
        <v>#REF!</v>
      </c>
      <c r="G231" s="120">
        <f t="shared" si="24"/>
        <v>2.8356006994352111E-2</v>
      </c>
      <c r="H231" s="120">
        <f t="shared" si="24"/>
        <v>2.0304344594138365E-2</v>
      </c>
      <c r="I231" s="120">
        <f t="shared" si="24"/>
        <v>10.691921919351364</v>
      </c>
      <c r="J231" s="120">
        <f t="shared" si="24"/>
        <v>5.4419414233438941</v>
      </c>
      <c r="K231" s="120">
        <f t="shared" si="24"/>
        <v>2.8315572840286669</v>
      </c>
      <c r="L231" s="120">
        <f t="shared" si="24"/>
        <v>1.2999999999999996E-2</v>
      </c>
      <c r="M231" s="120">
        <f t="shared" si="24"/>
        <v>2.770795612683374E-3</v>
      </c>
      <c r="N231" s="120">
        <f t="shared" si="24"/>
        <v>2.1658870993034714E-2</v>
      </c>
      <c r="O231" s="120">
        <f t="shared" si="24"/>
        <v>1.3742517649229334E-2</v>
      </c>
      <c r="P231" s="120">
        <f t="shared" si="24"/>
        <v>0.11561700720682817</v>
      </c>
      <c r="Q231" s="120">
        <f t="shared" si="24"/>
        <v>1.1682390783850363</v>
      </c>
      <c r="R231" s="120">
        <f t="shared" si="24"/>
        <v>1.0079290963096173E-2</v>
      </c>
      <c r="S231" s="82"/>
      <c r="T231" s="88"/>
      <c r="U231" s="88"/>
      <c r="V231" s="88"/>
      <c r="W231" s="88"/>
      <c r="AD231" s="127"/>
    </row>
    <row r="232" spans="1:30" s="29" customFormat="1" hidden="1" x14ac:dyDescent="0.3">
      <c r="A232" s="354"/>
      <c r="B232" s="99" t="s">
        <v>207</v>
      </c>
      <c r="C232" s="120">
        <f>C224/C227</f>
        <v>8.0238180079167283E-3</v>
      </c>
      <c r="D232" s="120">
        <f t="shared" ref="D232:R232" si="25">D224/D227</f>
        <v>9.5426933871257114E-3</v>
      </c>
      <c r="E232" s="120" t="e">
        <f t="shared" si="25"/>
        <v>#REF!</v>
      </c>
      <c r="F232" s="120" t="e">
        <f t="shared" si="25"/>
        <v>#REF!</v>
      </c>
      <c r="G232" s="120">
        <f t="shared" si="25"/>
        <v>2.8917566598354979E-2</v>
      </c>
      <c r="H232" s="120">
        <f t="shared" si="25"/>
        <v>2.0831818006863186E-2</v>
      </c>
      <c r="I232" s="120">
        <f t="shared" si="25"/>
        <v>10.874703055613287</v>
      </c>
      <c r="J232" s="120">
        <f t="shared" si="25"/>
        <v>5.5349728020176707</v>
      </c>
      <c r="K232" s="120">
        <f t="shared" si="25"/>
        <v>2.8799634790672561</v>
      </c>
      <c r="L232" s="120">
        <f t="shared" si="25"/>
        <v>1.8384776310850229E-2</v>
      </c>
      <c r="M232" s="120">
        <f t="shared" si="25"/>
        <v>2.8181630714298879E-3</v>
      </c>
      <c r="N232" s="120">
        <f t="shared" si="25"/>
        <v>2.2029134925012392E-2</v>
      </c>
      <c r="O232" s="120">
        <f t="shared" si="25"/>
        <v>1.3977449498710898E-2</v>
      </c>
      <c r="P232" s="120">
        <f t="shared" si="25"/>
        <v>0.11759350947722157</v>
      </c>
      <c r="Q232" s="120">
        <f t="shared" si="25"/>
        <v>1.1882104238347564</v>
      </c>
      <c r="R232" s="120">
        <f t="shared" si="25"/>
        <v>1.0264247508860571E-2</v>
      </c>
      <c r="S232" s="82"/>
      <c r="T232" s="88"/>
      <c r="U232" s="88"/>
      <c r="V232" s="88"/>
      <c r="W232" s="88"/>
      <c r="AD232" s="127"/>
    </row>
    <row r="233" spans="1:30" s="29" customFormat="1" ht="15" hidden="1" x14ac:dyDescent="0.35">
      <c r="A233" s="354"/>
      <c r="B233" s="99" t="s">
        <v>188</v>
      </c>
      <c r="C233" s="85">
        <f t="shared" ref="C233:R233" si="26">C221+C223</f>
        <v>0.96945397468398598</v>
      </c>
      <c r="D233" s="85">
        <f t="shared" si="26"/>
        <v>0.8508790005842537</v>
      </c>
      <c r="E233" s="86" t="e">
        <f t="shared" si="26"/>
        <v>#REF!</v>
      </c>
      <c r="F233" s="86" t="e">
        <f t="shared" si="26"/>
        <v>#REF!</v>
      </c>
      <c r="G233" s="87">
        <f t="shared" si="26"/>
        <v>1.8872781025892762</v>
      </c>
      <c r="H233" s="87">
        <f t="shared" si="26"/>
        <v>0.98649604417281367</v>
      </c>
      <c r="I233" s="82">
        <f t="shared" si="26"/>
        <v>677.55132424720762</v>
      </c>
      <c r="J233" s="82">
        <f t="shared" si="26"/>
        <v>298.23530936698353</v>
      </c>
      <c r="K233" s="82">
        <f t="shared" si="26"/>
        <v>170.43698518752669</v>
      </c>
      <c r="L233" s="87">
        <f t="shared" si="26"/>
        <v>8.8999999999999996E-2</v>
      </c>
      <c r="M233" s="85">
        <f t="shared" si="26"/>
        <v>0.17225258824941575</v>
      </c>
      <c r="N233" s="82">
        <f t="shared" si="26"/>
        <v>1.1432258824779151</v>
      </c>
      <c r="O233" s="82">
        <f t="shared" si="26"/>
        <v>8.2149899503102137</v>
      </c>
      <c r="P233" s="82">
        <f t="shared" si="26"/>
        <v>31.679251132871514</v>
      </c>
      <c r="Q233" s="83">
        <f t="shared" si="26"/>
        <v>97.1739613515511</v>
      </c>
      <c r="R233" s="86">
        <f t="shared" si="26"/>
        <v>0.84168594888633574</v>
      </c>
      <c r="S233" s="82"/>
      <c r="T233" s="88"/>
      <c r="U233" s="88"/>
      <c r="V233" s="88"/>
      <c r="W233" s="88"/>
      <c r="AD233" s="127"/>
    </row>
    <row r="234" spans="1:30" s="29" customFormat="1" ht="15" hidden="1" x14ac:dyDescent="0.35">
      <c r="A234" s="354"/>
      <c r="B234" s="99" t="s">
        <v>189</v>
      </c>
      <c r="C234" s="85">
        <f t="shared" ref="C234:R234" si="27">C221-C223</f>
        <v>0.49611671555883807</v>
      </c>
      <c r="D234" s="85">
        <f t="shared" si="27"/>
        <v>0.28794096683559056</v>
      </c>
      <c r="E234" s="86" t="e">
        <f t="shared" si="27"/>
        <v>#REF!</v>
      </c>
      <c r="F234" s="86" t="e">
        <f t="shared" si="27"/>
        <v>#REF!</v>
      </c>
      <c r="G234" s="87">
        <f t="shared" si="27"/>
        <v>0.41276573888296642</v>
      </c>
      <c r="H234" s="87">
        <f t="shared" si="27"/>
        <v>0.17432226040727911</v>
      </c>
      <c r="I234" s="82">
        <f t="shared" si="27"/>
        <v>36.036009086125773</v>
      </c>
      <c r="J234" s="82">
        <f t="shared" si="27"/>
        <v>-28.281176033650155</v>
      </c>
      <c r="K234" s="82">
        <f t="shared" si="27"/>
        <v>0.54354814580668176</v>
      </c>
      <c r="L234" s="87">
        <f t="shared" si="27"/>
        <v>3.7000000000000005E-2</v>
      </c>
      <c r="M234" s="85">
        <f t="shared" si="27"/>
        <v>6.0048514884133153E-3</v>
      </c>
      <c r="N234" s="82">
        <f t="shared" si="27"/>
        <v>-0.15630637710416767</v>
      </c>
      <c r="O234" s="82">
        <f t="shared" si="27"/>
        <v>7.390438891356454</v>
      </c>
      <c r="P234" s="82">
        <f t="shared" si="27"/>
        <v>24.742230700461825</v>
      </c>
      <c r="Q234" s="83">
        <f t="shared" si="27"/>
        <v>27.079616648448919</v>
      </c>
      <c r="R234" s="86">
        <f t="shared" si="27"/>
        <v>0.27724565495295006</v>
      </c>
      <c r="S234" s="82"/>
      <c r="T234" s="88"/>
      <c r="U234" s="88"/>
      <c r="V234" s="88"/>
      <c r="W234" s="88"/>
      <c r="AD234" s="127"/>
    </row>
    <row r="235" spans="1:30" s="29" customFormat="1" ht="15" hidden="1" x14ac:dyDescent="0.35">
      <c r="A235" s="354"/>
      <c r="B235" s="99" t="s">
        <v>196</v>
      </c>
      <c r="C235" s="85">
        <f t="shared" ref="C235:R235" si="28">C221+C224</f>
        <v>0.97349988535891385</v>
      </c>
      <c r="D235" s="85">
        <f t="shared" si="28"/>
        <v>0.85569078532369347</v>
      </c>
      <c r="E235" s="86" t="e">
        <f t="shared" si="28"/>
        <v>#REF!</v>
      </c>
      <c r="F235" s="86" t="e">
        <f t="shared" si="28"/>
        <v>#REF!</v>
      </c>
      <c r="G235" s="87">
        <f t="shared" si="28"/>
        <v>1.9018786522933508</v>
      </c>
      <c r="H235" s="87">
        <f t="shared" si="28"/>
        <v>0.9970455124273101</v>
      </c>
      <c r="I235" s="82">
        <f t="shared" si="28"/>
        <v>683.03475833506536</v>
      </c>
      <c r="J235" s="82">
        <f t="shared" si="28"/>
        <v>301.02625072719678</v>
      </c>
      <c r="K235" s="82">
        <f t="shared" si="28"/>
        <v>171.88917103868437</v>
      </c>
      <c r="L235" s="87">
        <f t="shared" si="28"/>
        <v>9.9769552621700452E-2</v>
      </c>
      <c r="M235" s="85">
        <f t="shared" si="28"/>
        <v>0.17367361201181117</v>
      </c>
      <c r="N235" s="82">
        <f t="shared" si="28"/>
        <v>1.1543338004372454</v>
      </c>
      <c r="O235" s="82">
        <f t="shared" si="28"/>
        <v>8.2220379057946609</v>
      </c>
      <c r="P235" s="82">
        <f t="shared" si="28"/>
        <v>31.738546200983315</v>
      </c>
      <c r="Q235" s="83">
        <f t="shared" si="28"/>
        <v>97.773101715042699</v>
      </c>
      <c r="R235" s="86">
        <f t="shared" si="28"/>
        <v>0.84686473216773894</v>
      </c>
      <c r="S235" s="82"/>
      <c r="T235" s="88"/>
      <c r="U235" s="88"/>
      <c r="V235" s="88"/>
      <c r="W235" s="88"/>
      <c r="AD235" s="127"/>
    </row>
    <row r="236" spans="1:30" s="29" customFormat="1" ht="15" hidden="1" x14ac:dyDescent="0.35">
      <c r="A236" s="354"/>
      <c r="B236" s="99" t="s">
        <v>195</v>
      </c>
      <c r="C236" s="85">
        <f t="shared" ref="C236:R236" si="29">C221-C224</f>
        <v>0.4920708048839102</v>
      </c>
      <c r="D236" s="85">
        <f t="shared" si="29"/>
        <v>0.28312918209615079</v>
      </c>
      <c r="E236" s="86" t="e">
        <f t="shared" si="29"/>
        <v>#REF!</v>
      </c>
      <c r="F236" s="86" t="e">
        <f t="shared" si="29"/>
        <v>#REF!</v>
      </c>
      <c r="G236" s="87">
        <f t="shared" si="29"/>
        <v>0.39816518917889188</v>
      </c>
      <c r="H236" s="87">
        <f t="shared" si="29"/>
        <v>0.16377279215278273</v>
      </c>
      <c r="I236" s="82">
        <f t="shared" si="29"/>
        <v>30.552574998268085</v>
      </c>
      <c r="J236" s="82">
        <f t="shared" si="29"/>
        <v>-31.072117393863437</v>
      </c>
      <c r="K236" s="82">
        <f t="shared" si="29"/>
        <v>-0.90863770535099775</v>
      </c>
      <c r="L236" s="87">
        <f t="shared" si="29"/>
        <v>2.6230447378299541E-2</v>
      </c>
      <c r="M236" s="85">
        <f t="shared" si="29"/>
        <v>4.5838277260178972E-3</v>
      </c>
      <c r="N236" s="82">
        <f t="shared" si="29"/>
        <v>-0.16741429506349798</v>
      </c>
      <c r="O236" s="82">
        <f t="shared" si="29"/>
        <v>7.3833909358720078</v>
      </c>
      <c r="P236" s="82">
        <f t="shared" si="29"/>
        <v>24.682935632350024</v>
      </c>
      <c r="Q236" s="83">
        <f t="shared" si="29"/>
        <v>26.480476284957319</v>
      </c>
      <c r="R236" s="86">
        <f t="shared" si="29"/>
        <v>0.27206687167154692</v>
      </c>
      <c r="S236" s="82"/>
      <c r="T236" s="88"/>
      <c r="U236" s="88"/>
      <c r="V236" s="88"/>
      <c r="W236" s="88"/>
      <c r="AD236" s="127"/>
    </row>
    <row r="237" spans="1:30" s="29" customFormat="1" ht="15" hidden="1" x14ac:dyDescent="0.35">
      <c r="A237" s="354"/>
      <c r="B237" s="99" t="s">
        <v>194</v>
      </c>
      <c r="C237" s="85">
        <f t="shared" ref="C237:R237" si="30">C222+C223</f>
        <v>1.0666307293353769</v>
      </c>
      <c r="D237" s="85">
        <f t="shared" si="30"/>
        <v>0.91399457107167559</v>
      </c>
      <c r="E237" s="86" t="e">
        <f t="shared" si="30"/>
        <v>#REF!</v>
      </c>
      <c r="F237" s="86" t="e">
        <f t="shared" si="30"/>
        <v>#REF!</v>
      </c>
      <c r="G237" s="87">
        <f t="shared" si="30"/>
        <v>1.8633026934810617</v>
      </c>
      <c r="H237" s="87">
        <f t="shared" si="30"/>
        <v>0.93919026167388564</v>
      </c>
      <c r="I237" s="82">
        <f t="shared" si="30"/>
        <v>564.89265758054091</v>
      </c>
      <c r="J237" s="82">
        <f t="shared" si="30"/>
        <v>192.46624270031683</v>
      </c>
      <c r="K237" s="82">
        <f t="shared" si="30"/>
        <v>137.66371852086002</v>
      </c>
      <c r="L237" s="87">
        <f t="shared" si="30"/>
        <v>8.8999999999999996E-2</v>
      </c>
      <c r="M237" s="85">
        <f t="shared" si="30"/>
        <v>0.14528382907238743</v>
      </c>
      <c r="N237" s="82">
        <f t="shared" si="30"/>
        <v>0.75658554686274582</v>
      </c>
      <c r="O237" s="82">
        <f t="shared" si="30"/>
        <v>8.0414140607268791</v>
      </c>
      <c r="P237" s="82">
        <f t="shared" si="30"/>
        <v>31.979633028704843</v>
      </c>
      <c r="Q237" s="83">
        <f t="shared" si="30"/>
        <v>83.369392351551085</v>
      </c>
      <c r="R237" s="86">
        <f t="shared" si="30"/>
        <v>0.73600192821669286</v>
      </c>
      <c r="S237" s="82"/>
      <c r="T237" s="88"/>
      <c r="U237" s="88"/>
      <c r="V237" s="88"/>
      <c r="W237" s="88"/>
      <c r="AD237" s="127"/>
    </row>
    <row r="238" spans="1:30" s="29" customFormat="1" ht="15" hidden="1" x14ac:dyDescent="0.35">
      <c r="A238" s="354"/>
      <c r="B238" s="99" t="s">
        <v>193</v>
      </c>
      <c r="C238" s="85">
        <f t="shared" ref="C238:R238" si="31">C222-C223</f>
        <v>0.59329347021022905</v>
      </c>
      <c r="D238" s="85">
        <f t="shared" si="31"/>
        <v>0.35105653732301245</v>
      </c>
      <c r="E238" s="86" t="e">
        <f t="shared" si="31"/>
        <v>#REF!</v>
      </c>
      <c r="F238" s="86" t="e">
        <f t="shared" si="31"/>
        <v>#REF!</v>
      </c>
      <c r="G238" s="87">
        <f t="shared" si="31"/>
        <v>0.38879032977475192</v>
      </c>
      <c r="H238" s="87">
        <f t="shared" si="31"/>
        <v>0.12701647790835108</v>
      </c>
      <c r="I238" s="82">
        <f t="shared" si="31"/>
        <v>-76.622657580540903</v>
      </c>
      <c r="J238" s="82">
        <f t="shared" si="31"/>
        <v>-134.05024270031683</v>
      </c>
      <c r="K238" s="82">
        <f t="shared" si="31"/>
        <v>-32.229718520860004</v>
      </c>
      <c r="L238" s="87">
        <f t="shared" si="31"/>
        <v>3.7000000000000005E-2</v>
      </c>
      <c r="M238" s="85">
        <f t="shared" si="31"/>
        <v>-2.0963907688615009E-2</v>
      </c>
      <c r="N238" s="82">
        <f t="shared" si="31"/>
        <v>-0.54294671271933703</v>
      </c>
      <c r="O238" s="82">
        <f t="shared" si="31"/>
        <v>7.2168630017731195</v>
      </c>
      <c r="P238" s="82">
        <f t="shared" si="31"/>
        <v>25.042612596295154</v>
      </c>
      <c r="Q238" s="83">
        <f t="shared" si="31"/>
        <v>13.275047648448911</v>
      </c>
      <c r="R238" s="86">
        <f t="shared" si="31"/>
        <v>0.17156163428330717</v>
      </c>
      <c r="S238" s="82"/>
      <c r="T238" s="88"/>
      <c r="U238" s="88"/>
      <c r="V238" s="88"/>
      <c r="W238" s="88"/>
      <c r="AD238" s="127"/>
    </row>
    <row r="239" spans="1:30" s="29" customFormat="1" ht="15" hidden="1" x14ac:dyDescent="0.35">
      <c r="A239" s="354"/>
      <c r="B239" s="99" t="s">
        <v>191</v>
      </c>
      <c r="C239" s="85">
        <f t="shared" ref="C239:R239" si="32">C222+C223</f>
        <v>1.0666307293353769</v>
      </c>
      <c r="D239" s="85">
        <f t="shared" si="32"/>
        <v>0.91399457107167559</v>
      </c>
      <c r="E239" s="86" t="e">
        <f t="shared" si="32"/>
        <v>#REF!</v>
      </c>
      <c r="F239" s="86" t="e">
        <f t="shared" si="32"/>
        <v>#REF!</v>
      </c>
      <c r="G239" s="87">
        <f t="shared" si="32"/>
        <v>1.8633026934810617</v>
      </c>
      <c r="H239" s="87">
        <f t="shared" si="32"/>
        <v>0.93919026167388564</v>
      </c>
      <c r="I239" s="82">
        <f t="shared" si="32"/>
        <v>564.89265758054091</v>
      </c>
      <c r="J239" s="82">
        <f t="shared" si="32"/>
        <v>192.46624270031683</v>
      </c>
      <c r="K239" s="82">
        <f t="shared" si="32"/>
        <v>137.66371852086002</v>
      </c>
      <c r="L239" s="87">
        <f t="shared" si="32"/>
        <v>8.8999999999999996E-2</v>
      </c>
      <c r="M239" s="85">
        <f t="shared" si="32"/>
        <v>0.14528382907238743</v>
      </c>
      <c r="N239" s="82">
        <f t="shared" si="32"/>
        <v>0.75658554686274582</v>
      </c>
      <c r="O239" s="82">
        <f t="shared" si="32"/>
        <v>8.0414140607268791</v>
      </c>
      <c r="P239" s="82">
        <f t="shared" si="32"/>
        <v>31.979633028704843</v>
      </c>
      <c r="Q239" s="83">
        <f t="shared" si="32"/>
        <v>83.369392351551085</v>
      </c>
      <c r="R239" s="86">
        <f t="shared" si="32"/>
        <v>0.73600192821669286</v>
      </c>
      <c r="S239" s="82"/>
      <c r="T239" s="88"/>
      <c r="U239" s="88"/>
      <c r="V239" s="88"/>
      <c r="W239" s="88"/>
      <c r="AD239" s="127"/>
    </row>
    <row r="240" spans="1:30" s="29" customFormat="1" ht="15" hidden="1" x14ac:dyDescent="0.35">
      <c r="A240" s="354"/>
      <c r="B240" s="99" t="s">
        <v>192</v>
      </c>
      <c r="C240" s="85">
        <f t="shared" ref="C240:R240" si="33">C222-C224</f>
        <v>0.58924755953530117</v>
      </c>
      <c r="D240" s="85">
        <f t="shared" si="33"/>
        <v>0.34624475258357268</v>
      </c>
      <c r="E240" s="86" t="e">
        <f t="shared" si="33"/>
        <v>#REF!</v>
      </c>
      <c r="F240" s="86" t="e">
        <f t="shared" si="33"/>
        <v>#REF!</v>
      </c>
      <c r="G240" s="87">
        <f t="shared" si="33"/>
        <v>0.37418978007067738</v>
      </c>
      <c r="H240" s="87">
        <f t="shared" si="33"/>
        <v>0.1164670096538547</v>
      </c>
      <c r="I240" s="82">
        <f t="shared" si="33"/>
        <v>-82.106091668398591</v>
      </c>
      <c r="J240" s="82">
        <f t="shared" si="33"/>
        <v>-136.84118406053011</v>
      </c>
      <c r="K240" s="82">
        <f t="shared" si="33"/>
        <v>-33.681904372017684</v>
      </c>
      <c r="L240" s="87">
        <f t="shared" si="33"/>
        <v>2.6230447378299541E-2</v>
      </c>
      <c r="M240" s="85">
        <f t="shared" si="33"/>
        <v>-2.2384931451010427E-2</v>
      </c>
      <c r="N240" s="82">
        <f t="shared" si="33"/>
        <v>-0.55405463067866734</v>
      </c>
      <c r="O240" s="82">
        <f t="shared" si="33"/>
        <v>7.2098150462886732</v>
      </c>
      <c r="P240" s="82">
        <f t="shared" si="33"/>
        <v>24.983317528183353</v>
      </c>
      <c r="Q240" s="83">
        <f t="shared" si="33"/>
        <v>12.675907284957312</v>
      </c>
      <c r="R240" s="86">
        <f t="shared" si="33"/>
        <v>0.16638285100190403</v>
      </c>
      <c r="S240" s="82"/>
      <c r="T240" s="88"/>
      <c r="U240" s="88"/>
      <c r="V240" s="88"/>
      <c r="W240" s="88"/>
      <c r="AD240" s="127"/>
    </row>
    <row r="241" spans="1:44" s="29" customFormat="1" hidden="1" x14ac:dyDescent="0.3">
      <c r="A241" s="355"/>
      <c r="B241" s="99" t="s">
        <v>205</v>
      </c>
      <c r="C241" s="119">
        <f>C227-1</f>
        <v>29</v>
      </c>
      <c r="D241" s="119">
        <f t="shared" ref="D241:R241" si="34">D227-1</f>
        <v>29</v>
      </c>
      <c r="E241" s="119">
        <f t="shared" si="34"/>
        <v>-1</v>
      </c>
      <c r="F241" s="119">
        <f t="shared" si="34"/>
        <v>-1</v>
      </c>
      <c r="G241" s="119">
        <f t="shared" si="34"/>
        <v>25</v>
      </c>
      <c r="H241" s="119">
        <f t="shared" si="34"/>
        <v>19</v>
      </c>
      <c r="I241" s="119">
        <f t="shared" si="34"/>
        <v>29</v>
      </c>
      <c r="J241" s="119">
        <f t="shared" si="34"/>
        <v>29</v>
      </c>
      <c r="K241" s="119">
        <f t="shared" si="34"/>
        <v>29</v>
      </c>
      <c r="L241" s="119">
        <f t="shared" si="34"/>
        <v>1</v>
      </c>
      <c r="M241" s="119">
        <f t="shared" si="34"/>
        <v>29</v>
      </c>
      <c r="N241" s="119">
        <f t="shared" si="34"/>
        <v>29</v>
      </c>
      <c r="O241" s="119">
        <f t="shared" si="34"/>
        <v>29</v>
      </c>
      <c r="P241" s="119">
        <f t="shared" si="34"/>
        <v>29</v>
      </c>
      <c r="Q241" s="119">
        <f t="shared" si="34"/>
        <v>29</v>
      </c>
      <c r="R241" s="119">
        <f t="shared" si="34"/>
        <v>27</v>
      </c>
      <c r="S241" s="82"/>
      <c r="T241" s="88"/>
      <c r="U241" s="88"/>
      <c r="V241" s="88"/>
      <c r="W241" s="88"/>
      <c r="AD241" s="127"/>
    </row>
    <row r="242" spans="1:44" ht="15.6" hidden="1" thickBot="1" x14ac:dyDescent="0.4">
      <c r="A242" s="356"/>
      <c r="B242" s="96" t="s">
        <v>190</v>
      </c>
      <c r="C242" s="97">
        <f t="shared" ref="C242:S242" si="35">C229-C228</f>
        <v>0.85355133765008129</v>
      </c>
      <c r="D242" s="97">
        <f t="shared" si="35"/>
        <v>0.9067099791615244</v>
      </c>
      <c r="E242" s="98" t="e">
        <f t="shared" si="35"/>
        <v>#REF!</v>
      </c>
      <c r="F242" s="98" t="e">
        <f t="shared" si="35"/>
        <v>#REF!</v>
      </c>
      <c r="G242" s="98">
        <f t="shared" si="35"/>
        <v>3.5593971581213695</v>
      </c>
      <c r="H242" s="98">
        <f t="shared" si="35"/>
        <v>1.3907692307692308</v>
      </c>
      <c r="I242" s="98">
        <f t="shared" si="35"/>
        <v>1135.8800000000001</v>
      </c>
      <c r="J242" s="98">
        <f t="shared" si="35"/>
        <v>448.08199999999999</v>
      </c>
      <c r="K242" s="98">
        <f t="shared" si="35"/>
        <v>257.51800000000003</v>
      </c>
      <c r="L242" s="98">
        <f t="shared" si="35"/>
        <v>5.1999999999999998E-2</v>
      </c>
      <c r="M242" s="97">
        <f t="shared" si="35"/>
        <v>0.25207985277292683</v>
      </c>
      <c r="N242" s="98">
        <f t="shared" si="35"/>
        <v>2.2028832940469587</v>
      </c>
      <c r="O242" s="98">
        <f t="shared" si="35"/>
        <v>1.6000000000000005</v>
      </c>
      <c r="P242" s="98">
        <f t="shared" si="35"/>
        <v>15.949138125000001</v>
      </c>
      <c r="Q242" s="98">
        <f t="shared" si="35"/>
        <v>102.38886000000001</v>
      </c>
      <c r="R242" s="98">
        <f t="shared" si="35"/>
        <v>1.13326270875</v>
      </c>
      <c r="S242" s="85">
        <f t="shared" si="35"/>
        <v>0</v>
      </c>
      <c r="T242" s="88"/>
      <c r="U242" s="88"/>
      <c r="V242" s="88"/>
      <c r="W242" s="88"/>
      <c r="AD242" s="127"/>
    </row>
    <row r="243" spans="1:44" ht="15.6" hidden="1" x14ac:dyDescent="0.3">
      <c r="A243" s="341" t="s">
        <v>197</v>
      </c>
      <c r="B243" s="105" t="s">
        <v>198</v>
      </c>
      <c r="C243" s="109">
        <f t="shared" ref="C243:R243" si="36">AVERAGE(C177,C199,C221)</f>
        <v>0.737041665259769</v>
      </c>
      <c r="D243" s="109">
        <f t="shared" si="36"/>
        <v>0.66225293036510813</v>
      </c>
      <c r="E243" s="110" t="e">
        <f t="shared" si="36"/>
        <v>#REF!</v>
      </c>
      <c r="F243" s="110" t="e">
        <f t="shared" si="36"/>
        <v>#REF!</v>
      </c>
      <c r="G243" s="110">
        <f t="shared" si="36"/>
        <v>1.0947812469670173</v>
      </c>
      <c r="H243" s="110">
        <f t="shared" si="36"/>
        <v>0.50711790489793362</v>
      </c>
      <c r="I243" s="110">
        <f t="shared" si="36"/>
        <v>344.42930005941776</v>
      </c>
      <c r="J243" s="110">
        <f t="shared" si="36"/>
        <v>66.261876891362604</v>
      </c>
      <c r="K243" s="110">
        <f t="shared" si="36"/>
        <v>40.565215666872817</v>
      </c>
      <c r="L243" s="110">
        <f t="shared" si="36"/>
        <v>0.38848571428571432</v>
      </c>
      <c r="M243" s="109">
        <f t="shared" si="36"/>
        <v>4.0381754790236077E-2</v>
      </c>
      <c r="N243" s="110">
        <f t="shared" si="36"/>
        <v>0.26100930745564144</v>
      </c>
      <c r="O243" s="110">
        <f t="shared" si="36"/>
        <v>7.3453054124332242</v>
      </c>
      <c r="P243" s="110">
        <f t="shared" si="36"/>
        <v>27.28200947818706</v>
      </c>
      <c r="Q243" s="110">
        <f t="shared" si="36"/>
        <v>116.48390549516762</v>
      </c>
      <c r="R243" s="110">
        <f t="shared" si="36"/>
        <v>0.50470420412217332</v>
      </c>
      <c r="AD243" s="127"/>
    </row>
    <row r="244" spans="1:44" s="29" customFormat="1" ht="16.2" hidden="1" customHeight="1" x14ac:dyDescent="0.3">
      <c r="A244" s="342"/>
      <c r="B244" s="106" t="s">
        <v>199</v>
      </c>
      <c r="C244" s="107">
        <f t="shared" ref="C244:R244" si="37">MEDIAN(C178,C200,C222)</f>
        <v>0.829962099772803</v>
      </c>
      <c r="D244" s="107">
        <f t="shared" si="37"/>
        <v>0.63252555419734402</v>
      </c>
      <c r="E244" s="108" t="e">
        <f t="shared" si="37"/>
        <v>#REF!</v>
      </c>
      <c r="F244" s="108" t="e">
        <f t="shared" si="37"/>
        <v>#REF!</v>
      </c>
      <c r="G244" s="108">
        <f t="shared" si="37"/>
        <v>1.0782750000000001</v>
      </c>
      <c r="H244" s="108">
        <f t="shared" si="37"/>
        <v>0.46755299999999989</v>
      </c>
      <c r="I244" s="108">
        <f t="shared" si="37"/>
        <v>244.13500000000002</v>
      </c>
      <c r="J244" s="108">
        <f t="shared" si="37"/>
        <v>24.209499999999998</v>
      </c>
      <c r="K244" s="108">
        <f t="shared" si="37"/>
        <v>24.209499999999998</v>
      </c>
      <c r="L244" s="108">
        <f t="shared" si="37"/>
        <v>6.3E-2</v>
      </c>
      <c r="M244" s="107">
        <f t="shared" si="37"/>
        <v>9.0456131473775694E-3</v>
      </c>
      <c r="N244" s="108">
        <f t="shared" si="37"/>
        <v>0.10681941707170435</v>
      </c>
      <c r="O244" s="108">
        <f t="shared" si="37"/>
        <v>7.4565674602385403</v>
      </c>
      <c r="P244" s="108">
        <f t="shared" si="37"/>
        <v>28.511122812499998</v>
      </c>
      <c r="Q244" s="108">
        <f t="shared" si="37"/>
        <v>48.322220000000002</v>
      </c>
      <c r="R244" s="108">
        <f t="shared" si="37"/>
        <v>0.45378178125000002</v>
      </c>
      <c r="AD244" s="127"/>
    </row>
    <row r="245" spans="1:44" s="29" customFormat="1" ht="16.2" hidden="1" customHeight="1" x14ac:dyDescent="0.3">
      <c r="A245" s="342"/>
      <c r="B245" s="106" t="s">
        <v>209</v>
      </c>
      <c r="C245" s="107">
        <f t="shared" ref="C245:R245" si="38">STDEV(C177,C199,C221)</f>
        <v>0.13354296864878484</v>
      </c>
      <c r="D245" s="107">
        <f t="shared" si="38"/>
        <v>0.15855604138047905</v>
      </c>
      <c r="E245" s="108" t="e">
        <f t="shared" si="38"/>
        <v>#REF!</v>
      </c>
      <c r="F245" s="108" t="e">
        <f t="shared" si="38"/>
        <v>#REF!</v>
      </c>
      <c r="G245" s="108">
        <f t="shared" si="38"/>
        <v>0.32307750125802287</v>
      </c>
      <c r="H245" s="108">
        <f t="shared" si="38"/>
        <v>0.19083469862086175</v>
      </c>
      <c r="I245" s="108">
        <f t="shared" si="38"/>
        <v>175.42195579963968</v>
      </c>
      <c r="J245" s="108">
        <f t="shared" si="38"/>
        <v>60.063042318061534</v>
      </c>
      <c r="K245" s="108">
        <f t="shared" si="38"/>
        <v>39.316219868670956</v>
      </c>
      <c r="L245" s="108">
        <f t="shared" si="38"/>
        <v>0.58076461352817532</v>
      </c>
      <c r="M245" s="107">
        <f t="shared" si="38"/>
        <v>4.2494233889539636E-2</v>
      </c>
      <c r="N245" s="108">
        <f t="shared" si="38"/>
        <v>0.20147413120690474</v>
      </c>
      <c r="O245" s="108">
        <f t="shared" si="38"/>
        <v>0.47379096207519661</v>
      </c>
      <c r="P245" s="108">
        <f t="shared" si="38"/>
        <v>3.0107740185197067</v>
      </c>
      <c r="Q245" s="108">
        <f t="shared" si="38"/>
        <v>73.518151525622429</v>
      </c>
      <c r="R245" s="108">
        <f t="shared" si="38"/>
        <v>0.31392186531445204</v>
      </c>
      <c r="AD245" s="127"/>
    </row>
    <row r="246" spans="1:44" s="29" customFormat="1" ht="16.2" hidden="1" customHeight="1" x14ac:dyDescent="0.3">
      <c r="A246" s="342"/>
      <c r="B246" s="106" t="s">
        <v>201</v>
      </c>
      <c r="C246" s="118">
        <f t="shared" ref="C246:R246" si="39">COUNTA($A$177:$A$242)</f>
        <v>3</v>
      </c>
      <c r="D246" s="118">
        <f t="shared" si="39"/>
        <v>3</v>
      </c>
      <c r="E246" s="118">
        <f t="shared" si="39"/>
        <v>3</v>
      </c>
      <c r="F246" s="118">
        <f t="shared" si="39"/>
        <v>3</v>
      </c>
      <c r="G246" s="118">
        <f t="shared" si="39"/>
        <v>3</v>
      </c>
      <c r="H246" s="118">
        <f t="shared" si="39"/>
        <v>3</v>
      </c>
      <c r="I246" s="118">
        <f t="shared" si="39"/>
        <v>3</v>
      </c>
      <c r="J246" s="118">
        <f t="shared" si="39"/>
        <v>3</v>
      </c>
      <c r="K246" s="118">
        <f t="shared" si="39"/>
        <v>3</v>
      </c>
      <c r="L246" s="118">
        <f t="shared" si="39"/>
        <v>3</v>
      </c>
      <c r="M246" s="118">
        <f t="shared" si="39"/>
        <v>3</v>
      </c>
      <c r="N246" s="118">
        <f t="shared" si="39"/>
        <v>3</v>
      </c>
      <c r="O246" s="118">
        <f t="shared" si="39"/>
        <v>3</v>
      </c>
      <c r="P246" s="118">
        <f t="shared" si="39"/>
        <v>3</v>
      </c>
      <c r="Q246" s="118">
        <f t="shared" si="39"/>
        <v>3</v>
      </c>
      <c r="R246" s="118">
        <f t="shared" si="39"/>
        <v>3</v>
      </c>
      <c r="AD246" s="127"/>
    </row>
    <row r="247" spans="1:44" s="29" customFormat="1" ht="16.2" hidden="1" customHeight="1" x14ac:dyDescent="0.3">
      <c r="A247" s="342"/>
      <c r="B247" s="106" t="s">
        <v>210</v>
      </c>
      <c r="C247" s="121">
        <f>C245/C246</f>
        <v>4.4514322882928281E-2</v>
      </c>
      <c r="D247" s="121">
        <f t="shared" ref="D247:R247" si="40">D245/D246</f>
        <v>5.2852013793493018E-2</v>
      </c>
      <c r="E247" s="121" t="e">
        <f t="shared" si="40"/>
        <v>#REF!</v>
      </c>
      <c r="F247" s="121" t="e">
        <f t="shared" si="40"/>
        <v>#REF!</v>
      </c>
      <c r="G247" s="121">
        <f t="shared" si="40"/>
        <v>0.10769250041934096</v>
      </c>
      <c r="H247" s="121">
        <f t="shared" si="40"/>
        <v>6.3611566206953921E-2</v>
      </c>
      <c r="I247" s="121">
        <f t="shared" si="40"/>
        <v>58.473985266546556</v>
      </c>
      <c r="J247" s="121">
        <f t="shared" si="40"/>
        <v>20.021014106020512</v>
      </c>
      <c r="K247" s="121">
        <f t="shared" si="40"/>
        <v>13.105406622890319</v>
      </c>
      <c r="L247" s="121">
        <f t="shared" si="40"/>
        <v>0.19358820450939176</v>
      </c>
      <c r="M247" s="121">
        <f t="shared" si="40"/>
        <v>1.4164744629846545E-2</v>
      </c>
      <c r="N247" s="121">
        <f t="shared" si="40"/>
        <v>6.7158043735634915E-2</v>
      </c>
      <c r="O247" s="121">
        <f t="shared" si="40"/>
        <v>0.15793032069173221</v>
      </c>
      <c r="P247" s="121">
        <f t="shared" si="40"/>
        <v>1.003591339506569</v>
      </c>
      <c r="Q247" s="121">
        <f t="shared" si="40"/>
        <v>24.50605050854081</v>
      </c>
      <c r="R247" s="121">
        <f t="shared" si="40"/>
        <v>0.10464062177148402</v>
      </c>
      <c r="AD247" s="127"/>
    </row>
    <row r="248" spans="1:44" s="29" customFormat="1" ht="16.2" hidden="1" customHeight="1" x14ac:dyDescent="0.3">
      <c r="A248" s="342"/>
      <c r="B248" s="106" t="s">
        <v>205</v>
      </c>
      <c r="C248" s="118">
        <f>C246-1</f>
        <v>2</v>
      </c>
      <c r="D248" s="118">
        <f t="shared" ref="D248:R248" si="41">D246-1</f>
        <v>2</v>
      </c>
      <c r="E248" s="118">
        <f t="shared" si="41"/>
        <v>2</v>
      </c>
      <c r="F248" s="118">
        <f t="shared" si="41"/>
        <v>2</v>
      </c>
      <c r="G248" s="118">
        <f t="shared" si="41"/>
        <v>2</v>
      </c>
      <c r="H248" s="118">
        <f t="shared" si="41"/>
        <v>2</v>
      </c>
      <c r="I248" s="118">
        <f t="shared" si="41"/>
        <v>2</v>
      </c>
      <c r="J248" s="118">
        <f t="shared" si="41"/>
        <v>2</v>
      </c>
      <c r="K248" s="118">
        <f t="shared" si="41"/>
        <v>2</v>
      </c>
      <c r="L248" s="118">
        <f t="shared" si="41"/>
        <v>2</v>
      </c>
      <c r="M248" s="118">
        <f t="shared" si="41"/>
        <v>2</v>
      </c>
      <c r="N248" s="118">
        <f t="shared" si="41"/>
        <v>2</v>
      </c>
      <c r="O248" s="118">
        <f t="shared" si="41"/>
        <v>2</v>
      </c>
      <c r="P248" s="118">
        <f t="shared" si="41"/>
        <v>2</v>
      </c>
      <c r="Q248" s="118">
        <f t="shared" si="41"/>
        <v>2</v>
      </c>
      <c r="R248" s="118">
        <f t="shared" si="41"/>
        <v>2</v>
      </c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</row>
    <row r="249" spans="1:44" x14ac:dyDescent="0.3">
      <c r="A249" s="127"/>
      <c r="B249"/>
      <c r="G249"/>
      <c r="W249" s="150"/>
      <c r="AD249" s="127"/>
    </row>
    <row r="250" spans="1:44" x14ac:dyDescent="0.3">
      <c r="A250" s="127"/>
      <c r="B250">
        <v>0.01</v>
      </c>
      <c r="C250">
        <v>0.01</v>
      </c>
      <c r="G250"/>
      <c r="W250" s="150"/>
      <c r="AD250" s="127"/>
    </row>
    <row r="251" spans="1:44" x14ac:dyDescent="0.3">
      <c r="A251" s="127"/>
      <c r="B251">
        <v>3</v>
      </c>
      <c r="C251">
        <v>3</v>
      </c>
      <c r="G251"/>
      <c r="W251" s="150"/>
      <c r="AD251" s="127"/>
    </row>
    <row r="252" spans="1:44" x14ac:dyDescent="0.3">
      <c r="A252" s="127"/>
      <c r="B252"/>
      <c r="G252"/>
      <c r="W252" s="150"/>
      <c r="AD252" s="127"/>
    </row>
    <row r="253" spans="1:44" x14ac:dyDescent="0.3">
      <c r="A253" s="127"/>
      <c r="B253"/>
      <c r="G253"/>
      <c r="W253" s="150"/>
      <c r="AD253" s="127"/>
    </row>
    <row r="254" spans="1:44" x14ac:dyDescent="0.3">
      <c r="A254" s="127"/>
      <c r="B254"/>
      <c r="G254"/>
      <c r="W254" s="150"/>
      <c r="AD254" s="127"/>
    </row>
    <row r="255" spans="1:44" x14ac:dyDescent="0.3">
      <c r="A255" s="127"/>
      <c r="B255"/>
      <c r="G255"/>
      <c r="W255" s="150"/>
      <c r="AD255" s="127"/>
    </row>
    <row r="256" spans="1:44" x14ac:dyDescent="0.3">
      <c r="A256" s="127"/>
      <c r="B256"/>
      <c r="G256"/>
      <c r="W256" s="150"/>
      <c r="AD256" s="127"/>
    </row>
    <row r="257" spans="1:30" x14ac:dyDescent="0.3">
      <c r="A257" s="127"/>
      <c r="B257"/>
      <c r="G257"/>
      <c r="W257" s="150"/>
      <c r="AD257" s="127"/>
    </row>
    <row r="258" spans="1:30" x14ac:dyDescent="0.3">
      <c r="A258" s="127"/>
      <c r="B258"/>
      <c r="G258"/>
      <c r="W258" s="150"/>
      <c r="AD258" s="127"/>
    </row>
    <row r="259" spans="1:30" x14ac:dyDescent="0.3">
      <c r="A259" s="127"/>
      <c r="B259"/>
      <c r="G259"/>
      <c r="W259" s="150"/>
      <c r="AD259" s="127"/>
    </row>
    <row r="260" spans="1:30" x14ac:dyDescent="0.3">
      <c r="A260" s="127"/>
      <c r="B260"/>
      <c r="G260"/>
      <c r="W260" s="150"/>
      <c r="AD260" s="127"/>
    </row>
    <row r="261" spans="1:30" x14ac:dyDescent="0.3">
      <c r="A261" s="127"/>
      <c r="B261"/>
      <c r="G261"/>
      <c r="W261" s="150"/>
      <c r="AD261" s="127"/>
    </row>
    <row r="262" spans="1:30" x14ac:dyDescent="0.3">
      <c r="A262" s="127"/>
      <c r="B262"/>
      <c r="G262"/>
      <c r="W262" s="150"/>
      <c r="AD262" s="127"/>
    </row>
    <row r="263" spans="1:30" x14ac:dyDescent="0.3">
      <c r="A263" s="127"/>
      <c r="B263"/>
      <c r="G263"/>
      <c r="W263" s="150"/>
      <c r="AD263" s="127"/>
    </row>
    <row r="264" spans="1:30" x14ac:dyDescent="0.3">
      <c r="A264" s="127"/>
      <c r="B264"/>
      <c r="G264"/>
      <c r="W264" s="150"/>
      <c r="AD264" s="127"/>
    </row>
    <row r="265" spans="1:30" x14ac:dyDescent="0.3">
      <c r="A265" s="127"/>
      <c r="B265"/>
      <c r="G265"/>
      <c r="W265" s="150"/>
      <c r="AD265" s="127"/>
    </row>
    <row r="266" spans="1:30" x14ac:dyDescent="0.3">
      <c r="A266" s="127"/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</row>
    <row r="268" spans="1:30" x14ac:dyDescent="0.3">
      <c r="A268" s="127"/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</row>
    <row r="269" spans="1:30" x14ac:dyDescent="0.3">
      <c r="A269" s="127"/>
      <c r="W269" s="127"/>
    </row>
    <row r="270" spans="1:30" x14ac:dyDescent="0.3">
      <c r="A270" s="127"/>
      <c r="W270" s="127"/>
    </row>
    <row r="271" spans="1:30" x14ac:dyDescent="0.3">
      <c r="A271" s="127"/>
      <c r="W271" s="127"/>
    </row>
    <row r="272" spans="1:30" x14ac:dyDescent="0.3">
      <c r="A272" s="127"/>
      <c r="W272" s="127"/>
    </row>
    <row r="273" spans="1:81" x14ac:dyDescent="0.3">
      <c r="A273" s="127"/>
      <c r="W273" s="127"/>
    </row>
    <row r="274" spans="1:81" x14ac:dyDescent="0.3">
      <c r="A274" s="127"/>
      <c r="W274" s="127"/>
    </row>
    <row r="275" spans="1:81" x14ac:dyDescent="0.3">
      <c r="A275" s="127"/>
      <c r="W275" s="127"/>
    </row>
    <row r="276" spans="1:81" x14ac:dyDescent="0.3">
      <c r="A276" s="127"/>
      <c r="W276" s="127"/>
    </row>
    <row r="277" spans="1:81" x14ac:dyDescent="0.3">
      <c r="A277" s="127"/>
      <c r="W277" s="127"/>
    </row>
    <row r="278" spans="1:81" x14ac:dyDescent="0.3">
      <c r="A278" s="127"/>
      <c r="W278" s="127"/>
    </row>
    <row r="279" spans="1:81" x14ac:dyDescent="0.3">
      <c r="A279" s="127"/>
      <c r="W279" s="127"/>
    </row>
    <row r="280" spans="1:81" x14ac:dyDescent="0.3">
      <c r="A280" s="127"/>
      <c r="W280" s="127"/>
    </row>
    <row r="281" spans="1:81" x14ac:dyDescent="0.3">
      <c r="A281" s="127"/>
      <c r="W281" s="127"/>
    </row>
    <row r="282" spans="1:81" x14ac:dyDescent="0.3">
      <c r="A282" s="127"/>
      <c r="W282" s="127"/>
    </row>
    <row r="283" spans="1:81" x14ac:dyDescent="0.3">
      <c r="A283" s="127"/>
      <c r="W283" s="127"/>
    </row>
    <row r="284" spans="1:81" x14ac:dyDescent="0.3">
      <c r="A284" s="127"/>
      <c r="W284" s="127"/>
    </row>
    <row r="285" spans="1:81" x14ac:dyDescent="0.3">
      <c r="A285" s="127"/>
      <c r="W285" s="127"/>
    </row>
    <row r="286" spans="1:81" x14ac:dyDescent="0.3">
      <c r="A286" s="127"/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</row>
    <row r="287" spans="1:81" x14ac:dyDescent="0.3">
      <c r="R287" s="29"/>
      <c r="S287" s="29"/>
      <c r="T287" s="29"/>
    </row>
    <row r="288" spans="1:81" s="29" customFormat="1" ht="15.6" hidden="1" x14ac:dyDescent="0.3">
      <c r="A288" s="145" t="s">
        <v>239</v>
      </c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7"/>
      <c r="BS288" s="127"/>
      <c r="BT288" s="127"/>
      <c r="BU288" s="127"/>
      <c r="BV288" s="127"/>
      <c r="BW288" s="127"/>
      <c r="BX288" s="127"/>
      <c r="BY288" s="127"/>
      <c r="BZ288" s="127"/>
      <c r="CA288" s="127"/>
      <c r="CB288" s="127"/>
      <c r="CC288" s="127"/>
    </row>
    <row r="289" spans="1:1" s="29" customFormat="1" hidden="1" x14ac:dyDescent="0.3">
      <c r="A289" s="127"/>
    </row>
    <row r="290" spans="1:1" hidden="1" x14ac:dyDescent="0.3">
      <c r="A290" s="127"/>
    </row>
    <row r="291" spans="1:1" hidden="1" x14ac:dyDescent="0.3">
      <c r="A291" s="127"/>
    </row>
    <row r="292" spans="1:1" hidden="1" x14ac:dyDescent="0.3">
      <c r="A292" s="127"/>
    </row>
    <row r="293" spans="1:1" hidden="1" x14ac:dyDescent="0.3">
      <c r="A293" s="127"/>
    </row>
    <row r="294" spans="1:1" hidden="1" x14ac:dyDescent="0.3">
      <c r="A294" s="127"/>
    </row>
    <row r="295" spans="1:1" hidden="1" x14ac:dyDescent="0.3">
      <c r="A295" s="127"/>
    </row>
    <row r="296" spans="1:1" hidden="1" x14ac:dyDescent="0.3">
      <c r="A296" s="127"/>
    </row>
    <row r="297" spans="1:1" hidden="1" x14ac:dyDescent="0.3">
      <c r="A297" s="127"/>
    </row>
    <row r="298" spans="1:1" hidden="1" x14ac:dyDescent="0.3">
      <c r="A298" s="127"/>
    </row>
    <row r="299" spans="1:1" hidden="1" x14ac:dyDescent="0.3">
      <c r="A299" s="127"/>
    </row>
    <row r="300" spans="1:1" hidden="1" x14ac:dyDescent="0.3">
      <c r="A300" s="127"/>
    </row>
    <row r="301" spans="1:1" s="29" customFormat="1" hidden="1" x14ac:dyDescent="0.3">
      <c r="A301" s="127"/>
    </row>
    <row r="302" spans="1:1" hidden="1" x14ac:dyDescent="0.3">
      <c r="A302" s="127"/>
    </row>
    <row r="303" spans="1:1" hidden="1" x14ac:dyDescent="0.3">
      <c r="A303" s="127"/>
    </row>
    <row r="304" spans="1:1" hidden="1" x14ac:dyDescent="0.3">
      <c r="A304" s="127"/>
    </row>
    <row r="305" spans="1:81" hidden="1" x14ac:dyDescent="0.3">
      <c r="A305" s="127"/>
    </row>
    <row r="306" spans="1:81" hidden="1" x14ac:dyDescent="0.3">
      <c r="A306" s="127"/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  <c r="BR306" s="127"/>
      <c r="BS306" s="127"/>
      <c r="BT306" s="127"/>
      <c r="BU306" s="127"/>
      <c r="BV306" s="127"/>
      <c r="BW306" s="127"/>
      <c r="BX306" s="127"/>
      <c r="BY306" s="127"/>
      <c r="BZ306" s="127"/>
      <c r="CA306" s="127"/>
      <c r="CB306" s="127"/>
      <c r="CC306" s="127"/>
    </row>
    <row r="307" spans="1:81" hidden="1" x14ac:dyDescent="0.3">
      <c r="A307" s="127"/>
    </row>
    <row r="308" spans="1:81" hidden="1" x14ac:dyDescent="0.3">
      <c r="A308" s="127"/>
    </row>
    <row r="309" spans="1:81" hidden="1" x14ac:dyDescent="0.3">
      <c r="A309" s="127"/>
    </row>
    <row r="310" spans="1:81" hidden="1" x14ac:dyDescent="0.3">
      <c r="A310" s="127"/>
    </row>
    <row r="311" spans="1:81" hidden="1" x14ac:dyDescent="0.3">
      <c r="A311" s="127"/>
    </row>
    <row r="312" spans="1:81" hidden="1" x14ac:dyDescent="0.3">
      <c r="A312" s="127"/>
    </row>
    <row r="313" spans="1:81" hidden="1" x14ac:dyDescent="0.3">
      <c r="A313" s="127"/>
      <c r="G313"/>
    </row>
    <row r="314" spans="1:81" hidden="1" x14ac:dyDescent="0.3">
      <c r="A314" s="127"/>
    </row>
    <row r="315" spans="1:81" hidden="1" x14ac:dyDescent="0.3">
      <c r="A315" s="127"/>
    </row>
    <row r="316" spans="1:81" hidden="1" x14ac:dyDescent="0.3">
      <c r="A316" s="127"/>
    </row>
    <row r="317" spans="1:81" hidden="1" x14ac:dyDescent="0.3">
      <c r="A317" s="127"/>
    </row>
    <row r="318" spans="1:81" hidden="1" x14ac:dyDescent="0.3">
      <c r="A318" s="127"/>
    </row>
    <row r="319" spans="1:81" hidden="1" x14ac:dyDescent="0.3">
      <c r="A319" s="127"/>
    </row>
    <row r="320" spans="1:81" hidden="1" x14ac:dyDescent="0.3">
      <c r="A320" s="127"/>
    </row>
    <row r="321" spans="1:82" hidden="1" x14ac:dyDescent="0.3">
      <c r="A321" s="127"/>
    </row>
    <row r="322" spans="1:82" hidden="1" x14ac:dyDescent="0.3">
      <c r="A322" s="127"/>
    </row>
    <row r="323" spans="1:82" hidden="1" x14ac:dyDescent="0.3">
      <c r="A323" s="127"/>
    </row>
    <row r="324" spans="1:82" hidden="1" x14ac:dyDescent="0.3">
      <c r="A324" s="127"/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7"/>
      <c r="CC324" s="127"/>
      <c r="CD324" s="127"/>
    </row>
    <row r="325" spans="1:82" hidden="1" x14ac:dyDescent="0.3"/>
    <row r="326" spans="1:82" ht="15.6" hidden="1" x14ac:dyDescent="0.3">
      <c r="A326" s="145" t="s">
        <v>243</v>
      </c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7"/>
      <c r="CC326" s="127"/>
      <c r="CD326" s="127"/>
    </row>
    <row r="327" spans="1:82" hidden="1" x14ac:dyDescent="0.3">
      <c r="A327" s="127"/>
    </row>
    <row r="328" spans="1:82" hidden="1" x14ac:dyDescent="0.3">
      <c r="A328" s="127"/>
    </row>
    <row r="329" spans="1:82" hidden="1" x14ac:dyDescent="0.3">
      <c r="A329" s="127"/>
    </row>
    <row r="330" spans="1:82" hidden="1" x14ac:dyDescent="0.3">
      <c r="A330" s="127"/>
    </row>
    <row r="331" spans="1:82" hidden="1" x14ac:dyDescent="0.3">
      <c r="A331" s="127"/>
    </row>
    <row r="332" spans="1:82" hidden="1" x14ac:dyDescent="0.3">
      <c r="A332" s="127"/>
    </row>
    <row r="333" spans="1:82" hidden="1" x14ac:dyDescent="0.3">
      <c r="A333" s="127"/>
    </row>
    <row r="334" spans="1:82" hidden="1" x14ac:dyDescent="0.3">
      <c r="A334" s="127"/>
    </row>
    <row r="335" spans="1:82" hidden="1" x14ac:dyDescent="0.3">
      <c r="A335" s="127"/>
    </row>
    <row r="336" spans="1:82" hidden="1" x14ac:dyDescent="0.3">
      <c r="A336" s="127"/>
    </row>
    <row r="337" spans="1:82" hidden="1" x14ac:dyDescent="0.3">
      <c r="A337" s="127"/>
    </row>
    <row r="338" spans="1:82" hidden="1" x14ac:dyDescent="0.3">
      <c r="A338" s="127"/>
    </row>
    <row r="339" spans="1:82" hidden="1" x14ac:dyDescent="0.3">
      <c r="A339" s="127"/>
    </row>
    <row r="340" spans="1:82" hidden="1" x14ac:dyDescent="0.3">
      <c r="A340" s="127"/>
    </row>
    <row r="341" spans="1:82" hidden="1" x14ac:dyDescent="0.3">
      <c r="A341" s="127"/>
    </row>
    <row r="342" spans="1:82" hidden="1" x14ac:dyDescent="0.3">
      <c r="A342" s="127"/>
    </row>
    <row r="343" spans="1:82" hidden="1" x14ac:dyDescent="0.3">
      <c r="A343" s="127"/>
    </row>
    <row r="344" spans="1:82" hidden="1" x14ac:dyDescent="0.3">
      <c r="A344" s="127"/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7"/>
      <c r="CC344" s="127"/>
      <c r="CD344" s="127"/>
    </row>
    <row r="345" spans="1:82" hidden="1" x14ac:dyDescent="0.3"/>
    <row r="346" spans="1:82" ht="15.6" hidden="1" x14ac:dyDescent="0.3">
      <c r="A346" s="145" t="s">
        <v>242</v>
      </c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7"/>
      <c r="CC346" s="127"/>
      <c r="CD346" s="29"/>
    </row>
    <row r="347" spans="1:82" hidden="1" x14ac:dyDescent="0.3">
      <c r="A347" s="127"/>
      <c r="C347" s="29"/>
      <c r="D347" s="29"/>
      <c r="E347" s="29"/>
      <c r="F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</row>
    <row r="348" spans="1:82" hidden="1" x14ac:dyDescent="0.3">
      <c r="A348" s="127"/>
      <c r="C348" s="29"/>
      <c r="D348" s="29"/>
      <c r="E348" s="29"/>
      <c r="F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</row>
    <row r="349" spans="1:82" hidden="1" x14ac:dyDescent="0.3">
      <c r="A349" s="127"/>
      <c r="C349" s="29"/>
      <c r="D349" s="29"/>
      <c r="E349" s="29"/>
      <c r="F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</row>
    <row r="350" spans="1:82" hidden="1" x14ac:dyDescent="0.3">
      <c r="A350" s="127"/>
      <c r="C350" s="29"/>
      <c r="D350" s="29"/>
      <c r="E350" s="29"/>
      <c r="F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</row>
    <row r="351" spans="1:82" hidden="1" x14ac:dyDescent="0.3">
      <c r="A351" s="127"/>
      <c r="C351" s="29"/>
      <c r="D351" s="29"/>
      <c r="E351" s="29"/>
      <c r="F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</row>
    <row r="352" spans="1:82" hidden="1" x14ac:dyDescent="0.3">
      <c r="A352" s="127"/>
      <c r="C352" s="29"/>
      <c r="D352" s="29"/>
      <c r="E352" s="29"/>
      <c r="F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</row>
    <row r="353" spans="1:82" hidden="1" x14ac:dyDescent="0.3">
      <c r="A353" s="127"/>
      <c r="C353" s="29"/>
      <c r="D353" s="29"/>
      <c r="E353" s="29"/>
      <c r="F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</row>
    <row r="354" spans="1:82" hidden="1" x14ac:dyDescent="0.3">
      <c r="A354" s="127"/>
      <c r="C354" s="29"/>
      <c r="D354" s="29"/>
      <c r="E354" s="29"/>
      <c r="F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</row>
    <row r="355" spans="1:82" hidden="1" x14ac:dyDescent="0.3">
      <c r="A355" s="127"/>
      <c r="C355" s="29"/>
      <c r="D355" s="29"/>
      <c r="E355" s="29"/>
      <c r="F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</row>
    <row r="356" spans="1:82" hidden="1" x14ac:dyDescent="0.3">
      <c r="A356" s="127"/>
      <c r="C356" s="29"/>
      <c r="D356" s="29"/>
      <c r="E356" s="29"/>
      <c r="F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</row>
    <row r="357" spans="1:82" hidden="1" x14ac:dyDescent="0.3">
      <c r="A357" s="127"/>
      <c r="C357" s="29"/>
      <c r="D357" s="29"/>
      <c r="E357" s="29"/>
      <c r="F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</row>
    <row r="358" spans="1:82" hidden="1" x14ac:dyDescent="0.3">
      <c r="A358" s="127"/>
      <c r="C358" s="29"/>
      <c r="D358" s="29"/>
      <c r="E358" s="29"/>
      <c r="F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</row>
    <row r="359" spans="1:82" hidden="1" x14ac:dyDescent="0.3">
      <c r="A359" s="127"/>
      <c r="C359" s="29"/>
      <c r="D359" s="29"/>
      <c r="E359" s="29"/>
      <c r="F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</row>
    <row r="360" spans="1:82" hidden="1" x14ac:dyDescent="0.3">
      <c r="A360" s="127"/>
      <c r="C360" s="29"/>
      <c r="D360" s="29"/>
      <c r="E360" s="29"/>
      <c r="F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</row>
    <row r="361" spans="1:82" hidden="1" x14ac:dyDescent="0.3">
      <c r="A361" s="127"/>
      <c r="C361" s="29"/>
      <c r="D361" s="29"/>
      <c r="E361" s="29"/>
      <c r="F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</row>
    <row r="362" spans="1:82" hidden="1" x14ac:dyDescent="0.3">
      <c r="A362" s="127"/>
      <c r="C362" s="29"/>
      <c r="D362" s="29"/>
      <c r="E362" s="29"/>
      <c r="F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</row>
    <row r="363" spans="1:82" hidden="1" x14ac:dyDescent="0.3">
      <c r="A363" s="127"/>
      <c r="C363" s="29"/>
      <c r="D363" s="29"/>
      <c r="E363" s="29"/>
      <c r="F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</row>
    <row r="364" spans="1:82" hidden="1" x14ac:dyDescent="0.3">
      <c r="A364" s="127"/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7"/>
      <c r="CA364" s="127"/>
      <c r="CB364" s="127"/>
      <c r="CC364" s="127"/>
      <c r="CD364" s="29"/>
    </row>
    <row r="365" spans="1:82" hidden="1" x14ac:dyDescent="0.3"/>
    <row r="366" spans="1:82" x14ac:dyDescent="0.3">
      <c r="A366" s="127"/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</row>
    <row r="367" spans="1:82" x14ac:dyDescent="0.3">
      <c r="A367" s="127"/>
    </row>
    <row r="368" spans="1:82" x14ac:dyDescent="0.3">
      <c r="A368" s="127"/>
    </row>
    <row r="369" spans="1:29" x14ac:dyDescent="0.3">
      <c r="A369" s="127"/>
    </row>
    <row r="370" spans="1:29" x14ac:dyDescent="0.3">
      <c r="A370" s="127"/>
    </row>
    <row r="371" spans="1:29" x14ac:dyDescent="0.3">
      <c r="A371" s="127"/>
    </row>
    <row r="372" spans="1:29" x14ac:dyDescent="0.3">
      <c r="A372" s="127"/>
    </row>
    <row r="373" spans="1:29" x14ac:dyDescent="0.3">
      <c r="A373" s="127"/>
    </row>
    <row r="374" spans="1:29" x14ac:dyDescent="0.3">
      <c r="A374" s="127"/>
    </row>
    <row r="375" spans="1:29" x14ac:dyDescent="0.3">
      <c r="A375" s="127"/>
    </row>
    <row r="376" spans="1:29" x14ac:dyDescent="0.3">
      <c r="A376" s="127"/>
    </row>
    <row r="377" spans="1:29" x14ac:dyDescent="0.3">
      <c r="A377" s="127"/>
    </row>
    <row r="378" spans="1:29" x14ac:dyDescent="0.3">
      <c r="A378" s="127"/>
    </row>
    <row r="379" spans="1:29" x14ac:dyDescent="0.3">
      <c r="A379" s="127"/>
    </row>
    <row r="380" spans="1:29" x14ac:dyDescent="0.3">
      <c r="A380" s="127"/>
    </row>
    <row r="381" spans="1:29" x14ac:dyDescent="0.3">
      <c r="A381" s="127"/>
    </row>
    <row r="382" spans="1:29" x14ac:dyDescent="0.3">
      <c r="A382" s="127"/>
    </row>
    <row r="383" spans="1:29" x14ac:dyDescent="0.3">
      <c r="A383" s="127"/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</row>
  </sheetData>
  <dataConsolidate/>
  <mergeCells count="8">
    <mergeCell ref="T175:Y175"/>
    <mergeCell ref="A174:W174"/>
    <mergeCell ref="A243:A248"/>
    <mergeCell ref="C175:N175"/>
    <mergeCell ref="O175:R175"/>
    <mergeCell ref="A177:A198"/>
    <mergeCell ref="A199:A220"/>
    <mergeCell ref="A221:A24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79998168889431442"/>
  </sheetPr>
  <dimension ref="A1:AS347"/>
  <sheetViews>
    <sheetView topLeftCell="W315" workbookViewId="0">
      <selection activeCell="AG334" sqref="AG334:AG339"/>
    </sheetView>
  </sheetViews>
  <sheetFormatPr defaultRowHeight="14.4" x14ac:dyDescent="0.3"/>
  <cols>
    <col min="9" max="9" width="12" bestFit="1" customWidth="1"/>
    <col min="30" max="30" width="8.88671875" style="227"/>
    <col min="33" max="33" width="10.5546875" bestFit="1" customWidth="1"/>
    <col min="45" max="45" width="8.88671875" style="224"/>
  </cols>
  <sheetData>
    <row r="1" spans="1:44" ht="18" thickBot="1" x14ac:dyDescent="0.4">
      <c r="A1" s="359" t="s">
        <v>46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228" t="s">
        <v>413</v>
      </c>
      <c r="P1" s="360" t="s">
        <v>414</v>
      </c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226" t="s">
        <v>413</v>
      </c>
      <c r="AE1" s="360" t="s">
        <v>456</v>
      </c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</row>
    <row r="2" spans="1:44" ht="15" thickTop="1" x14ac:dyDescent="0.3">
      <c r="A2" s="361" t="s">
        <v>386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229" t="s">
        <v>433</v>
      </c>
      <c r="P2" s="357" t="s">
        <v>428</v>
      </c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227" t="s">
        <v>468</v>
      </c>
      <c r="AE2" s="357" t="s">
        <v>455</v>
      </c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</row>
    <row r="3" spans="1:44" x14ac:dyDescent="0.3">
      <c r="A3" s="29" t="s">
        <v>430</v>
      </c>
      <c r="B3" s="29" t="s">
        <v>388</v>
      </c>
      <c r="C3" s="6">
        <f>AVERAGE('S-SBR'!$AL$4:$AL$77)</f>
        <v>0.68310635935568176</v>
      </c>
      <c r="D3" s="29"/>
      <c r="E3" s="29" t="s">
        <v>393</v>
      </c>
      <c r="F3" s="29"/>
      <c r="G3" s="29"/>
      <c r="H3" s="29"/>
      <c r="I3" s="29"/>
      <c r="J3" s="29"/>
      <c r="K3" s="29"/>
      <c r="L3" s="29"/>
      <c r="M3" s="29"/>
      <c r="N3" s="29"/>
      <c r="O3" s="229"/>
      <c r="P3" s="29" t="s">
        <v>430</v>
      </c>
      <c r="Q3" s="29" t="s">
        <v>388</v>
      </c>
      <c r="R3" s="6">
        <f>AVERAGE('S-SBR'!$J$4:$J$77)</f>
        <v>23.916290001306177</v>
      </c>
      <c r="S3" s="29"/>
      <c r="T3" s="29" t="s">
        <v>393</v>
      </c>
      <c r="U3" s="29"/>
      <c r="V3" s="29"/>
      <c r="W3" s="29"/>
      <c r="X3" s="29"/>
      <c r="Y3" s="29"/>
      <c r="Z3" s="29"/>
      <c r="AA3" s="29"/>
      <c r="AB3" s="29"/>
      <c r="AC3" s="29"/>
      <c r="AE3" s="29" t="s">
        <v>430</v>
      </c>
      <c r="AF3" s="29" t="s">
        <v>388</v>
      </c>
      <c r="AG3" s="6">
        <f>AVERAGE('stable S-SBR'!$AM$4:$AM$77)</f>
        <v>0.58021223408750011</v>
      </c>
    </row>
    <row r="4" spans="1:44" x14ac:dyDescent="0.3">
      <c r="A4" s="29" t="s">
        <v>307</v>
      </c>
      <c r="B4" s="29" t="s">
        <v>389</v>
      </c>
      <c r="C4" s="6">
        <f>STDEV('S-SBR'!$AL$4:$AL$77)</f>
        <v>0.2668022417698121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29"/>
      <c r="P4" s="29" t="s">
        <v>307</v>
      </c>
      <c r="Q4" s="29" t="s">
        <v>389</v>
      </c>
      <c r="R4" s="6">
        <f>STDEV('S-SBR'!$J$4:$J$77)</f>
        <v>2.06940495470417</v>
      </c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E4" s="29" t="s">
        <v>307</v>
      </c>
      <c r="AF4" s="29" t="s">
        <v>389</v>
      </c>
      <c r="AG4" s="6">
        <f>STDEV('stable S-SBR'!$AM$4:$AM$77)</f>
        <v>0.2387754974321451</v>
      </c>
    </row>
    <row r="5" spans="1:44" ht="15" thickBot="1" x14ac:dyDescent="0.35">
      <c r="A5" s="29"/>
      <c r="B5" s="29" t="s">
        <v>200</v>
      </c>
      <c r="C5" s="22">
        <f>COUNT('S-SBR'!$AL$4:$AL$77)</f>
        <v>44</v>
      </c>
      <c r="D5" s="29"/>
      <c r="E5" s="29" t="s">
        <v>394</v>
      </c>
      <c r="F5" s="29"/>
      <c r="G5" s="29"/>
      <c r="H5" s="29" t="s">
        <v>395</v>
      </c>
      <c r="I5" s="6">
        <v>0</v>
      </c>
      <c r="J5" s="29"/>
      <c r="K5" s="29"/>
      <c r="L5" s="29"/>
      <c r="M5" s="29"/>
      <c r="N5" s="29"/>
      <c r="O5" s="229"/>
      <c r="P5" s="29"/>
      <c r="Q5" s="29" t="s">
        <v>200</v>
      </c>
      <c r="R5" s="22">
        <f>COUNT('S-SBR'!$J$4:$J$77)</f>
        <v>44</v>
      </c>
      <c r="S5" s="29"/>
      <c r="T5" s="29" t="s">
        <v>394</v>
      </c>
      <c r="U5" s="29"/>
      <c r="V5" s="29"/>
      <c r="W5" s="29" t="s">
        <v>395</v>
      </c>
      <c r="X5" s="6">
        <v>0</v>
      </c>
      <c r="Y5" s="29"/>
      <c r="Z5" s="29"/>
      <c r="AA5" s="29"/>
      <c r="AB5" s="29"/>
      <c r="AC5" s="29"/>
      <c r="AE5" s="29"/>
      <c r="AF5" s="29" t="s">
        <v>200</v>
      </c>
      <c r="AG5" s="22">
        <f>COUNT('stable S-SBR'!$AM$4:$AM$77)</f>
        <v>44</v>
      </c>
    </row>
    <row r="6" spans="1:44" ht="15" thickTop="1" x14ac:dyDescent="0.3">
      <c r="A6" s="29"/>
      <c r="B6" s="29" t="s">
        <v>174</v>
      </c>
      <c r="C6" s="6">
        <f>MIN('S-SBR'!$AL$4:$AL$77)</f>
        <v>2.0565350000000003E-2</v>
      </c>
      <c r="D6" s="29"/>
      <c r="E6" s="191" t="s">
        <v>396</v>
      </c>
      <c r="F6" s="191" t="s">
        <v>290</v>
      </c>
      <c r="G6" s="191" t="s">
        <v>292</v>
      </c>
      <c r="H6" s="191" t="s">
        <v>293</v>
      </c>
      <c r="I6" s="191" t="s">
        <v>397</v>
      </c>
      <c r="J6" s="29"/>
      <c r="K6" s="29"/>
      <c r="L6" s="29"/>
      <c r="M6" s="29"/>
      <c r="N6" s="29"/>
      <c r="O6" s="229"/>
      <c r="P6" s="29"/>
      <c r="Q6" s="29" t="s">
        <v>174</v>
      </c>
      <c r="R6" s="6">
        <f>MIN('S-SBR'!$J$4:$J$77)</f>
        <v>20.712430555555571</v>
      </c>
      <c r="S6" s="29"/>
      <c r="T6" s="191" t="s">
        <v>396</v>
      </c>
      <c r="U6" s="191" t="s">
        <v>290</v>
      </c>
      <c r="V6" s="191" t="s">
        <v>292</v>
      </c>
      <c r="W6" s="191" t="s">
        <v>293</v>
      </c>
      <c r="X6" s="191" t="s">
        <v>397</v>
      </c>
      <c r="Y6" s="29"/>
      <c r="Z6" s="29"/>
      <c r="AA6" s="29"/>
      <c r="AB6" s="29"/>
      <c r="AC6" s="29"/>
      <c r="AE6" s="29"/>
      <c r="AF6" s="29" t="s">
        <v>174</v>
      </c>
      <c r="AG6" s="6">
        <f>MIN('stable S-SBR'!$AM$4:$AM$77)</f>
        <v>1.8415870000000004E-2</v>
      </c>
    </row>
    <row r="7" spans="1:44" x14ac:dyDescent="0.3">
      <c r="A7" s="29"/>
      <c r="B7" s="29" t="s">
        <v>175</v>
      </c>
      <c r="C7" s="6">
        <f>MAX('S-SBR'!$AL$4:$AL$77)</f>
        <v>1.1074062</v>
      </c>
      <c r="D7" s="29"/>
      <c r="E7" s="29" t="str">
        <f>A10</f>
        <v>Period 1</v>
      </c>
      <c r="F7" s="22">
        <f>C11</f>
        <v>25</v>
      </c>
      <c r="G7" s="6">
        <f>C9</f>
        <v>0.85471748287199989</v>
      </c>
      <c r="H7" s="20">
        <f>C4^2</f>
        <v>7.1183436213397261E-2</v>
      </c>
      <c r="I7" s="29"/>
      <c r="J7" s="29"/>
      <c r="K7" s="29"/>
      <c r="L7" s="29"/>
      <c r="M7" s="29"/>
      <c r="N7" s="29"/>
      <c r="O7" s="229"/>
      <c r="P7" s="29"/>
      <c r="Q7" s="29" t="s">
        <v>175</v>
      </c>
      <c r="R7" s="6">
        <f>MAX('S-SBR'!$J$4:$J$77)</f>
        <v>29.483194444444461</v>
      </c>
      <c r="S7" s="29"/>
      <c r="T7" s="29" t="str">
        <f>P9</f>
        <v>Period 1</v>
      </c>
      <c r="U7" s="22">
        <f>R10</f>
        <v>25</v>
      </c>
      <c r="V7" s="6">
        <f>R8</f>
        <v>24.771283333333344</v>
      </c>
      <c r="W7" s="20">
        <f>R4^2</f>
        <v>4.2824368665541677</v>
      </c>
      <c r="X7" s="29"/>
      <c r="Y7" s="29"/>
      <c r="Z7" s="29"/>
      <c r="AA7" s="29"/>
      <c r="AB7" s="29"/>
      <c r="AC7" s="29"/>
      <c r="AE7" s="29"/>
      <c r="AF7" s="29" t="s">
        <v>175</v>
      </c>
      <c r="AG7" s="6">
        <f>MAX('stable S-SBR'!$AM$4:$AM$77)</f>
        <v>0.96334056000000001</v>
      </c>
    </row>
    <row r="8" spans="1:44" x14ac:dyDescent="0.3">
      <c r="B8" t="s">
        <v>442</v>
      </c>
      <c r="C8" s="6">
        <f>DEVSQ('S-SBR'!$AL$4:$AL$77)</f>
        <v>3.0608877571760789</v>
      </c>
      <c r="D8" s="29"/>
      <c r="E8" s="29" t="str">
        <f>A16</f>
        <v>Period 2</v>
      </c>
      <c r="F8" s="22">
        <f>C17</f>
        <v>19</v>
      </c>
      <c r="G8" s="20">
        <f>C15</f>
        <v>0.45730224946578946</v>
      </c>
      <c r="H8" s="20">
        <f>C16^2</f>
        <v>2.4188704069717883E-3</v>
      </c>
      <c r="I8" s="29"/>
      <c r="J8" s="29"/>
      <c r="K8" s="29"/>
      <c r="L8" s="29"/>
      <c r="M8" s="29"/>
      <c r="N8" s="29"/>
      <c r="O8" s="229"/>
      <c r="P8" s="29" t="s">
        <v>431</v>
      </c>
      <c r="Q8" s="29" t="s">
        <v>388</v>
      </c>
      <c r="R8" s="6">
        <f>AVERAGE('S-SBR'!$J$4:$J$48)</f>
        <v>24.771283333333344</v>
      </c>
      <c r="S8" s="29"/>
      <c r="T8" s="29" t="str">
        <f>P14</f>
        <v>Period 2</v>
      </c>
      <c r="U8" s="22">
        <f>R15</f>
        <v>19</v>
      </c>
      <c r="V8" s="20">
        <f>R13</f>
        <v>22.791298774954633</v>
      </c>
      <c r="W8" s="20">
        <f>R14^2</f>
        <v>1.5049135313606141</v>
      </c>
      <c r="X8" s="29"/>
      <c r="Y8" s="29"/>
      <c r="Z8" s="29"/>
      <c r="AA8" s="29"/>
      <c r="AB8" s="29"/>
      <c r="AC8" s="29"/>
      <c r="AE8" s="29"/>
      <c r="AF8" s="29" t="s">
        <v>442</v>
      </c>
      <c r="AG8" s="6">
        <f>DEVSQ('stable S-SBR'!$AM$4:$AM$77)</f>
        <v>2.4515907414806457</v>
      </c>
    </row>
    <row r="9" spans="1:44" x14ac:dyDescent="0.3">
      <c r="A9" s="29" t="s">
        <v>431</v>
      </c>
      <c r="B9" s="29" t="s">
        <v>388</v>
      </c>
      <c r="C9" s="6">
        <f>AVERAGE('S-SBR'!$AL$4:$AL$48)</f>
        <v>0.85471748287199989</v>
      </c>
      <c r="D9" s="29"/>
      <c r="E9" s="8" t="s">
        <v>398</v>
      </c>
      <c r="F9" s="8"/>
      <c r="G9" s="8"/>
      <c r="H9" s="8">
        <f>((F7-1)*H7+(F8-1)*H8)/(F7+F8-2)</f>
        <v>4.1712908010643486E-2</v>
      </c>
      <c r="I9" s="8">
        <f>ABS(G7-G8-I5)/SQRT(H9)</f>
        <v>1.9458496306902748</v>
      </c>
      <c r="J9" s="29"/>
      <c r="K9" s="29"/>
      <c r="L9" s="29"/>
      <c r="M9" s="29"/>
      <c r="N9" s="29"/>
      <c r="O9" s="229"/>
      <c r="P9" s="29" t="s">
        <v>411</v>
      </c>
      <c r="Q9" s="29" t="s">
        <v>389</v>
      </c>
      <c r="R9" s="6">
        <f>STDEV('S-SBR'!$J$4:$J$48)</f>
        <v>2.1864592936228582</v>
      </c>
      <c r="S9" s="29"/>
      <c r="T9" s="8" t="s">
        <v>398</v>
      </c>
      <c r="U9" s="8"/>
      <c r="V9" s="8"/>
      <c r="W9" s="8">
        <f>((U7-1)*W7+(U8-1)*W8)/(U7+U8-2)</f>
        <v>3.0920697228997875</v>
      </c>
      <c r="X9" s="8">
        <f>ABS(V7-V8-X5)/SQRT(W9)</f>
        <v>1.1259968204049804</v>
      </c>
      <c r="Y9" s="29"/>
      <c r="Z9" s="29"/>
      <c r="AA9" s="29"/>
      <c r="AB9" s="29"/>
      <c r="AC9" s="29"/>
    </row>
    <row r="10" spans="1:44" x14ac:dyDescent="0.3">
      <c r="A10" s="29" t="s">
        <v>411</v>
      </c>
      <c r="B10" s="29" t="s">
        <v>389</v>
      </c>
      <c r="C10" s="6">
        <f>STDEV('S-SBR'!$AL$4:$AL$48)</f>
        <v>0.23383810480108391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29"/>
      <c r="P10" s="29"/>
      <c r="Q10" s="29" t="s">
        <v>200</v>
      </c>
      <c r="R10" s="22">
        <f>COUNT('S-SBR'!$J$4:$J$48)</f>
        <v>25</v>
      </c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</row>
    <row r="11" spans="1:44" ht="15" thickBot="1" x14ac:dyDescent="0.35">
      <c r="A11" s="29"/>
      <c r="B11" s="29" t="s">
        <v>200</v>
      </c>
      <c r="C11" s="22">
        <f>COUNT('S-SBR'!$AL$4:$AL$48)</f>
        <v>25</v>
      </c>
      <c r="D11" s="29"/>
      <c r="E11" s="29" t="s">
        <v>399</v>
      </c>
      <c r="F11" s="29"/>
      <c r="G11" s="29"/>
      <c r="H11" s="29"/>
      <c r="I11" s="29" t="s">
        <v>288</v>
      </c>
      <c r="J11" s="29">
        <v>0.05</v>
      </c>
      <c r="K11" s="29"/>
      <c r="L11" s="29"/>
      <c r="M11" s="29"/>
      <c r="N11" s="29"/>
      <c r="O11" s="229"/>
      <c r="P11" s="29"/>
      <c r="Q11" s="29" t="s">
        <v>174</v>
      </c>
      <c r="R11" s="6">
        <f>MIN('S-SBR'!$J$4:$J$48)</f>
        <v>21.368750000000009</v>
      </c>
      <c r="S11" s="29"/>
      <c r="T11" s="29" t="s">
        <v>399</v>
      </c>
      <c r="U11" s="29"/>
      <c r="V11" s="29"/>
      <c r="W11" s="29"/>
      <c r="X11" s="29" t="s">
        <v>288</v>
      </c>
      <c r="Y11" s="29">
        <v>0.05</v>
      </c>
      <c r="Z11" s="29"/>
      <c r="AA11" s="29"/>
      <c r="AB11" s="29"/>
      <c r="AC11" s="29"/>
    </row>
    <row r="12" spans="1:44" ht="15" thickTop="1" x14ac:dyDescent="0.3">
      <c r="A12" s="29"/>
      <c r="B12" s="29" t="s">
        <v>174</v>
      </c>
      <c r="C12" s="6">
        <f>MIN('S-SBR'!$AL$4:$AL$48)</f>
        <v>2.0565350000000003E-2</v>
      </c>
      <c r="D12" s="29"/>
      <c r="E12" s="191" t="s">
        <v>400</v>
      </c>
      <c r="F12" s="191" t="s">
        <v>401</v>
      </c>
      <c r="G12" s="191" t="s">
        <v>402</v>
      </c>
      <c r="H12" s="191" t="s">
        <v>205</v>
      </c>
      <c r="I12" s="191" t="s">
        <v>311</v>
      </c>
      <c r="J12" s="191" t="s">
        <v>403</v>
      </c>
      <c r="K12" s="191" t="s">
        <v>404</v>
      </c>
      <c r="L12" s="191" t="s">
        <v>405</v>
      </c>
      <c r="M12" s="191" t="s">
        <v>406</v>
      </c>
      <c r="N12" s="191" t="s">
        <v>407</v>
      </c>
      <c r="O12" s="229"/>
      <c r="P12" s="29"/>
      <c r="Q12" s="29" t="s">
        <v>175</v>
      </c>
      <c r="R12" s="6">
        <f>MAX('S-SBR'!$J$4:$J$48)</f>
        <v>29.483194444444461</v>
      </c>
      <c r="S12" s="29"/>
      <c r="T12" s="191" t="s">
        <v>400</v>
      </c>
      <c r="U12" s="191" t="s">
        <v>401</v>
      </c>
      <c r="V12" s="191" t="s">
        <v>402</v>
      </c>
      <c r="W12" s="191" t="s">
        <v>205</v>
      </c>
      <c r="X12" s="191" t="s">
        <v>311</v>
      </c>
      <c r="Y12" s="191" t="s">
        <v>403</v>
      </c>
      <c r="Z12" s="191" t="s">
        <v>404</v>
      </c>
      <c r="AA12" s="191" t="s">
        <v>405</v>
      </c>
      <c r="AB12" s="191" t="s">
        <v>406</v>
      </c>
      <c r="AC12" s="191" t="s">
        <v>407</v>
      </c>
    </row>
    <row r="13" spans="1:44" x14ac:dyDescent="0.3">
      <c r="A13" s="29"/>
      <c r="B13" s="29" t="s">
        <v>175</v>
      </c>
      <c r="C13" s="6">
        <f>MAX('S-SBR'!$AL$4:$AL$48)</f>
        <v>1.1074062</v>
      </c>
      <c r="D13" s="29"/>
      <c r="E13" s="29" t="s">
        <v>408</v>
      </c>
      <c r="F13" s="29">
        <f>SQRT(H9*(1/F7+1/F8))</f>
        <v>6.2160538378558457E-2</v>
      </c>
      <c r="G13" s="29">
        <f>(ABS(G7-G8-I5))/F13</f>
        <v>6.3933685867703831</v>
      </c>
      <c r="H13" s="22">
        <f>F7+F8-2</f>
        <v>42</v>
      </c>
      <c r="I13" s="29">
        <f>TDIST(G13,H13,1)</f>
        <v>5.3935383824926598E-8</v>
      </c>
      <c r="J13" s="29">
        <f>TINV(J11*2,H13)</f>
        <v>1.6819523574675355</v>
      </c>
      <c r="K13" s="29"/>
      <c r="L13" s="29"/>
      <c r="M13" s="183" t="str">
        <f>IF(I13&lt;J11,"yes","no")</f>
        <v>yes</v>
      </c>
      <c r="N13" s="29">
        <f>SQRT(G13^2/(G13^2+H13))</f>
        <v>0.70229171974982085</v>
      </c>
      <c r="O13" s="229"/>
      <c r="P13" s="29" t="s">
        <v>432</v>
      </c>
      <c r="Q13" s="29" t="s">
        <v>388</v>
      </c>
      <c r="R13" s="6">
        <f>AVERAGE('S-SBR'!$J$49:$J$77)</f>
        <v>22.791298774954633</v>
      </c>
      <c r="S13" s="29"/>
      <c r="T13" s="29" t="s">
        <v>408</v>
      </c>
      <c r="U13" s="29">
        <f>SQRT(W9*(1/U7+1/U8))</f>
        <v>0.53518529561971273</v>
      </c>
      <c r="V13" s="29">
        <f>(ABS(V7-V8-X5))/U13</f>
        <v>3.6996243629713446</v>
      </c>
      <c r="W13" s="29">
        <f>U7+U8-2</f>
        <v>42</v>
      </c>
      <c r="X13" s="29">
        <f>TDIST(V13,W13,1)</f>
        <v>3.1073796986875785E-4</v>
      </c>
      <c r="Y13" s="29">
        <f>TINV(Y11*2,W13)</f>
        <v>1.6819523574675355</v>
      </c>
      <c r="Z13" s="29"/>
      <c r="AA13" s="29"/>
      <c r="AB13" s="183" t="str">
        <f>IF(X13&lt;Y11,"yes","no")</f>
        <v>yes</v>
      </c>
      <c r="AC13" s="29">
        <f>SQRT(V13^2/(V13^2+W13))</f>
        <v>0.49576956275163903</v>
      </c>
    </row>
    <row r="14" spans="1:44" x14ac:dyDescent="0.3">
      <c r="B14" t="s">
        <v>442</v>
      </c>
      <c r="C14" s="6">
        <f>DEVSQ('S-SBR'!$AL$4:$AL$48)</f>
        <v>1.3123262221670986</v>
      </c>
      <c r="D14" s="29"/>
      <c r="E14" s="29" t="s">
        <v>409</v>
      </c>
      <c r="F14" s="29">
        <f>F13</f>
        <v>6.2160538378558457E-2</v>
      </c>
      <c r="G14" s="29">
        <f>G13</f>
        <v>6.3933685867703831</v>
      </c>
      <c r="H14" s="29">
        <f t="shared" ref="H14" si="0">H13</f>
        <v>42</v>
      </c>
      <c r="I14" s="29">
        <f>TDIST(G14,H14,2)</f>
        <v>1.078707676498532E-7</v>
      </c>
      <c r="J14" s="29">
        <f>TINV(J11,H14)</f>
        <v>2.0180817028184461</v>
      </c>
      <c r="K14" s="29">
        <f>(G7-G8)-J14*F14</f>
        <v>0.27197018826709785</v>
      </c>
      <c r="L14" s="29">
        <f>(G7-G8)+J14*F14</f>
        <v>0.52286027854532302</v>
      </c>
      <c r="M14" s="183" t="str">
        <f>IF(I14&lt;J11,"yes","no")</f>
        <v>yes</v>
      </c>
      <c r="N14" s="29">
        <f>N13</f>
        <v>0.70229171974982085</v>
      </c>
      <c r="O14" s="229"/>
      <c r="P14" s="29" t="s">
        <v>412</v>
      </c>
      <c r="Q14" s="29" t="s">
        <v>389</v>
      </c>
      <c r="R14" s="6">
        <f>STDEV('S-SBR'!$J$49:$J$96)</f>
        <v>1.226749172145885</v>
      </c>
      <c r="S14" s="29"/>
      <c r="T14" s="29" t="s">
        <v>409</v>
      </c>
      <c r="U14" s="29">
        <f>U13</f>
        <v>0.53518529561971273</v>
      </c>
      <c r="V14" s="29">
        <f>V13</f>
        <v>3.6996243629713446</v>
      </c>
      <c r="W14" s="29">
        <f t="shared" ref="W14" si="1">W13</f>
        <v>42</v>
      </c>
      <c r="X14" s="29">
        <f>TDIST(V14,W14,2)</f>
        <v>6.2147593973751569E-4</v>
      </c>
      <c r="Y14" s="29">
        <f>TINV(Y11,W14)</f>
        <v>2.0180817028184461</v>
      </c>
      <c r="Z14" s="29">
        <f>(V7-V8)-Y14*U14</f>
        <v>0.89993690567108708</v>
      </c>
      <c r="AA14" s="29">
        <f>(V7-V8)+Y14*U14</f>
        <v>3.0600322110863338</v>
      </c>
      <c r="AB14" s="183" t="str">
        <f>IF(X14&lt;Y11,"yes","no")</f>
        <v>yes</v>
      </c>
      <c r="AC14" s="29">
        <f>AC13</f>
        <v>0.49576956275163903</v>
      </c>
    </row>
    <row r="15" spans="1:44" x14ac:dyDescent="0.3">
      <c r="A15" s="29" t="s">
        <v>432</v>
      </c>
      <c r="B15" s="29" t="s">
        <v>388</v>
      </c>
      <c r="C15" s="6">
        <f>AVERAGE('S-SBR'!$AL$49:$AL$77)</f>
        <v>0.45730224946578946</v>
      </c>
      <c r="D15" s="29"/>
      <c r="E15" s="8"/>
      <c r="F15" s="8"/>
      <c r="G15" s="8"/>
      <c r="H15" s="8"/>
      <c r="I15" s="8"/>
      <c r="J15" s="8"/>
      <c r="K15" s="8"/>
      <c r="L15" s="8"/>
      <c r="M15" s="8"/>
      <c r="N15" s="8"/>
      <c r="O15" s="229"/>
      <c r="P15" s="29"/>
      <c r="Q15" s="29" t="s">
        <v>200</v>
      </c>
      <c r="R15" s="22">
        <f>COUNT('S-SBR'!$J$49:$J$90)</f>
        <v>19</v>
      </c>
      <c r="S15" s="29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44" ht="15" thickBot="1" x14ac:dyDescent="0.35">
      <c r="A16" s="29" t="s">
        <v>412</v>
      </c>
      <c r="B16" s="29" t="s">
        <v>389</v>
      </c>
      <c r="C16" s="6">
        <f>STDEV('S-SBR'!$AL$49:$AL$96)</f>
        <v>4.9182013043101318E-2</v>
      </c>
      <c r="D16" s="29"/>
      <c r="E16" s="29" t="s">
        <v>410</v>
      </c>
      <c r="F16" s="29"/>
      <c r="G16" s="29"/>
      <c r="H16" s="29"/>
      <c r="I16" s="29" t="s">
        <v>288</v>
      </c>
      <c r="J16" s="29">
        <f>J11</f>
        <v>0.05</v>
      </c>
      <c r="K16" s="29"/>
      <c r="L16" s="29"/>
      <c r="M16" s="29"/>
      <c r="N16" s="29"/>
      <c r="O16" s="229"/>
      <c r="P16" s="29"/>
      <c r="Q16" s="29" t="s">
        <v>174</v>
      </c>
      <c r="R16" s="6">
        <f>MIN('S-SBR'!$J$49:$J$77)</f>
        <v>20.712430555555571</v>
      </c>
      <c r="S16" s="29"/>
      <c r="T16" s="29" t="s">
        <v>410</v>
      </c>
      <c r="U16" s="29"/>
      <c r="V16" s="29"/>
      <c r="W16" s="29"/>
      <c r="X16" s="29" t="s">
        <v>288</v>
      </c>
      <c r="Y16" s="29">
        <f>Y11</f>
        <v>0.05</v>
      </c>
      <c r="Z16" s="29"/>
      <c r="AA16" s="29"/>
      <c r="AB16" s="29"/>
      <c r="AC16" s="29"/>
    </row>
    <row r="17" spans="1:44" ht="15" thickTop="1" x14ac:dyDescent="0.3">
      <c r="A17" s="29"/>
      <c r="B17" s="29" t="s">
        <v>200</v>
      </c>
      <c r="C17" s="22">
        <f>COUNT('S-SBR'!$AL$49:$AL$90)</f>
        <v>19</v>
      </c>
      <c r="D17" s="29"/>
      <c r="E17" s="191" t="s">
        <v>400</v>
      </c>
      <c r="F17" s="191" t="s">
        <v>401</v>
      </c>
      <c r="G17" s="191" t="s">
        <v>402</v>
      </c>
      <c r="H17" s="191" t="s">
        <v>205</v>
      </c>
      <c r="I17" s="191" t="s">
        <v>311</v>
      </c>
      <c r="J17" s="191" t="s">
        <v>403</v>
      </c>
      <c r="K17" s="191" t="s">
        <v>404</v>
      </c>
      <c r="L17" s="191" t="s">
        <v>405</v>
      </c>
      <c r="M17" s="191" t="s">
        <v>406</v>
      </c>
      <c r="N17" s="191" t="s">
        <v>407</v>
      </c>
      <c r="O17" s="229"/>
      <c r="P17" s="29"/>
      <c r="Q17" s="29" t="s">
        <v>175</v>
      </c>
      <c r="R17" s="6">
        <f>MAX('S-SBR'!$J$49:$J$77)</f>
        <v>25.118344827586231</v>
      </c>
      <c r="S17" s="29"/>
      <c r="T17" s="191" t="s">
        <v>400</v>
      </c>
      <c r="U17" s="191" t="s">
        <v>401</v>
      </c>
      <c r="V17" s="191" t="s">
        <v>402</v>
      </c>
      <c r="W17" s="191" t="s">
        <v>205</v>
      </c>
      <c r="X17" s="191" t="s">
        <v>311</v>
      </c>
      <c r="Y17" s="191" t="s">
        <v>403</v>
      </c>
      <c r="Z17" s="191" t="s">
        <v>404</v>
      </c>
      <c r="AA17" s="191" t="s">
        <v>405</v>
      </c>
      <c r="AB17" s="191" t="s">
        <v>406</v>
      </c>
      <c r="AC17" s="191" t="s">
        <v>407</v>
      </c>
    </row>
    <row r="18" spans="1:44" x14ac:dyDescent="0.3">
      <c r="A18" s="29"/>
      <c r="B18" s="29" t="s">
        <v>174</v>
      </c>
      <c r="C18" s="6">
        <f>MIN('S-SBR'!$AL$49:$AL$77)</f>
        <v>0.33614175000000002</v>
      </c>
      <c r="D18" s="29"/>
      <c r="E18" s="29" t="s">
        <v>408</v>
      </c>
      <c r="F18" s="29">
        <f>SQRT(H7/F7+H8/F8)</f>
        <v>5.4540319189787287E-2</v>
      </c>
      <c r="G18" s="29">
        <f>(ABS(G7-G8-I5))/F18</f>
        <v>7.2866319689714381</v>
      </c>
      <c r="H18" s="29">
        <f>(H7/F7+H8/F8)^2/((H7/F7)^2/(F7-1)+(H8/F8)^2/(F8-1))</f>
        <v>26.124500189852945</v>
      </c>
      <c r="I18" s="29" t="e">
        <f ca="1">[1]!T_DIST_RT(G18,H18)</f>
        <v>#NAME?</v>
      </c>
      <c r="J18" s="29" t="e">
        <f ca="1">[1]!T_INV(1-J16,H18)</f>
        <v>#NAME?</v>
      </c>
      <c r="K18" s="29"/>
      <c r="L18" s="29"/>
      <c r="M18" s="183" t="e">
        <f ca="1">IF(I18&lt;J16,"yes","no")</f>
        <v>#NAME?</v>
      </c>
      <c r="N18" s="29">
        <f>SQRT(G18^2/(G18^2+H18))</f>
        <v>0.81867357192276713</v>
      </c>
      <c r="O18" s="229"/>
      <c r="P18" s="29"/>
      <c r="Q18" s="29"/>
      <c r="R18" s="29"/>
      <c r="S18" s="29"/>
      <c r="T18" s="29" t="s">
        <v>408</v>
      </c>
      <c r="U18" s="29">
        <f>SQRT(W7/U7+W8/U8)</f>
        <v>0.5005031967899265</v>
      </c>
      <c r="V18" s="29">
        <f>(ABS(V7-V8-X5))/U18</f>
        <v>3.9559878359972966</v>
      </c>
      <c r="W18" s="29">
        <f>(W7/U7+W8/U8)^2/((W7/U7)^2/(U7-1)+(W8/U8)^2/(U8-1))</f>
        <v>39.940150232362157</v>
      </c>
      <c r="X18" s="29" t="e">
        <f ca="1">[1]!T_DIST_RT(V18,W18)</f>
        <v>#NAME?</v>
      </c>
      <c r="Y18" s="29" t="e">
        <f ca="1">[1]!T_INV(1-Y16,W18)</f>
        <v>#NAME?</v>
      </c>
      <c r="Z18" s="29"/>
      <c r="AA18" s="29"/>
      <c r="AB18" s="183" t="e">
        <f ca="1">IF(X18&lt;Y16,"yes","no")</f>
        <v>#NAME?</v>
      </c>
      <c r="AC18" s="29">
        <f>SQRT(V18^2/(V18^2+W18))</f>
        <v>0.53058705444844656</v>
      </c>
    </row>
    <row r="19" spans="1:44" x14ac:dyDescent="0.3">
      <c r="A19" s="29"/>
      <c r="B19" s="29" t="s">
        <v>175</v>
      </c>
      <c r="C19" s="6">
        <f>MAX('S-SBR'!$AL$49:$AL$77)</f>
        <v>0.52403853690000002</v>
      </c>
      <c r="D19" s="29"/>
      <c r="E19" s="29" t="s">
        <v>409</v>
      </c>
      <c r="F19" s="29">
        <f>F18</f>
        <v>5.4540319189787287E-2</v>
      </c>
      <c r="G19" s="29">
        <f t="shared" ref="G19:H19" si="2">G18</f>
        <v>7.2866319689714381</v>
      </c>
      <c r="H19" s="29">
        <f t="shared" si="2"/>
        <v>26.124500189852945</v>
      </c>
      <c r="I19" s="29" t="e">
        <f ca="1">[1]!T_DIST_2T(G19,H19)</f>
        <v>#NAME?</v>
      </c>
      <c r="J19" s="29" t="e">
        <f ca="1">[1]!T_INV_2T(J16,H19)</f>
        <v>#NAME?</v>
      </c>
      <c r="K19" s="29" t="e">
        <f ca="1">(G7-G8)-J19*F19</f>
        <v>#NAME?</v>
      </c>
      <c r="L19" s="29" t="e">
        <f ca="1">(G7-G8)+J19*F19</f>
        <v>#NAME?</v>
      </c>
      <c r="M19" s="183" t="e">
        <f ca="1">IF(I19&lt;J16,"yes","no")</f>
        <v>#NAME?</v>
      </c>
      <c r="N19" s="29">
        <f>N18</f>
        <v>0.81867357192276713</v>
      </c>
      <c r="O19" s="229"/>
      <c r="P19" s="29"/>
      <c r="Q19" s="29"/>
      <c r="R19" s="29"/>
      <c r="S19" s="29"/>
      <c r="T19" s="29" t="s">
        <v>409</v>
      </c>
      <c r="U19" s="29">
        <f>U18</f>
        <v>0.5005031967899265</v>
      </c>
      <c r="V19" s="29">
        <f t="shared" ref="V19:W19" si="3">V18</f>
        <v>3.9559878359972966</v>
      </c>
      <c r="W19" s="29">
        <f t="shared" si="3"/>
        <v>39.940150232362157</v>
      </c>
      <c r="X19" s="29" t="e">
        <f ca="1">[1]!T_DIST_2T(V19,W19)</f>
        <v>#NAME?</v>
      </c>
      <c r="Y19" s="29" t="e">
        <f ca="1">[1]!T_INV_2T(Y16,W19)</f>
        <v>#NAME?</v>
      </c>
      <c r="Z19" s="29" t="e">
        <f ca="1">(V7-V8)-Y19*U19</f>
        <v>#NAME?</v>
      </c>
      <c r="AA19" s="29" t="e">
        <f ca="1">(V7-V8)+Y19*U19</f>
        <v>#NAME?</v>
      </c>
      <c r="AB19" s="183" t="e">
        <f ca="1">IF(X19&lt;Y16,"yes","no")</f>
        <v>#NAME?</v>
      </c>
      <c r="AC19" s="29">
        <f>AC18</f>
        <v>0.53058705444844656</v>
      </c>
    </row>
    <row r="20" spans="1:44" x14ac:dyDescent="0.3">
      <c r="A20" s="29"/>
      <c r="B20" s="29" t="s">
        <v>442</v>
      </c>
      <c r="C20" s="6">
        <f>DEVSQ('S-SBR'!$AL$49:$AL$77)</f>
        <v>4.3539667325491277E-2</v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</row>
    <row r="21" spans="1:44" x14ac:dyDescent="0.3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29" t="s">
        <v>44</v>
      </c>
      <c r="P21" s="362" t="s">
        <v>415</v>
      </c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227" t="s">
        <v>473</v>
      </c>
      <c r="AE21" s="358" t="s">
        <v>457</v>
      </c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</row>
    <row r="22" spans="1:44" x14ac:dyDescent="0.3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29"/>
      <c r="P22" s="29" t="s">
        <v>430</v>
      </c>
      <c r="Q22" s="29" t="s">
        <v>388</v>
      </c>
      <c r="R22" s="6">
        <f>AVERAGE('1-Influent'!$T$4:$T$77)</f>
        <v>1.8763251894245516</v>
      </c>
      <c r="S22" s="29"/>
      <c r="T22" s="29" t="s">
        <v>393</v>
      </c>
      <c r="U22" s="29"/>
      <c r="V22" s="29"/>
      <c r="W22" s="29"/>
      <c r="X22" s="29"/>
      <c r="Y22" s="29"/>
      <c r="Z22" s="29"/>
      <c r="AA22" s="29"/>
      <c r="AB22" s="29"/>
      <c r="AC22" s="29"/>
      <c r="AE22" s="29" t="s">
        <v>430</v>
      </c>
      <c r="AF22" s="29" t="s">
        <v>388</v>
      </c>
      <c r="AG22" s="6">
        <f>AVERAGE('stable S-SBR'!$AO$4:$AO$77)</f>
        <v>0.8453314880335242</v>
      </c>
    </row>
    <row r="23" spans="1:44" x14ac:dyDescent="0.3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29"/>
      <c r="P23" s="29" t="s">
        <v>307</v>
      </c>
      <c r="Q23" s="29" t="s">
        <v>389</v>
      </c>
      <c r="R23" s="6">
        <f>STDEV('1-Influent'!$T$4:$T$77)</f>
        <v>0.36385366246967843</v>
      </c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E23" s="29" t="s">
        <v>307</v>
      </c>
      <c r="AF23" s="29" t="s">
        <v>389</v>
      </c>
      <c r="AG23" s="6">
        <f>STDEV('stable S-SBR'!$AO$4:$AO$77)</f>
        <v>6.1323655044059393E-2</v>
      </c>
    </row>
    <row r="24" spans="1:44" ht="15" thickBot="1" x14ac:dyDescent="0.3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29"/>
      <c r="P24" s="29"/>
      <c r="Q24" s="29" t="s">
        <v>200</v>
      </c>
      <c r="R24" s="22">
        <f>COUNT('1-Influent'!$T$4:$T$77)</f>
        <v>56</v>
      </c>
      <c r="S24" s="29"/>
      <c r="T24" s="29" t="s">
        <v>394</v>
      </c>
      <c r="U24" s="29"/>
      <c r="V24" s="29"/>
      <c r="W24" s="29" t="s">
        <v>395</v>
      </c>
      <c r="X24" s="6">
        <v>0</v>
      </c>
      <c r="Y24" s="29"/>
      <c r="Z24" s="29"/>
      <c r="AA24" s="29"/>
      <c r="AB24" s="29"/>
      <c r="AC24" s="29"/>
      <c r="AE24" s="29"/>
      <c r="AF24" s="29" t="s">
        <v>200</v>
      </c>
      <c r="AG24" s="22">
        <f>COUNT('stable S-SBR'!$AO$4:$AO$77)</f>
        <v>44</v>
      </c>
    </row>
    <row r="25" spans="1:44" ht="15" thickTop="1" x14ac:dyDescent="0.3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29"/>
      <c r="P25" s="29"/>
      <c r="Q25" s="29" t="s">
        <v>174</v>
      </c>
      <c r="R25" s="6">
        <f>MIN('1-Influent'!$T$4:$T$77)</f>
        <v>0.79175207650022228</v>
      </c>
      <c r="S25" s="29"/>
      <c r="T25" s="191" t="s">
        <v>396</v>
      </c>
      <c r="U25" s="191" t="s">
        <v>290</v>
      </c>
      <c r="V25" s="191" t="s">
        <v>292</v>
      </c>
      <c r="W25" s="191" t="s">
        <v>293</v>
      </c>
      <c r="X25" s="191" t="s">
        <v>397</v>
      </c>
      <c r="Y25" s="29"/>
      <c r="Z25" s="29"/>
      <c r="AA25" s="29"/>
      <c r="AB25" s="29"/>
      <c r="AC25" s="29"/>
      <c r="AE25" s="29"/>
      <c r="AF25" s="29" t="s">
        <v>174</v>
      </c>
      <c r="AG25" s="6">
        <f>MIN('stable S-SBR'!$AO$4:$AO$77)</f>
        <v>0.48073542686113357</v>
      </c>
    </row>
    <row r="26" spans="1:44" x14ac:dyDescent="0.3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29"/>
      <c r="P26" s="29"/>
      <c r="Q26" s="29" t="s">
        <v>175</v>
      </c>
      <c r="R26" s="6">
        <f>MAX('1-Influent'!$T$4:$T$77)</f>
        <v>3.1483087597571551</v>
      </c>
      <c r="S26" s="29"/>
      <c r="T26" s="29" t="str">
        <f>P28</f>
        <v>Period 1</v>
      </c>
      <c r="U26" s="22">
        <f>R29</f>
        <v>27</v>
      </c>
      <c r="V26" s="6">
        <f>R27</f>
        <v>2.0262464252983734</v>
      </c>
      <c r="W26" s="20">
        <f>R23^2</f>
        <v>0.13238948769259867</v>
      </c>
      <c r="X26" s="29"/>
      <c r="Y26" s="29"/>
      <c r="Z26" s="29"/>
      <c r="AA26" s="29"/>
      <c r="AB26" s="29"/>
      <c r="AC26" s="29"/>
      <c r="AE26" s="29"/>
      <c r="AF26" s="29" t="s">
        <v>175</v>
      </c>
      <c r="AG26" s="6">
        <f>MAX('stable S-SBR'!$AO$4:$AO$77)</f>
        <v>0.90772829509671626</v>
      </c>
    </row>
    <row r="27" spans="1:44" x14ac:dyDescent="0.3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29"/>
      <c r="P27" s="29" t="s">
        <v>431</v>
      </c>
      <c r="Q27" s="29" t="s">
        <v>388</v>
      </c>
      <c r="R27" s="6">
        <f>AVERAGE('1-Influent'!$T$4:$T$48)</f>
        <v>2.0262464252983734</v>
      </c>
      <c r="S27" s="29"/>
      <c r="T27" s="29" t="str">
        <f>P33</f>
        <v>Period 2</v>
      </c>
      <c r="U27" s="22">
        <f>R34</f>
        <v>42</v>
      </c>
      <c r="V27" s="20">
        <f>R32</f>
        <v>1.7367433491282336</v>
      </c>
      <c r="W27" s="20">
        <f>R33^2</f>
        <v>7.5995181732883499E-2</v>
      </c>
      <c r="X27" s="29"/>
      <c r="Y27" s="29"/>
      <c r="Z27" s="29"/>
      <c r="AA27" s="29"/>
      <c r="AB27" s="29"/>
      <c r="AC27" s="29"/>
      <c r="AE27" s="29"/>
      <c r="AF27" s="29" t="s">
        <v>442</v>
      </c>
      <c r="AG27" s="6">
        <f>DEVSQ('stable S-SBR'!$AO$4:$AO$77)</f>
        <v>0.16170539872240003</v>
      </c>
    </row>
    <row r="28" spans="1:44" x14ac:dyDescent="0.3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29"/>
      <c r="P28" s="29" t="s">
        <v>411</v>
      </c>
      <c r="Q28" s="29" t="s">
        <v>389</v>
      </c>
      <c r="R28" s="6">
        <f>STDEV('1-Influent'!$T$4:$T$48)</f>
        <v>0.35197569641529886</v>
      </c>
      <c r="S28" s="29"/>
      <c r="T28" s="8" t="s">
        <v>398</v>
      </c>
      <c r="U28" s="8"/>
      <c r="V28" s="8"/>
      <c r="W28" s="8">
        <f>((U26-1)*W26+(U27-1)*W27)/(U26+U27-2)</f>
        <v>9.7879539269489391E-2</v>
      </c>
      <c r="X28" s="8">
        <f>ABS(V26-V27-X24)/SQRT(W28)</f>
        <v>0.92535254674582357</v>
      </c>
      <c r="Y28" s="29"/>
      <c r="Z28" s="29"/>
      <c r="AA28" s="29"/>
      <c r="AB28" s="29"/>
      <c r="AC28" s="29"/>
    </row>
    <row r="29" spans="1:44" x14ac:dyDescent="0.3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29"/>
      <c r="P29" s="29"/>
      <c r="Q29" s="29" t="s">
        <v>200</v>
      </c>
      <c r="R29" s="22">
        <f>COUNT('1-Influent'!$T$4:$T$48)</f>
        <v>27</v>
      </c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</row>
    <row r="30" spans="1:44" ht="15" thickBot="1" x14ac:dyDescent="0.35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29"/>
      <c r="P30" s="29"/>
      <c r="Q30" s="29" t="s">
        <v>174</v>
      </c>
      <c r="R30" s="6">
        <f>MIN('1-Influent'!$T$4:$T$48)</f>
        <v>1.694372120969357</v>
      </c>
      <c r="S30" s="29"/>
      <c r="T30" s="29" t="s">
        <v>399</v>
      </c>
      <c r="U30" s="29"/>
      <c r="V30" s="29"/>
      <c r="W30" s="29"/>
      <c r="X30" s="29" t="s">
        <v>288</v>
      </c>
      <c r="Y30" s="29">
        <v>0.05</v>
      </c>
      <c r="Z30" s="29"/>
      <c r="AA30" s="29"/>
      <c r="AB30" s="29"/>
      <c r="AC30" s="29"/>
    </row>
    <row r="31" spans="1:44" ht="15" thickTop="1" x14ac:dyDescent="0.3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29"/>
      <c r="P31" s="29"/>
      <c r="Q31" s="29" t="s">
        <v>175</v>
      </c>
      <c r="R31" s="6">
        <f>MAX('1-Influent'!$T$4:$T$48)</f>
        <v>3.1483087597571551</v>
      </c>
      <c r="S31" s="29"/>
      <c r="T31" s="191" t="s">
        <v>400</v>
      </c>
      <c r="U31" s="191" t="s">
        <v>401</v>
      </c>
      <c r="V31" s="191" t="s">
        <v>402</v>
      </c>
      <c r="W31" s="191" t="s">
        <v>205</v>
      </c>
      <c r="X31" s="191" t="s">
        <v>311</v>
      </c>
      <c r="Y31" s="191" t="s">
        <v>403</v>
      </c>
      <c r="Z31" s="191" t="s">
        <v>404</v>
      </c>
      <c r="AA31" s="191" t="s">
        <v>405</v>
      </c>
      <c r="AB31" s="191" t="s">
        <v>406</v>
      </c>
      <c r="AC31" s="191" t="s">
        <v>407</v>
      </c>
    </row>
    <row r="32" spans="1:44" x14ac:dyDescent="0.3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29"/>
      <c r="P32" s="29" t="s">
        <v>432</v>
      </c>
      <c r="Q32" s="29" t="s">
        <v>388</v>
      </c>
      <c r="R32" s="6">
        <f>AVERAGE('1-Influent'!$T$49:$T$77)</f>
        <v>1.7367433491282336</v>
      </c>
      <c r="S32" s="29"/>
      <c r="T32" s="29" t="s">
        <v>408</v>
      </c>
      <c r="U32" s="29">
        <f>SQRT(W28*(1/U26+1/U27))</f>
        <v>7.7172749995023035E-2</v>
      </c>
      <c r="V32" s="29">
        <f>(ABS(V26-V27-X24))/U32</f>
        <v>3.7513640007491014</v>
      </c>
      <c r="W32" s="29">
        <f>U26+U27-2</f>
        <v>67</v>
      </c>
      <c r="X32" s="29">
        <f>TDIST(V32,W32,1)</f>
        <v>1.8475753997773483E-4</v>
      </c>
      <c r="Y32" s="29">
        <f>TINV(Y30*2,W32)</f>
        <v>1.6679161141074239</v>
      </c>
      <c r="Z32" s="29"/>
      <c r="AA32" s="29"/>
      <c r="AB32" s="183" t="str">
        <f>IF(X32&lt;Y30,"yes","no")</f>
        <v>yes</v>
      </c>
      <c r="AC32" s="29">
        <f>SQRT(V32^2/(V32^2+W32))</f>
        <v>0.41663121263679992</v>
      </c>
    </row>
    <row r="33" spans="1:44" x14ac:dyDescent="0.3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29"/>
      <c r="P33" s="29" t="s">
        <v>412</v>
      </c>
      <c r="Q33" s="29" t="s">
        <v>389</v>
      </c>
      <c r="R33" s="6">
        <f>STDEV('1-Influent'!$T$49:$T$96)</f>
        <v>0.27567223605739388</v>
      </c>
      <c r="S33" s="29"/>
      <c r="T33" s="29" t="s">
        <v>409</v>
      </c>
      <c r="U33" s="29">
        <f>U32</f>
        <v>7.7172749995023035E-2</v>
      </c>
      <c r="V33" s="29">
        <f>V32</f>
        <v>3.7513640007491014</v>
      </c>
      <c r="W33" s="29">
        <f t="shared" ref="W33" si="4">W32</f>
        <v>67</v>
      </c>
      <c r="X33" s="29">
        <f>TDIST(V33,W33,2)</f>
        <v>3.6951507995546966E-4</v>
      </c>
      <c r="Y33" s="29">
        <f>TINV(Y30,W33)</f>
        <v>1.9960083540252964</v>
      </c>
      <c r="Z33" s="29">
        <f>(V26-V27)-Y33*U33</f>
        <v>0.13546562247696819</v>
      </c>
      <c r="AA33" s="29">
        <f>(V26-V27)+Y33*U33</f>
        <v>0.44354052986331144</v>
      </c>
      <c r="AB33" s="183" t="str">
        <f>IF(X33&lt;Y30,"yes","no")</f>
        <v>yes</v>
      </c>
      <c r="AC33" s="29">
        <f>AC32</f>
        <v>0.41663121263679992</v>
      </c>
    </row>
    <row r="34" spans="1:44" x14ac:dyDescent="0.3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29"/>
      <c r="P34" s="29"/>
      <c r="Q34" s="29" t="s">
        <v>200</v>
      </c>
      <c r="R34" s="22">
        <f>COUNT('1-Influent'!$T$49:$T$90)</f>
        <v>42</v>
      </c>
      <c r="S34" s="29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44" ht="15" thickBot="1" x14ac:dyDescent="0.3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29"/>
      <c r="P35" s="29"/>
      <c r="Q35" s="29" t="s">
        <v>174</v>
      </c>
      <c r="R35" s="6">
        <f>MIN('1-Influent'!$T$49:$T$77)</f>
        <v>0.79175207650022228</v>
      </c>
      <c r="S35" s="29"/>
      <c r="T35" s="29" t="s">
        <v>410</v>
      </c>
      <c r="U35" s="29"/>
      <c r="V35" s="29"/>
      <c r="W35" s="29"/>
      <c r="X35" s="29" t="s">
        <v>288</v>
      </c>
      <c r="Y35" s="29">
        <f>Y30</f>
        <v>0.05</v>
      </c>
      <c r="Z35" s="29"/>
      <c r="AA35" s="29"/>
      <c r="AB35" s="29"/>
      <c r="AC35" s="29"/>
    </row>
    <row r="36" spans="1:44" ht="15" thickTop="1" x14ac:dyDescent="0.3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29"/>
      <c r="P36" s="29"/>
      <c r="Q36" s="29" t="s">
        <v>175</v>
      </c>
      <c r="R36" s="6">
        <f>MAX('1-Influent'!$T$49:$T$77)</f>
        <v>2.1246840088069803</v>
      </c>
      <c r="S36" s="29"/>
      <c r="T36" s="191" t="s">
        <v>400</v>
      </c>
      <c r="U36" s="191" t="s">
        <v>401</v>
      </c>
      <c r="V36" s="191" t="s">
        <v>402</v>
      </c>
      <c r="W36" s="191" t="s">
        <v>205</v>
      </c>
      <c r="X36" s="191" t="s">
        <v>311</v>
      </c>
      <c r="Y36" s="191" t="s">
        <v>403</v>
      </c>
      <c r="Z36" s="191" t="s">
        <v>404</v>
      </c>
      <c r="AA36" s="191" t="s">
        <v>405</v>
      </c>
      <c r="AB36" s="191" t="s">
        <v>406</v>
      </c>
      <c r="AC36" s="191" t="s">
        <v>407</v>
      </c>
    </row>
    <row r="37" spans="1:44" x14ac:dyDescent="0.3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29"/>
      <c r="P37" s="29"/>
      <c r="Q37" s="29"/>
      <c r="R37" s="29"/>
      <c r="S37" s="29"/>
      <c r="T37" s="29" t="s">
        <v>408</v>
      </c>
      <c r="U37" s="29">
        <f>SQRT(W26/U26+W27/U27)</f>
        <v>8.1931211683114485E-2</v>
      </c>
      <c r="V37" s="29">
        <f>(ABS(V26-V27-X24))/U37</f>
        <v>3.5334894995798605</v>
      </c>
      <c r="W37" s="29">
        <f>(W26/U26+W27/U27)^2/((W26/U26)^2/(U26-1)+(W27/U27)^2/(U27-1))</f>
        <v>44.855936607841144</v>
      </c>
      <c r="X37" s="29" t="e">
        <f ca="1">[1]!T_DIST_RT(V37,W37)</f>
        <v>#NAME?</v>
      </c>
      <c r="Y37" s="29" t="e">
        <f ca="1">[1]!T_INV(1-Y35,W37)</f>
        <v>#NAME?</v>
      </c>
      <c r="Z37" s="29"/>
      <c r="AA37" s="29"/>
      <c r="AB37" s="183" t="e">
        <f ca="1">IF(X37&lt;Y35,"yes","no")</f>
        <v>#NAME?</v>
      </c>
      <c r="AC37" s="29">
        <f>SQRT(V37^2/(V37^2+W37))</f>
        <v>0.46662643492925504</v>
      </c>
    </row>
    <row r="38" spans="1:44" x14ac:dyDescent="0.3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29"/>
      <c r="P38" s="29"/>
      <c r="Q38" s="29"/>
      <c r="R38" s="29"/>
      <c r="S38" s="29"/>
      <c r="T38" s="29" t="s">
        <v>409</v>
      </c>
      <c r="U38" s="29">
        <f>U37</f>
        <v>8.1931211683114485E-2</v>
      </c>
      <c r="V38" s="29">
        <f t="shared" ref="V38:W38" si="5">V37</f>
        <v>3.5334894995798605</v>
      </c>
      <c r="W38" s="29">
        <f t="shared" si="5"/>
        <v>44.855936607841144</v>
      </c>
      <c r="X38" s="29" t="e">
        <f ca="1">[1]!T_DIST_2T(V38,W38)</f>
        <v>#NAME?</v>
      </c>
      <c r="Y38" s="29" t="e">
        <f ca="1">[1]!T_INV_2T(Y35,W38)</f>
        <v>#NAME?</v>
      </c>
      <c r="Z38" s="29" t="e">
        <f ca="1">(V26-V27)-Y38*U38</f>
        <v>#NAME?</v>
      </c>
      <c r="AA38" s="29" t="e">
        <f ca="1">(V26-V27)+Y38*U38</f>
        <v>#NAME?</v>
      </c>
      <c r="AB38" s="183" t="e">
        <f ca="1">IF(X38&lt;Y35,"yes","no")</f>
        <v>#NAME?</v>
      </c>
      <c r="AC38" s="29">
        <f>AC37</f>
        <v>0.46662643492925504</v>
      </c>
    </row>
    <row r="39" spans="1:44" x14ac:dyDescent="0.3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</row>
    <row r="40" spans="1:44" x14ac:dyDescent="0.3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29" t="s">
        <v>91</v>
      </c>
      <c r="P40" s="362" t="s">
        <v>416</v>
      </c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227" t="s">
        <v>474</v>
      </c>
      <c r="AE40" s="358" t="s">
        <v>458</v>
      </c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</row>
    <row r="41" spans="1:44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29"/>
      <c r="P41" s="29" t="s">
        <v>430</v>
      </c>
      <c r="Q41" s="29" t="s">
        <v>388</v>
      </c>
      <c r="R41" s="6">
        <f>AVERAGE('1-Influent'!$F$4:$F$77)</f>
        <v>2486.0089285714284</v>
      </c>
      <c r="S41" s="29"/>
      <c r="T41" s="29" t="s">
        <v>393</v>
      </c>
      <c r="U41" s="29"/>
      <c r="V41" s="29"/>
      <c r="W41" s="29"/>
      <c r="X41" s="29"/>
      <c r="Y41" s="29"/>
      <c r="Z41" s="29"/>
      <c r="AA41" s="29"/>
      <c r="AB41" s="29"/>
      <c r="AC41" s="29"/>
      <c r="AE41" s="29" t="s">
        <v>430</v>
      </c>
      <c r="AF41" s="29" t="s">
        <v>388</v>
      </c>
      <c r="AG41" s="6">
        <f>AVERAGE('stable S-SBR'!$X$4:$X$77)</f>
        <v>163.15227272727276</v>
      </c>
    </row>
    <row r="42" spans="1:44" x14ac:dyDescent="0.3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29"/>
      <c r="P42" s="29" t="s">
        <v>307</v>
      </c>
      <c r="Q42" s="29" t="s">
        <v>389</v>
      </c>
      <c r="R42" s="6">
        <f>STDEV('1-Influent'!$F$4:$F$77)</f>
        <v>562.40012035327391</v>
      </c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E42" s="29" t="s">
        <v>307</v>
      </c>
      <c r="AF42" s="29" t="s">
        <v>389</v>
      </c>
      <c r="AG42" s="6">
        <f>STDEV('stable S-SBR'!$X$4:$X$77)</f>
        <v>50.792700622973875</v>
      </c>
    </row>
    <row r="43" spans="1:44" ht="15" thickBot="1" x14ac:dyDescent="0.3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29"/>
      <c r="P43" s="29"/>
      <c r="Q43" s="29" t="s">
        <v>200</v>
      </c>
      <c r="R43" s="22">
        <f>COUNT('1-Influent'!$F$4:$F$77)</f>
        <v>56</v>
      </c>
      <c r="S43" s="29"/>
      <c r="T43" s="29" t="s">
        <v>394</v>
      </c>
      <c r="U43" s="29"/>
      <c r="V43" s="29"/>
      <c r="W43" s="29" t="s">
        <v>395</v>
      </c>
      <c r="X43" s="6">
        <v>0</v>
      </c>
      <c r="Y43" s="29"/>
      <c r="Z43" s="29"/>
      <c r="AA43" s="29"/>
      <c r="AB43" s="29"/>
      <c r="AC43" s="29"/>
      <c r="AE43" s="29"/>
      <c r="AF43" s="29" t="s">
        <v>200</v>
      </c>
      <c r="AG43" s="22">
        <f>COUNT('stable S-SBR'!$X$4:$X$77)</f>
        <v>44</v>
      </c>
    </row>
    <row r="44" spans="1:44" ht="15" thickTop="1" x14ac:dyDescent="0.3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29"/>
      <c r="P44" s="29"/>
      <c r="Q44" s="29" t="s">
        <v>174</v>
      </c>
      <c r="R44" s="6">
        <f>MIN('1-Influent'!$F$4:$F$77)</f>
        <v>954</v>
      </c>
      <c r="S44" s="29"/>
      <c r="T44" s="191" t="s">
        <v>396</v>
      </c>
      <c r="U44" s="191" t="s">
        <v>290</v>
      </c>
      <c r="V44" s="191" t="s">
        <v>292</v>
      </c>
      <c r="W44" s="191" t="s">
        <v>293</v>
      </c>
      <c r="X44" s="191" t="s">
        <v>397</v>
      </c>
      <c r="Y44" s="29"/>
      <c r="Z44" s="29"/>
      <c r="AA44" s="29"/>
      <c r="AB44" s="29"/>
      <c r="AC44" s="29"/>
      <c r="AE44" s="29"/>
      <c r="AF44" s="29" t="s">
        <v>174</v>
      </c>
      <c r="AG44" s="6">
        <f>MIN('stable S-SBR'!$X$4:$X$77)</f>
        <v>88.52</v>
      </c>
    </row>
    <row r="45" spans="1:44" x14ac:dyDescent="0.3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29"/>
      <c r="P45" s="29"/>
      <c r="Q45" s="29" t="s">
        <v>175</v>
      </c>
      <c r="R45" s="6">
        <f>MAX('1-Influent'!$F$4:$F$77)</f>
        <v>4356</v>
      </c>
      <c r="S45" s="29"/>
      <c r="T45" s="29" t="str">
        <f>P47</f>
        <v>Period 1</v>
      </c>
      <c r="U45" s="22">
        <f>R48</f>
        <v>27</v>
      </c>
      <c r="V45" s="6">
        <f>R46</f>
        <v>2799.8333333333335</v>
      </c>
      <c r="W45" s="20">
        <f>R42^2</f>
        <v>316293.89537337696</v>
      </c>
      <c r="X45" s="29"/>
      <c r="Y45" s="29"/>
      <c r="Z45" s="29"/>
      <c r="AA45" s="29"/>
      <c r="AB45" s="29"/>
      <c r="AC45" s="29"/>
      <c r="AE45" s="29"/>
      <c r="AF45" s="29" t="s">
        <v>175</v>
      </c>
      <c r="AG45" s="6">
        <f>MAX('stable S-SBR'!$X$4:$X$77)</f>
        <v>447.93</v>
      </c>
    </row>
    <row r="46" spans="1:44" x14ac:dyDescent="0.3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29"/>
      <c r="P46" s="29" t="s">
        <v>431</v>
      </c>
      <c r="Q46" s="29" t="s">
        <v>388</v>
      </c>
      <c r="R46" s="6">
        <f>AVERAGE('1-Influent'!$F$4:$F$48)</f>
        <v>2799.8333333333335</v>
      </c>
      <c r="S46" s="29"/>
      <c r="T46" s="29" t="str">
        <f>P52</f>
        <v>Period 2</v>
      </c>
      <c r="U46" s="22">
        <f>R53</f>
        <v>42</v>
      </c>
      <c r="V46" s="20">
        <f>R51</f>
        <v>2193.8275862068967</v>
      </c>
      <c r="W46" s="20">
        <f>R52^2</f>
        <v>154391.11363636365</v>
      </c>
      <c r="X46" s="29"/>
      <c r="Y46" s="29"/>
      <c r="Z46" s="29"/>
      <c r="AA46" s="29"/>
      <c r="AB46" s="29"/>
      <c r="AC46" s="29"/>
      <c r="AE46" s="29"/>
      <c r="AF46" s="29" t="s">
        <v>442</v>
      </c>
      <c r="AG46" s="6">
        <f>DEVSQ('stable S-SBR'!$X$4:$X$77)</f>
        <v>110935.63277272729</v>
      </c>
    </row>
    <row r="47" spans="1:44" x14ac:dyDescent="0.3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29"/>
      <c r="P47" s="29" t="s">
        <v>411</v>
      </c>
      <c r="Q47" s="29" t="s">
        <v>389</v>
      </c>
      <c r="R47" s="6">
        <f>STDEV('1-Influent'!$F$4:$F$48)</f>
        <v>520.66745255858473</v>
      </c>
      <c r="S47" s="29"/>
      <c r="T47" s="8" t="s">
        <v>398</v>
      </c>
      <c r="U47" s="8"/>
      <c r="V47" s="8"/>
      <c r="W47" s="8">
        <f>((U45-1)*W45+(U46-1)*W46)/(U45+U46-2)</f>
        <v>217219.05878804045</v>
      </c>
      <c r="X47" s="8">
        <f>ABS(V45-V46-X43)/SQRT(W47)</f>
        <v>1.3002527443660354</v>
      </c>
      <c r="Y47" s="29"/>
      <c r="Z47" s="29"/>
      <c r="AA47" s="29"/>
      <c r="AB47" s="29"/>
      <c r="AC47" s="29"/>
    </row>
    <row r="48" spans="1:44" x14ac:dyDescent="0.3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29"/>
      <c r="P48" s="29"/>
      <c r="Q48" s="29" t="s">
        <v>200</v>
      </c>
      <c r="R48" s="22">
        <f>COUNT('1-Influent'!$F$4:$F$48)</f>
        <v>27</v>
      </c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</row>
    <row r="49" spans="1:44" ht="15" thickBot="1" x14ac:dyDescent="0.3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29"/>
      <c r="P49" s="29"/>
      <c r="Q49" s="29" t="s">
        <v>174</v>
      </c>
      <c r="R49" s="6">
        <f>MIN('1-Influent'!$F$4:$F$48)</f>
        <v>2065.5</v>
      </c>
      <c r="S49" s="29"/>
      <c r="T49" s="29" t="s">
        <v>399</v>
      </c>
      <c r="U49" s="29"/>
      <c r="V49" s="29"/>
      <c r="W49" s="29"/>
      <c r="X49" s="29" t="s">
        <v>288</v>
      </c>
      <c r="Y49" s="29">
        <v>0.05</v>
      </c>
      <c r="Z49" s="29"/>
      <c r="AA49" s="29"/>
      <c r="AB49" s="29"/>
      <c r="AC49" s="29"/>
    </row>
    <row r="50" spans="1:44" ht="15" thickTop="1" x14ac:dyDescent="0.3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29"/>
      <c r="P50" s="29"/>
      <c r="Q50" s="29" t="s">
        <v>175</v>
      </c>
      <c r="R50" s="6">
        <f>MAX('1-Influent'!$F$4:$F$48)</f>
        <v>4356</v>
      </c>
      <c r="S50" s="29"/>
      <c r="T50" s="191" t="s">
        <v>400</v>
      </c>
      <c r="U50" s="191" t="s">
        <v>401</v>
      </c>
      <c r="V50" s="191" t="s">
        <v>402</v>
      </c>
      <c r="W50" s="191" t="s">
        <v>205</v>
      </c>
      <c r="X50" s="191" t="s">
        <v>311</v>
      </c>
      <c r="Y50" s="191" t="s">
        <v>403</v>
      </c>
      <c r="Z50" s="191" t="s">
        <v>404</v>
      </c>
      <c r="AA50" s="191" t="s">
        <v>405</v>
      </c>
      <c r="AB50" s="191" t="s">
        <v>406</v>
      </c>
      <c r="AC50" s="191" t="s">
        <v>407</v>
      </c>
    </row>
    <row r="51" spans="1:44" x14ac:dyDescent="0.3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29"/>
      <c r="P51" s="29" t="s">
        <v>432</v>
      </c>
      <c r="Q51" s="29" t="s">
        <v>388</v>
      </c>
      <c r="R51" s="6">
        <f>AVERAGE('1-Influent'!$F$49:$F$77)</f>
        <v>2193.8275862068967</v>
      </c>
      <c r="S51" s="29"/>
      <c r="T51" s="29" t="s">
        <v>408</v>
      </c>
      <c r="U51" s="29">
        <f>SQRT(W47*(1/U45+1/U46))</f>
        <v>114.96535424891788</v>
      </c>
      <c r="V51" s="29">
        <f>(ABS(V45-V46-X43))/U51</f>
        <v>5.2712032341007715</v>
      </c>
      <c r="W51" s="29">
        <f>U45+U46-2</f>
        <v>67</v>
      </c>
      <c r="X51" s="29">
        <f>TDIST(V51,W51,1)</f>
        <v>7.7855002813813873E-7</v>
      </c>
      <c r="Y51" s="29">
        <f>TINV(Y49*2,W51)</f>
        <v>1.6679161141074239</v>
      </c>
      <c r="Z51" s="29"/>
      <c r="AA51" s="29"/>
      <c r="AB51" s="183" t="str">
        <f>IF(X51&lt;Y49,"yes","no")</f>
        <v>yes</v>
      </c>
      <c r="AC51" s="29">
        <f>SQRT(V51^2/(V51^2+W51))</f>
        <v>0.54142538863832113</v>
      </c>
    </row>
    <row r="52" spans="1:44" x14ac:dyDescent="0.3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29"/>
      <c r="P52" s="29" t="s">
        <v>412</v>
      </c>
      <c r="Q52" s="29" t="s">
        <v>389</v>
      </c>
      <c r="R52" s="6">
        <f>STDEV('1-Influent'!$F$49:$F$96)</f>
        <v>392.92634632506338</v>
      </c>
      <c r="S52" s="29"/>
      <c r="T52" s="29" t="s">
        <v>409</v>
      </c>
      <c r="U52" s="29">
        <f>U51</f>
        <v>114.96535424891788</v>
      </c>
      <c r="V52" s="29">
        <f>V51</f>
        <v>5.2712032341007715</v>
      </c>
      <c r="W52" s="29">
        <f t="shared" ref="W52" si="6">W51</f>
        <v>67</v>
      </c>
      <c r="X52" s="29">
        <f>TDIST(V52,W52,2)</f>
        <v>1.5571000562762775E-6</v>
      </c>
      <c r="Y52" s="29">
        <f>TINV(Y49,W52)</f>
        <v>1.9960083540252964</v>
      </c>
      <c r="Z52" s="29">
        <f>(V45-V46)-Y52*U52</f>
        <v>376.53393962211908</v>
      </c>
      <c r="AA52" s="29">
        <f>(V45-V46)+Y52*U52</f>
        <v>835.47755463075441</v>
      </c>
      <c r="AB52" s="183" t="str">
        <f>IF(X52&lt;Y49,"yes","no")</f>
        <v>yes</v>
      </c>
      <c r="AC52" s="29">
        <f>AC51</f>
        <v>0.54142538863832113</v>
      </c>
    </row>
    <row r="53" spans="1:44" x14ac:dyDescent="0.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29"/>
      <c r="P53" s="29"/>
      <c r="Q53" s="29" t="s">
        <v>200</v>
      </c>
      <c r="R53" s="22">
        <f>COUNT('1-Influent'!$F$49:$F$90)</f>
        <v>42</v>
      </c>
      <c r="S53" s="29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44" ht="15" thickBot="1" x14ac:dyDescent="0.3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29"/>
      <c r="P54" s="29"/>
      <c r="Q54" s="29" t="s">
        <v>174</v>
      </c>
      <c r="R54" s="6">
        <f>MIN('1-Influent'!$F$49:$F$77)</f>
        <v>954</v>
      </c>
      <c r="S54" s="29"/>
      <c r="T54" s="29" t="s">
        <v>410</v>
      </c>
      <c r="U54" s="29"/>
      <c r="V54" s="29"/>
      <c r="W54" s="29"/>
      <c r="X54" s="29" t="s">
        <v>288</v>
      </c>
      <c r="Y54" s="29">
        <f>Y49</f>
        <v>0.05</v>
      </c>
      <c r="Z54" s="29"/>
      <c r="AA54" s="29"/>
      <c r="AB54" s="29"/>
      <c r="AC54" s="29"/>
    </row>
    <row r="55" spans="1:44" ht="15" thickTop="1" x14ac:dyDescent="0.3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29"/>
      <c r="P55" s="29"/>
      <c r="Q55" s="29" t="s">
        <v>175</v>
      </c>
      <c r="R55" s="6">
        <f>MAX('1-Influent'!$F$49:$F$77)</f>
        <v>2673</v>
      </c>
      <c r="S55" s="29"/>
      <c r="T55" s="191" t="s">
        <v>400</v>
      </c>
      <c r="U55" s="191" t="s">
        <v>401</v>
      </c>
      <c r="V55" s="191" t="s">
        <v>402</v>
      </c>
      <c r="W55" s="191" t="s">
        <v>205</v>
      </c>
      <c r="X55" s="191" t="s">
        <v>311</v>
      </c>
      <c r="Y55" s="191" t="s">
        <v>403</v>
      </c>
      <c r="Z55" s="191" t="s">
        <v>404</v>
      </c>
      <c r="AA55" s="191" t="s">
        <v>405</v>
      </c>
      <c r="AB55" s="191" t="s">
        <v>406</v>
      </c>
      <c r="AC55" s="191" t="s">
        <v>407</v>
      </c>
    </row>
    <row r="56" spans="1:44" x14ac:dyDescent="0.3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29"/>
      <c r="P56" s="29"/>
      <c r="Q56" s="29"/>
      <c r="R56" s="29"/>
      <c r="S56" s="29"/>
      <c r="T56" s="29" t="s">
        <v>408</v>
      </c>
      <c r="U56" s="29">
        <f>SQRT(W45/U45+W46/U46)</f>
        <v>124.05872647112083</v>
      </c>
      <c r="V56" s="29">
        <f>(ABS(V45-V46-X43))/U56</f>
        <v>4.8848296638568716</v>
      </c>
      <c r="W56" s="29">
        <f>(W45/U45+W46/U46)^2/((W45/U45)^2/(U45-1)+(W46/U46)^2/(U46-1))</f>
        <v>42.23991435667574</v>
      </c>
      <c r="X56" s="29" t="e">
        <f ca="1">[1]!T_DIST_RT(V56,W56)</f>
        <v>#NAME?</v>
      </c>
      <c r="Y56" s="29" t="e">
        <f ca="1">[1]!T_INV(1-Y54,W56)</f>
        <v>#NAME?</v>
      </c>
      <c r="Z56" s="29"/>
      <c r="AA56" s="29"/>
      <c r="AB56" s="183" t="e">
        <f ca="1">IF(X56&lt;Y54,"yes","no")</f>
        <v>#NAME?</v>
      </c>
      <c r="AC56" s="29">
        <f>SQRT(V56^2/(V56^2+W56))</f>
        <v>0.60081926317756773</v>
      </c>
    </row>
    <row r="57" spans="1:44" x14ac:dyDescent="0.3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29"/>
      <c r="P57" s="29"/>
      <c r="Q57" s="29"/>
      <c r="R57" s="29"/>
      <c r="S57" s="29"/>
      <c r="T57" s="29" t="s">
        <v>409</v>
      </c>
      <c r="U57" s="29">
        <f>U56</f>
        <v>124.05872647112083</v>
      </c>
      <c r="V57" s="29">
        <f t="shared" ref="V57:W57" si="7">V56</f>
        <v>4.8848296638568716</v>
      </c>
      <c r="W57" s="29">
        <f t="shared" si="7"/>
        <v>42.23991435667574</v>
      </c>
      <c r="X57" s="29" t="e">
        <f ca="1">[1]!T_DIST_2T(V57,W57)</f>
        <v>#NAME?</v>
      </c>
      <c r="Y57" s="29" t="e">
        <f ca="1">[1]!T_INV_2T(Y54,W57)</f>
        <v>#NAME?</v>
      </c>
      <c r="Z57" s="29" t="e">
        <f ca="1">(V45-V46)-Y57*U57</f>
        <v>#NAME?</v>
      </c>
      <c r="AA57" s="29" t="e">
        <f ca="1">(V45-V46)+Y57*U57</f>
        <v>#NAME?</v>
      </c>
      <c r="AB57" s="183" t="e">
        <f ca="1">IF(X57&lt;Y54,"yes","no")</f>
        <v>#NAME?</v>
      </c>
      <c r="AC57" s="29">
        <f>AC56</f>
        <v>0.60081926317756773</v>
      </c>
    </row>
    <row r="58" spans="1:44" x14ac:dyDescent="0.3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</row>
    <row r="59" spans="1:44" x14ac:dyDescent="0.3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29" t="s">
        <v>420</v>
      </c>
      <c r="P59" s="362" t="s">
        <v>417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227" t="s">
        <v>475</v>
      </c>
      <c r="AE59" s="358" t="s">
        <v>459</v>
      </c>
      <c r="AF59" s="358"/>
      <c r="AG59" s="358"/>
      <c r="AH59" s="358"/>
      <c r="AI59" s="358"/>
      <c r="AJ59" s="358"/>
      <c r="AK59" s="358"/>
      <c r="AL59" s="358"/>
      <c r="AM59" s="358"/>
      <c r="AN59" s="358"/>
      <c r="AO59" s="358"/>
      <c r="AP59" s="358"/>
      <c r="AQ59" s="358"/>
      <c r="AR59" s="358"/>
    </row>
    <row r="60" spans="1:44" x14ac:dyDescent="0.3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29"/>
      <c r="P60" s="29" t="s">
        <v>430</v>
      </c>
      <c r="Q60" s="29" t="s">
        <v>388</v>
      </c>
      <c r="R60" s="6">
        <f>AVERAGE('1-Influent'!$I$4:$I$77)</f>
        <v>355.14107142857137</v>
      </c>
      <c r="S60" s="29"/>
      <c r="T60" s="29" t="s">
        <v>393</v>
      </c>
      <c r="U60" s="29"/>
      <c r="V60" s="29"/>
      <c r="W60" s="29"/>
      <c r="X60" s="29"/>
      <c r="Y60" s="29"/>
      <c r="Z60" s="29"/>
      <c r="AA60" s="29"/>
      <c r="AB60" s="29"/>
      <c r="AC60" s="29"/>
      <c r="AE60" s="29" t="s">
        <v>430</v>
      </c>
      <c r="AF60" s="29" t="s">
        <v>388</v>
      </c>
      <c r="AG60" s="6">
        <f>AVERAGE('stable S-SBR'!$Y$4:$Y$77)</f>
        <v>23.765727272727272</v>
      </c>
    </row>
    <row r="61" spans="1:44" x14ac:dyDescent="0.3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29"/>
      <c r="P61" s="29" t="s">
        <v>307</v>
      </c>
      <c r="Q61" s="29" t="s">
        <v>389</v>
      </c>
      <c r="R61" s="6">
        <f>STDEV('1-Influent'!$I$4:$I$77)</f>
        <v>267.98969164488807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E61" s="29" t="s">
        <v>307</v>
      </c>
      <c r="AF61" s="29" t="s">
        <v>389</v>
      </c>
      <c r="AG61" s="6">
        <f>STDEV('stable S-SBR'!$Y$4:$Y$77)</f>
        <v>18.599879995066278</v>
      </c>
    </row>
    <row r="62" spans="1:44" ht="15" thickBot="1" x14ac:dyDescent="0.3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29"/>
      <c r="P62" s="29"/>
      <c r="Q62" s="29" t="s">
        <v>200</v>
      </c>
      <c r="R62" s="22">
        <f>COUNT('1-Influent'!$I$4:$I$77)</f>
        <v>56</v>
      </c>
      <c r="S62" s="29"/>
      <c r="T62" s="29" t="s">
        <v>394</v>
      </c>
      <c r="U62" s="29"/>
      <c r="V62" s="29"/>
      <c r="W62" s="29" t="s">
        <v>395</v>
      </c>
      <c r="X62" s="6">
        <v>0</v>
      </c>
      <c r="Y62" s="29"/>
      <c r="Z62" s="29"/>
      <c r="AA62" s="29"/>
      <c r="AB62" s="29"/>
      <c r="AC62" s="29"/>
      <c r="AE62" s="29"/>
      <c r="AF62" s="29" t="s">
        <v>200</v>
      </c>
      <c r="AG62" s="22">
        <f>COUNT('stable S-SBR'!$Y$4:$Y$77)</f>
        <v>44</v>
      </c>
    </row>
    <row r="63" spans="1:44" ht="15" thickTop="1" x14ac:dyDescent="0.3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29"/>
      <c r="P63" s="29"/>
      <c r="Q63" s="29" t="s">
        <v>174</v>
      </c>
      <c r="R63" s="6">
        <f>MIN('1-Influent'!$I$4:$I$77)</f>
        <v>128</v>
      </c>
      <c r="S63" s="29"/>
      <c r="T63" s="191" t="s">
        <v>396</v>
      </c>
      <c r="U63" s="191" t="s">
        <v>290</v>
      </c>
      <c r="V63" s="191" t="s">
        <v>292</v>
      </c>
      <c r="W63" s="191" t="s">
        <v>293</v>
      </c>
      <c r="X63" s="191" t="s">
        <v>397</v>
      </c>
      <c r="Y63" s="29"/>
      <c r="Z63" s="29"/>
      <c r="AA63" s="29"/>
      <c r="AB63" s="29"/>
      <c r="AC63" s="29"/>
      <c r="AE63" s="29"/>
      <c r="AF63" s="29" t="s">
        <v>174</v>
      </c>
      <c r="AG63" s="6">
        <f>MIN('stable S-SBR'!$Y$4:$Y$77)</f>
        <v>8.0000000000000002E-3</v>
      </c>
    </row>
    <row r="64" spans="1:44" x14ac:dyDescent="0.3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29"/>
      <c r="P64" s="29"/>
      <c r="Q64" s="29" t="s">
        <v>175</v>
      </c>
      <c r="R64" s="6">
        <f>MAX('1-Influent'!$I$4:$I$77)</f>
        <v>1270</v>
      </c>
      <c r="S64" s="29"/>
      <c r="T64" s="29" t="str">
        <f>P66</f>
        <v>Period 1</v>
      </c>
      <c r="U64" s="22">
        <f>R67</f>
        <v>27</v>
      </c>
      <c r="V64" s="6">
        <f>R65</f>
        <v>497.5333333333333</v>
      </c>
      <c r="W64" s="20">
        <f>R61^2</f>
        <v>71818.474827922197</v>
      </c>
      <c r="X64" s="29"/>
      <c r="Y64" s="29"/>
      <c r="Z64" s="29"/>
      <c r="AA64" s="29"/>
      <c r="AB64" s="29"/>
      <c r="AC64" s="29"/>
      <c r="AE64" s="29"/>
      <c r="AF64" s="29" t="s">
        <v>175</v>
      </c>
      <c r="AG64" s="6">
        <f>MAX('stable S-SBR'!$Y$4:$Y$77)</f>
        <v>57.64</v>
      </c>
    </row>
    <row r="65" spans="1:44" x14ac:dyDescent="0.3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29"/>
      <c r="P65" s="29" t="s">
        <v>431</v>
      </c>
      <c r="Q65" s="29" t="s">
        <v>388</v>
      </c>
      <c r="R65" s="6">
        <f>AVERAGE('1-Influent'!$I$4:$I$48)</f>
        <v>497.5333333333333</v>
      </c>
      <c r="S65" s="29"/>
      <c r="T65" s="29" t="str">
        <f>P71</f>
        <v>Period 2</v>
      </c>
      <c r="U65" s="22">
        <f>R72</f>
        <v>40</v>
      </c>
      <c r="V65" s="20">
        <f>R70</f>
        <v>222.56896551724142</v>
      </c>
      <c r="W65" s="20">
        <f>R71^2</f>
        <v>9154.1225384615173</v>
      </c>
      <c r="X65" s="29"/>
      <c r="Y65" s="29"/>
      <c r="Z65" s="29"/>
      <c r="AA65" s="29"/>
      <c r="AB65" s="29"/>
      <c r="AC65" s="29"/>
      <c r="AE65" s="29"/>
      <c r="AF65" s="29" t="s">
        <v>442</v>
      </c>
      <c r="AG65" s="6">
        <f>DEVSQ('stable S-SBR'!$Y$4:$Y$77)</f>
        <v>14876.088040727274</v>
      </c>
    </row>
    <row r="66" spans="1:44" x14ac:dyDescent="0.3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29"/>
      <c r="P66" s="29" t="s">
        <v>411</v>
      </c>
      <c r="Q66" s="29" t="s">
        <v>389</v>
      </c>
      <c r="R66" s="6">
        <f>STDEV('1-Influent'!$I$4:$I$48)</f>
        <v>325.61973456543075</v>
      </c>
      <c r="S66" s="29"/>
      <c r="T66" s="8" t="s">
        <v>398</v>
      </c>
      <c r="U66" s="8"/>
      <c r="V66" s="8"/>
      <c r="W66" s="8">
        <f>((U64-1)*W64+(U65-1)*W65)/(U64+U65-2)</f>
        <v>34219.863454245788</v>
      </c>
      <c r="X66" s="8">
        <f>ABS(V64-V65-X62)/SQRT(W66)</f>
        <v>1.4864054253896326</v>
      </c>
      <c r="Y66" s="29"/>
      <c r="Z66" s="29"/>
      <c r="AA66" s="29"/>
      <c r="AB66" s="29"/>
      <c r="AC66" s="29"/>
    </row>
    <row r="67" spans="1:44" x14ac:dyDescent="0.3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29"/>
      <c r="P67" s="29"/>
      <c r="Q67" s="29" t="s">
        <v>200</v>
      </c>
      <c r="R67" s="22">
        <f>COUNT('1-Influent'!$I$4:$I$48)</f>
        <v>27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</row>
    <row r="68" spans="1:44" ht="15" thickBot="1" x14ac:dyDescent="0.3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29"/>
      <c r="P68" s="29"/>
      <c r="Q68" s="29" t="s">
        <v>174</v>
      </c>
      <c r="R68" s="6">
        <f>MIN('1-Influent'!$I$4:$I$48)</f>
        <v>128</v>
      </c>
      <c r="S68" s="29"/>
      <c r="T68" s="29" t="s">
        <v>399</v>
      </c>
      <c r="U68" s="29"/>
      <c r="V68" s="29"/>
      <c r="W68" s="29"/>
      <c r="X68" s="29" t="s">
        <v>288</v>
      </c>
      <c r="Y68" s="29">
        <v>0.05</v>
      </c>
      <c r="Z68" s="29"/>
      <c r="AA68" s="29"/>
      <c r="AB68" s="29"/>
      <c r="AC68" s="29"/>
    </row>
    <row r="69" spans="1:44" ht="15" thickTop="1" x14ac:dyDescent="0.3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29"/>
      <c r="P69" s="29"/>
      <c r="Q69" s="29" t="s">
        <v>175</v>
      </c>
      <c r="R69" s="6">
        <f>MAX('1-Influent'!$I$4:$I$48)</f>
        <v>1270</v>
      </c>
      <c r="S69" s="29"/>
      <c r="T69" s="191" t="s">
        <v>400</v>
      </c>
      <c r="U69" s="191" t="s">
        <v>401</v>
      </c>
      <c r="V69" s="191" t="s">
        <v>402</v>
      </c>
      <c r="W69" s="191" t="s">
        <v>205</v>
      </c>
      <c r="X69" s="191" t="s">
        <v>311</v>
      </c>
      <c r="Y69" s="191" t="s">
        <v>403</v>
      </c>
      <c r="Z69" s="191" t="s">
        <v>404</v>
      </c>
      <c r="AA69" s="191" t="s">
        <v>405</v>
      </c>
      <c r="AB69" s="191" t="s">
        <v>406</v>
      </c>
      <c r="AC69" s="191" t="s">
        <v>407</v>
      </c>
    </row>
    <row r="70" spans="1:44" x14ac:dyDescent="0.3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29"/>
      <c r="P70" s="29" t="s">
        <v>432</v>
      </c>
      <c r="Q70" s="29" t="s">
        <v>388</v>
      </c>
      <c r="R70" s="6">
        <f>AVERAGE('1-Influent'!$I$49:$I$77)</f>
        <v>222.56896551724142</v>
      </c>
      <c r="S70" s="29"/>
      <c r="T70" s="29" t="s">
        <v>408</v>
      </c>
      <c r="U70" s="29">
        <f>SQRT(W66*(1/U64+1/U65))</f>
        <v>46.074927417342678</v>
      </c>
      <c r="V70" s="29">
        <f>(ABS(V64-V65-X62))/U70</f>
        <v>5.9677656206701881</v>
      </c>
      <c r="W70" s="29">
        <f>U64+U65-2</f>
        <v>65</v>
      </c>
      <c r="X70" s="29">
        <f>TDIST(V70,W70,1)</f>
        <v>5.5007058880831054E-8</v>
      </c>
      <c r="Y70" s="29">
        <f>TINV(Y68*2,W70)</f>
        <v>1.6686359758475535</v>
      </c>
      <c r="Z70" s="29"/>
      <c r="AA70" s="29"/>
      <c r="AB70" s="183" t="str">
        <f>IF(X70&lt;Y68,"yes","no")</f>
        <v>yes</v>
      </c>
      <c r="AC70" s="29">
        <f>SQRT(V70^2/(V70^2+W70))</f>
        <v>0.59495218224195345</v>
      </c>
    </row>
    <row r="71" spans="1:44" x14ac:dyDescent="0.3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29"/>
      <c r="P71" s="29" t="s">
        <v>412</v>
      </c>
      <c r="Q71" s="29" t="s">
        <v>389</v>
      </c>
      <c r="R71" s="6">
        <f>STDEV('1-Influent'!$I$49:$I$96)</f>
        <v>95.677178775617733</v>
      </c>
      <c r="S71" s="29"/>
      <c r="T71" s="29" t="s">
        <v>409</v>
      </c>
      <c r="U71" s="29">
        <f>U70</f>
        <v>46.074927417342678</v>
      </c>
      <c r="V71" s="29">
        <f>V70</f>
        <v>5.9677656206701881</v>
      </c>
      <c r="W71" s="29">
        <f t="shared" ref="W71" si="8">W70</f>
        <v>65</v>
      </c>
      <c r="X71" s="29">
        <f>TDIST(V71,W71,2)</f>
        <v>1.1001411776166211E-7</v>
      </c>
      <c r="Y71" s="29">
        <f>TINV(Y68,W71)</f>
        <v>1.9971379083920051</v>
      </c>
      <c r="Z71" s="29">
        <f>(V64-V65)-Y71*U71</f>
        <v>182.94638364450668</v>
      </c>
      <c r="AA71" s="29">
        <f>(V64-V65)+Y71*U71</f>
        <v>366.98235198767713</v>
      </c>
      <c r="AB71" s="183" t="str">
        <f>IF(X71&lt;Y68,"yes","no")</f>
        <v>yes</v>
      </c>
      <c r="AC71" s="29">
        <f>AC70</f>
        <v>0.59495218224195345</v>
      </c>
    </row>
    <row r="72" spans="1:44" x14ac:dyDescent="0.3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29"/>
      <c r="P72" s="29"/>
      <c r="Q72" s="29" t="s">
        <v>200</v>
      </c>
      <c r="R72" s="22">
        <f>COUNT('1-Influent'!$I$49:$I$90)</f>
        <v>40</v>
      </c>
      <c r="S72" s="29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44" ht="15" thickBot="1" x14ac:dyDescent="0.3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29"/>
      <c r="P73" s="29"/>
      <c r="Q73" s="29" t="s">
        <v>174</v>
      </c>
      <c r="R73" s="6">
        <f>MIN('1-Influent'!$I$49:$I$77)</f>
        <v>148</v>
      </c>
      <c r="S73" s="29"/>
      <c r="T73" s="29" t="s">
        <v>410</v>
      </c>
      <c r="U73" s="29"/>
      <c r="V73" s="29"/>
      <c r="W73" s="29"/>
      <c r="X73" s="29" t="s">
        <v>288</v>
      </c>
      <c r="Y73" s="29">
        <f>Y68</f>
        <v>0.05</v>
      </c>
      <c r="Z73" s="29"/>
      <c r="AA73" s="29"/>
      <c r="AB73" s="29"/>
      <c r="AC73" s="29"/>
    </row>
    <row r="74" spans="1:44" ht="15" thickTop="1" x14ac:dyDescent="0.3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29"/>
      <c r="P74" s="29"/>
      <c r="Q74" s="29" t="s">
        <v>175</v>
      </c>
      <c r="R74" s="6">
        <f>MAX('1-Influent'!$I$49:$I$77)</f>
        <v>400</v>
      </c>
      <c r="S74" s="29"/>
      <c r="T74" s="191" t="s">
        <v>400</v>
      </c>
      <c r="U74" s="191" t="s">
        <v>401</v>
      </c>
      <c r="V74" s="191" t="s">
        <v>402</v>
      </c>
      <c r="W74" s="191" t="s">
        <v>205</v>
      </c>
      <c r="X74" s="191" t="s">
        <v>311</v>
      </c>
      <c r="Y74" s="191" t="s">
        <v>403</v>
      </c>
      <c r="Z74" s="191" t="s">
        <v>404</v>
      </c>
      <c r="AA74" s="191" t="s">
        <v>405</v>
      </c>
      <c r="AB74" s="191" t="s">
        <v>406</v>
      </c>
      <c r="AC74" s="191" t="s">
        <v>407</v>
      </c>
    </row>
    <row r="75" spans="1:44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29"/>
      <c r="P75" s="29"/>
      <c r="Q75" s="29"/>
      <c r="R75" s="29"/>
      <c r="S75" s="29"/>
      <c r="T75" s="29" t="s">
        <v>408</v>
      </c>
      <c r="U75" s="29">
        <f>SQRT(W64/U64+W65/U65)</f>
        <v>53.747526227788427</v>
      </c>
      <c r="V75" s="29">
        <f>(ABS(V64-V65-X62))/U75</f>
        <v>5.1158515956764248</v>
      </c>
      <c r="W75" s="29">
        <f>(W64/U64+W65/U65)^2/((W64/U64)^2/(U64-1)+(W65/U65)^2/(U65-1))</f>
        <v>30.515782961841509</v>
      </c>
      <c r="X75" s="29" t="e">
        <f ca="1">[1]!T_DIST_RT(V75,W75)</f>
        <v>#NAME?</v>
      </c>
      <c r="Y75" s="29" t="e">
        <f ca="1">[1]!T_INV(1-Y73,W75)</f>
        <v>#NAME?</v>
      </c>
      <c r="Z75" s="29"/>
      <c r="AA75" s="29"/>
      <c r="AB75" s="183" t="e">
        <f ca="1">IF(X75&lt;Y73,"yes","no")</f>
        <v>#NAME?</v>
      </c>
      <c r="AC75" s="29">
        <f>SQRT(V75^2/(V75^2+W75))</f>
        <v>0.67947493499994693</v>
      </c>
    </row>
    <row r="76" spans="1:44" x14ac:dyDescent="0.3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29"/>
      <c r="P76" s="29"/>
      <c r="Q76" s="29"/>
      <c r="R76" s="29"/>
      <c r="S76" s="29"/>
      <c r="T76" s="29" t="s">
        <v>409</v>
      </c>
      <c r="U76" s="29">
        <f>U75</f>
        <v>53.747526227788427</v>
      </c>
      <c r="V76" s="29">
        <f t="shared" ref="V76:W76" si="9">V75</f>
        <v>5.1158515956764248</v>
      </c>
      <c r="W76" s="29">
        <f t="shared" si="9"/>
        <v>30.515782961841509</v>
      </c>
      <c r="X76" s="29" t="e">
        <f ca="1">[1]!T_DIST_2T(V76,W76)</f>
        <v>#NAME?</v>
      </c>
      <c r="Y76" s="29" t="e">
        <f ca="1">[1]!T_INV_2T(Y73,W76)</f>
        <v>#NAME?</v>
      </c>
      <c r="Z76" s="29" t="e">
        <f ca="1">(V64-V65)-Y76*U76</f>
        <v>#NAME?</v>
      </c>
      <c r="AA76" s="29" t="e">
        <f ca="1">(V64-V65)+Y76*U76</f>
        <v>#NAME?</v>
      </c>
      <c r="AB76" s="183" t="e">
        <f ca="1">IF(X76&lt;Y73,"yes","no")</f>
        <v>#NAME?</v>
      </c>
      <c r="AC76" s="29">
        <f>AC75</f>
        <v>0.67947493499994693</v>
      </c>
    </row>
    <row r="77" spans="1:44" x14ac:dyDescent="0.3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</row>
    <row r="78" spans="1:44" x14ac:dyDescent="0.3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29" t="s">
        <v>92</v>
      </c>
      <c r="P78" s="362" t="s">
        <v>418</v>
      </c>
      <c r="Q78" s="362"/>
      <c r="R78" s="362"/>
      <c r="S78" s="362"/>
      <c r="T78" s="362"/>
      <c r="U78" s="362"/>
      <c r="V78" s="362"/>
      <c r="W78" s="362"/>
      <c r="X78" s="362"/>
      <c r="Y78" s="362"/>
      <c r="Z78" s="362"/>
      <c r="AA78" s="362"/>
      <c r="AB78" s="362"/>
      <c r="AC78" s="362"/>
      <c r="AD78" s="227" t="s">
        <v>476</v>
      </c>
      <c r="AE78" s="358" t="s">
        <v>460</v>
      </c>
      <c r="AF78" s="358"/>
      <c r="AG78" s="358"/>
      <c r="AH78" s="358"/>
      <c r="AI78" s="358"/>
      <c r="AJ78" s="358"/>
      <c r="AK78" s="358"/>
      <c r="AL78" s="358"/>
      <c r="AM78" s="358"/>
      <c r="AN78" s="358"/>
      <c r="AO78" s="358"/>
      <c r="AP78" s="358"/>
      <c r="AQ78" s="358"/>
      <c r="AR78" s="358"/>
    </row>
    <row r="79" spans="1:44" x14ac:dyDescent="0.3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29"/>
      <c r="P79" s="29" t="s">
        <v>430</v>
      </c>
      <c r="Q79" s="29" t="s">
        <v>388</v>
      </c>
      <c r="R79" s="6">
        <f>AVERAGE('1-Influent'!$H$4:$H$77)</f>
        <v>8.3949152542372865</v>
      </c>
      <c r="S79" s="29"/>
      <c r="T79" s="29" t="s">
        <v>393</v>
      </c>
      <c r="U79" s="29"/>
      <c r="V79" s="29"/>
      <c r="W79" s="29"/>
      <c r="X79" s="29"/>
      <c r="Y79" s="29"/>
      <c r="Z79" s="29"/>
      <c r="AA79" s="29"/>
      <c r="AB79" s="29"/>
      <c r="AC79" s="29"/>
      <c r="AE79" s="29" t="s">
        <v>430</v>
      </c>
      <c r="AF79" s="29" t="s">
        <v>388</v>
      </c>
      <c r="AG79" s="6">
        <f>AVERAGE('stable S-SBR'!$Z$4:$Z$77)</f>
        <v>13.105613636363637</v>
      </c>
    </row>
    <row r="80" spans="1:44" x14ac:dyDescent="0.3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29"/>
      <c r="P80" s="29" t="s">
        <v>307</v>
      </c>
      <c r="Q80" s="29" t="s">
        <v>389</v>
      </c>
      <c r="R80" s="6">
        <f>STDEV('1-Influent'!$H$4:$H$77)</f>
        <v>0.11659497950621603</v>
      </c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E80" s="29" t="s">
        <v>307</v>
      </c>
      <c r="AF80" s="29" t="s">
        <v>389</v>
      </c>
      <c r="AG80" s="6">
        <f>STDEV('stable S-SBR'!$Z$4:$Z$77)</f>
        <v>13.65843214165454</v>
      </c>
    </row>
    <row r="81" spans="1:33" ht="15" thickBot="1" x14ac:dyDescent="0.3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29"/>
      <c r="P81" s="29"/>
      <c r="Q81" s="29" t="s">
        <v>200</v>
      </c>
      <c r="R81" s="22">
        <f>COUNT('1-Influent'!$H$4:$H$77)</f>
        <v>59</v>
      </c>
      <c r="S81" s="29"/>
      <c r="T81" s="29" t="s">
        <v>394</v>
      </c>
      <c r="U81" s="29"/>
      <c r="V81" s="29"/>
      <c r="W81" s="29" t="s">
        <v>395</v>
      </c>
      <c r="X81" s="6">
        <v>0</v>
      </c>
      <c r="Y81" s="29"/>
      <c r="Z81" s="29"/>
      <c r="AA81" s="29"/>
      <c r="AB81" s="29"/>
      <c r="AC81" s="29"/>
      <c r="AE81" s="29"/>
      <c r="AF81" s="29" t="s">
        <v>200</v>
      </c>
      <c r="AG81" s="22">
        <f>COUNT('stable S-SBR'!$Z$4:$Z$77)</f>
        <v>44</v>
      </c>
    </row>
    <row r="82" spans="1:33" ht="15" thickTop="1" x14ac:dyDescent="0.3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29"/>
      <c r="P82" s="29"/>
      <c r="Q82" s="29" t="s">
        <v>174</v>
      </c>
      <c r="R82" s="6">
        <f>MIN('1-Influent'!$H$4:$H$77)</f>
        <v>7.8</v>
      </c>
      <c r="S82" s="29"/>
      <c r="T82" s="191" t="s">
        <v>396</v>
      </c>
      <c r="U82" s="191" t="s">
        <v>290</v>
      </c>
      <c r="V82" s="191" t="s">
        <v>292</v>
      </c>
      <c r="W82" s="191" t="s">
        <v>293</v>
      </c>
      <c r="X82" s="191" t="s">
        <v>397</v>
      </c>
      <c r="Y82" s="29"/>
      <c r="Z82" s="29"/>
      <c r="AA82" s="29"/>
      <c r="AB82" s="29"/>
      <c r="AC82" s="29"/>
      <c r="AE82" s="29"/>
      <c r="AF82" s="29" t="s">
        <v>174</v>
      </c>
      <c r="AG82" s="6">
        <f>MIN('stable S-SBR'!$Z$4:$Z$77)</f>
        <v>0.19</v>
      </c>
    </row>
    <row r="83" spans="1:33" x14ac:dyDescent="0.3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29"/>
      <c r="P83" s="29"/>
      <c r="Q83" s="29" t="s">
        <v>175</v>
      </c>
      <c r="R83" s="6">
        <f>MAX('1-Influent'!$H$4:$H$77)</f>
        <v>8.6</v>
      </c>
      <c r="S83" s="29"/>
      <c r="T83" s="29" t="str">
        <f>P85</f>
        <v>Period 1</v>
      </c>
      <c r="U83" s="22">
        <f>R86</f>
        <v>30</v>
      </c>
      <c r="V83" s="6">
        <f>R84</f>
        <v>8.4066666666666681</v>
      </c>
      <c r="W83" s="20">
        <f>R80^2</f>
        <v>1.3594389246054935E-2</v>
      </c>
      <c r="X83" s="29"/>
      <c r="Y83" s="29"/>
      <c r="Z83" s="29"/>
      <c r="AA83" s="29"/>
      <c r="AB83" s="29"/>
      <c r="AC83" s="29"/>
      <c r="AE83" s="29"/>
      <c r="AF83" s="29" t="s">
        <v>175</v>
      </c>
      <c r="AG83" s="6">
        <f>MAX('stable S-SBR'!$Z$4:$Z$77)</f>
        <v>69.591999999999999</v>
      </c>
    </row>
    <row r="84" spans="1:33" x14ac:dyDescent="0.3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29"/>
      <c r="P84" s="29" t="s">
        <v>431</v>
      </c>
      <c r="Q84" s="29" t="s">
        <v>388</v>
      </c>
      <c r="R84" s="6">
        <f>AVERAGE('1-Influent'!$H$4:$H$48)</f>
        <v>8.4066666666666681</v>
      </c>
      <c r="S84" s="29"/>
      <c r="T84" s="29" t="str">
        <f>P90</f>
        <v>Period 2</v>
      </c>
      <c r="U84" s="22">
        <f>R91</f>
        <v>42</v>
      </c>
      <c r="V84" s="20">
        <f>R89</f>
        <v>8.3827586206896587</v>
      </c>
      <c r="W84" s="20">
        <f>R90^2</f>
        <v>1.3636363636363625E-2</v>
      </c>
      <c r="X84" s="29"/>
      <c r="Y84" s="29"/>
      <c r="Z84" s="29"/>
      <c r="AA84" s="29"/>
      <c r="AB84" s="29"/>
      <c r="AC84" s="29"/>
      <c r="AE84" s="29"/>
      <c r="AF84" s="29" t="s">
        <v>442</v>
      </c>
      <c r="AG84" s="6">
        <f>DEVSQ('stable S-SBR'!$Z$4:$Z$77)</f>
        <v>8021.76904843182</v>
      </c>
    </row>
    <row r="85" spans="1:33" x14ac:dyDescent="0.3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29"/>
      <c r="P85" s="29" t="s">
        <v>411</v>
      </c>
      <c r="Q85" s="29" t="s">
        <v>389</v>
      </c>
      <c r="R85" s="6">
        <f>STDEV('1-Influent'!$H$4:$H$48)</f>
        <v>0.13879613761229809</v>
      </c>
      <c r="S85" s="29"/>
      <c r="T85" s="8" t="s">
        <v>398</v>
      </c>
      <c r="U85" s="8"/>
      <c r="V85" s="8"/>
      <c r="W85" s="8">
        <f>((U83-1)*W83+(U84-1)*W84)/(U83+U84-2)</f>
        <v>1.3618974246092883E-2</v>
      </c>
      <c r="X85" s="8">
        <f>ABS(V83-V84-X81)/SQRT(W85)</f>
        <v>0.20486694113181481</v>
      </c>
      <c r="Y85" s="29"/>
      <c r="Z85" s="29"/>
      <c r="AA85" s="29"/>
      <c r="AB85" s="29"/>
      <c r="AC85" s="29"/>
    </row>
    <row r="86" spans="1:33" x14ac:dyDescent="0.3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29"/>
      <c r="P86" s="29"/>
      <c r="Q86" s="29" t="s">
        <v>200</v>
      </c>
      <c r="R86" s="22">
        <f>COUNT('1-Influent'!$H$4:$H$48)</f>
        <v>30</v>
      </c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</row>
    <row r="87" spans="1:33" ht="15" thickBot="1" x14ac:dyDescent="0.3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29"/>
      <c r="P87" s="29"/>
      <c r="Q87" s="29" t="s">
        <v>174</v>
      </c>
      <c r="R87" s="6">
        <f>MIN('1-Influent'!$H$4:$H$48)</f>
        <v>7.8</v>
      </c>
      <c r="S87" s="29"/>
      <c r="T87" s="29" t="s">
        <v>399</v>
      </c>
      <c r="U87" s="29"/>
      <c r="V87" s="29"/>
      <c r="W87" s="29"/>
      <c r="X87" s="29" t="s">
        <v>288</v>
      </c>
      <c r="Y87" s="29">
        <v>0.05</v>
      </c>
      <c r="Z87" s="29"/>
      <c r="AA87" s="29"/>
      <c r="AB87" s="29"/>
      <c r="AC87" s="29"/>
    </row>
    <row r="88" spans="1:33" ht="15" thickTop="1" x14ac:dyDescent="0.3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29"/>
      <c r="P88" s="29"/>
      <c r="Q88" s="29" t="s">
        <v>175</v>
      </c>
      <c r="R88" s="6">
        <f>MAX('1-Influent'!$H$4:$H$48)</f>
        <v>8.5</v>
      </c>
      <c r="S88" s="29"/>
      <c r="T88" s="191" t="s">
        <v>400</v>
      </c>
      <c r="U88" s="191" t="s">
        <v>401</v>
      </c>
      <c r="V88" s="191" t="s">
        <v>402</v>
      </c>
      <c r="W88" s="191" t="s">
        <v>205</v>
      </c>
      <c r="X88" s="191" t="s">
        <v>311</v>
      </c>
      <c r="Y88" s="191" t="s">
        <v>403</v>
      </c>
      <c r="Z88" s="191" t="s">
        <v>404</v>
      </c>
      <c r="AA88" s="191" t="s">
        <v>405</v>
      </c>
      <c r="AB88" s="191" t="s">
        <v>406</v>
      </c>
      <c r="AC88" s="191" t="s">
        <v>407</v>
      </c>
    </row>
    <row r="89" spans="1:33" x14ac:dyDescent="0.3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29"/>
      <c r="P89" s="29" t="s">
        <v>432</v>
      </c>
      <c r="Q89" s="29" t="s">
        <v>388</v>
      </c>
      <c r="R89" s="6">
        <f>AVERAGE('1-Influent'!$H$49:$H$77)</f>
        <v>8.3827586206896587</v>
      </c>
      <c r="S89" s="29"/>
      <c r="T89" s="29" t="s">
        <v>408</v>
      </c>
      <c r="U89" s="29">
        <f>SQRT(W85*(1/U83+1/U84))</f>
        <v>2.7896722025656278E-2</v>
      </c>
      <c r="V89" s="29">
        <f>(ABS(V83-V84-X81))/U89</f>
        <v>0.85701990201649536</v>
      </c>
      <c r="W89" s="29">
        <f>U83+U84-2</f>
        <v>70</v>
      </c>
      <c r="X89" s="29">
        <f>TDIST(V89,W89,1)</f>
        <v>0.19717923337202442</v>
      </c>
      <c r="Y89" s="29">
        <f>TINV(Y87*2,W89)</f>
        <v>1.6669144790559576</v>
      </c>
      <c r="Z89" s="29"/>
      <c r="AA89" s="29"/>
      <c r="AB89" s="183" t="str">
        <f>IF(X89&lt;Y87,"yes","no")</f>
        <v>no</v>
      </c>
      <c r="AC89" s="29">
        <f>SQRT(V89^2/(V89^2+W89))</f>
        <v>0.10190026542307098</v>
      </c>
    </row>
    <row r="90" spans="1:33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29"/>
      <c r="P90" s="29" t="s">
        <v>412</v>
      </c>
      <c r="Q90" s="29" t="s">
        <v>389</v>
      </c>
      <c r="R90" s="6">
        <f>STDEV('1-Influent'!$H$49:$H$96)</f>
        <v>0.1167748416242284</v>
      </c>
      <c r="S90" s="29"/>
      <c r="T90" s="29" t="s">
        <v>409</v>
      </c>
      <c r="U90" s="29">
        <f>U89</f>
        <v>2.7896722025656278E-2</v>
      </c>
      <c r="V90" s="29">
        <f>V89</f>
        <v>0.85701990201649536</v>
      </c>
      <c r="W90" s="29">
        <f t="shared" ref="W90" si="10">W89</f>
        <v>70</v>
      </c>
      <c r="X90" s="29">
        <f>TDIST(V90,W90,2)</f>
        <v>0.39435846674404884</v>
      </c>
      <c r="Y90" s="29">
        <f>TINV(Y87,W90)</f>
        <v>1.9944371117711854</v>
      </c>
      <c r="Z90" s="29">
        <f>(V83-V84)-Y90*U90</f>
        <v>-3.1730211727724167E-2</v>
      </c>
      <c r="AA90" s="29">
        <f>(V83-V84)+Y90*U90</f>
        <v>7.9546303681742869E-2</v>
      </c>
      <c r="AB90" s="183" t="str">
        <f>IF(X90&lt;Y87,"yes","no")</f>
        <v>no</v>
      </c>
      <c r="AC90" s="29">
        <f>AC89</f>
        <v>0.10190026542307098</v>
      </c>
    </row>
    <row r="91" spans="1:33" x14ac:dyDescent="0.3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29"/>
      <c r="P91" s="29"/>
      <c r="Q91" s="29" t="s">
        <v>200</v>
      </c>
      <c r="R91" s="22">
        <f>COUNT('1-Influent'!$H$49:$H$90)</f>
        <v>42</v>
      </c>
      <c r="S91" s="29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33" ht="15" thickBot="1" x14ac:dyDescent="0.3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29"/>
      <c r="P92" s="29"/>
      <c r="Q92" s="29" t="s">
        <v>174</v>
      </c>
      <c r="R92" s="6">
        <f>MIN('1-Influent'!$H$49:$H$77)</f>
        <v>8.1999999999999993</v>
      </c>
      <c r="S92" s="29"/>
      <c r="T92" s="29" t="s">
        <v>410</v>
      </c>
      <c r="U92" s="29"/>
      <c r="V92" s="29"/>
      <c r="W92" s="29"/>
      <c r="X92" s="29" t="s">
        <v>288</v>
      </c>
      <c r="Y92" s="29">
        <f>Y87</f>
        <v>0.05</v>
      </c>
      <c r="Z92" s="29"/>
      <c r="AA92" s="29"/>
      <c r="AB92" s="29"/>
      <c r="AC92" s="29"/>
    </row>
    <row r="93" spans="1:33" ht="15" thickTop="1" x14ac:dyDescent="0.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29"/>
      <c r="P93" s="29"/>
      <c r="Q93" s="29" t="s">
        <v>175</v>
      </c>
      <c r="R93" s="6">
        <f>MAX('1-Influent'!$H$49:$H$77)</f>
        <v>8.6</v>
      </c>
      <c r="S93" s="29"/>
      <c r="T93" s="191" t="s">
        <v>400</v>
      </c>
      <c r="U93" s="191" t="s">
        <v>401</v>
      </c>
      <c r="V93" s="191" t="s">
        <v>402</v>
      </c>
      <c r="W93" s="191" t="s">
        <v>205</v>
      </c>
      <c r="X93" s="191" t="s">
        <v>311</v>
      </c>
      <c r="Y93" s="191" t="s">
        <v>403</v>
      </c>
      <c r="Z93" s="191" t="s">
        <v>404</v>
      </c>
      <c r="AA93" s="191" t="s">
        <v>405</v>
      </c>
      <c r="AB93" s="191" t="s">
        <v>406</v>
      </c>
      <c r="AC93" s="191" t="s">
        <v>407</v>
      </c>
    </row>
    <row r="94" spans="1:33" x14ac:dyDescent="0.3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29"/>
      <c r="P94" s="29"/>
      <c r="Q94" s="29"/>
      <c r="R94" s="29"/>
      <c r="S94" s="29"/>
      <c r="T94" s="29" t="s">
        <v>408</v>
      </c>
      <c r="U94" s="29">
        <f>SQRT(W83/U83+W84/U84)</f>
        <v>2.7889453793094543E-2</v>
      </c>
      <c r="V94" s="29">
        <f>(ABS(V83-V84-X81))/U94</f>
        <v>0.85724324880571912</v>
      </c>
      <c r="W94" s="29">
        <f>(W83/U83+W84/U84)^2/((W83/U83)^2/(U83-1)+(W84/U84)^2/(U84-1))</f>
        <v>62.683158921860269</v>
      </c>
      <c r="X94" s="29" t="e">
        <f ca="1">[1]!T_DIST_RT(V94,W94)</f>
        <v>#NAME?</v>
      </c>
      <c r="Y94" s="29" t="e">
        <f ca="1">[1]!T_INV(1-Y92,W94)</f>
        <v>#NAME?</v>
      </c>
      <c r="Z94" s="29"/>
      <c r="AA94" s="29"/>
      <c r="AB94" s="183" t="e">
        <f ca="1">IF(X94&lt;Y92,"yes","no")</f>
        <v>#NAME?</v>
      </c>
      <c r="AC94" s="29">
        <f>SQRT(V94^2/(V94^2+W94))</f>
        <v>0.10764595558921758</v>
      </c>
    </row>
    <row r="95" spans="1:33" x14ac:dyDescent="0.3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29"/>
      <c r="P95" s="29"/>
      <c r="Q95" s="29"/>
      <c r="R95" s="29"/>
      <c r="S95" s="29"/>
      <c r="T95" s="29" t="s">
        <v>409</v>
      </c>
      <c r="U95" s="29">
        <f>U94</f>
        <v>2.7889453793094543E-2</v>
      </c>
      <c r="V95" s="29">
        <f t="shared" ref="V95:W95" si="11">V94</f>
        <v>0.85724324880571912</v>
      </c>
      <c r="W95" s="29">
        <f t="shared" si="11"/>
        <v>62.683158921860269</v>
      </c>
      <c r="X95" s="29" t="e">
        <f ca="1">[1]!T_DIST_2T(V95,W95)</f>
        <v>#NAME?</v>
      </c>
      <c r="Y95" s="29" t="e">
        <f ca="1">[1]!T_INV_2T(Y92,W95)</f>
        <v>#NAME?</v>
      </c>
      <c r="Z95" s="29" t="e">
        <f ca="1">(V83-V84)-Y95*U95</f>
        <v>#NAME?</v>
      </c>
      <c r="AA95" s="29" t="e">
        <f ca="1">(V83-V84)+Y95*U95</f>
        <v>#NAME?</v>
      </c>
      <c r="AB95" s="183" t="e">
        <f ca="1">IF(X95&lt;Y92,"yes","no")</f>
        <v>#NAME?</v>
      </c>
      <c r="AC95" s="29">
        <f>AC94</f>
        <v>0.10764595558921758</v>
      </c>
    </row>
    <row r="96" spans="1:33" x14ac:dyDescent="0.3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44" x14ac:dyDescent="0.3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29" t="s">
        <v>421</v>
      </c>
      <c r="P97" s="362" t="s">
        <v>419</v>
      </c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227" t="s">
        <v>477</v>
      </c>
      <c r="AE97" s="358" t="s">
        <v>461</v>
      </c>
      <c r="AF97" s="358"/>
      <c r="AG97" s="358"/>
      <c r="AH97" s="358"/>
      <c r="AI97" s="358"/>
      <c r="AJ97" s="358"/>
      <c r="AK97" s="358"/>
      <c r="AL97" s="358"/>
      <c r="AM97" s="358"/>
      <c r="AN97" s="358"/>
      <c r="AO97" s="358"/>
      <c r="AP97" s="358"/>
      <c r="AQ97" s="358"/>
      <c r="AR97" s="358"/>
    </row>
    <row r="98" spans="1:44" x14ac:dyDescent="0.3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29"/>
      <c r="P98" s="29" t="s">
        <v>430</v>
      </c>
      <c r="Q98" s="29" t="s">
        <v>388</v>
      </c>
      <c r="R98" s="6">
        <f>AVERAGE('1-Influent'!$G$4:$G$77)</f>
        <v>4775.1525423728817</v>
      </c>
      <c r="S98" s="29"/>
      <c r="T98" s="29" t="s">
        <v>393</v>
      </c>
      <c r="U98" s="29"/>
      <c r="V98" s="29"/>
      <c r="W98" s="29"/>
      <c r="X98" s="29"/>
      <c r="Y98" s="29"/>
      <c r="Z98" s="29"/>
      <c r="AA98" s="29"/>
      <c r="AB98" s="29"/>
      <c r="AC98" s="29"/>
      <c r="AE98" s="29" t="s">
        <v>430</v>
      </c>
      <c r="AF98" s="29" t="s">
        <v>388</v>
      </c>
      <c r="AG98" s="279">
        <f>AVERAGE('stable S-SBR'!$AB$4:$AB$77)</f>
        <v>1.1154411872550932E-2</v>
      </c>
    </row>
    <row r="99" spans="1:44" x14ac:dyDescent="0.3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29"/>
      <c r="P99" s="29" t="s">
        <v>307</v>
      </c>
      <c r="Q99" s="29" t="s">
        <v>389</v>
      </c>
      <c r="R99" s="6">
        <f>STDEV('1-Influent'!$G$4:$G$77)</f>
        <v>484.32433609775109</v>
      </c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E99" s="29" t="s">
        <v>307</v>
      </c>
      <c r="AF99" s="29" t="s">
        <v>389</v>
      </c>
      <c r="AG99" s="279">
        <f>STDEV('stable S-SBR'!$AB$4:$AB$77)</f>
        <v>1.144808431246222E-2</v>
      </c>
    </row>
    <row r="100" spans="1:44" ht="15" thickBot="1" x14ac:dyDescent="0.3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29"/>
      <c r="P100" s="29"/>
      <c r="Q100" s="29" t="s">
        <v>200</v>
      </c>
      <c r="R100" s="22">
        <f>COUNT('1-Influent'!$G$4:$G$77)</f>
        <v>59</v>
      </c>
      <c r="S100" s="29"/>
      <c r="T100" s="29" t="s">
        <v>394</v>
      </c>
      <c r="U100" s="29"/>
      <c r="V100" s="29"/>
      <c r="W100" s="29" t="s">
        <v>395</v>
      </c>
      <c r="X100" s="6">
        <v>0</v>
      </c>
      <c r="Y100" s="29"/>
      <c r="Z100" s="29"/>
      <c r="AA100" s="29"/>
      <c r="AB100" s="29"/>
      <c r="AC100" s="29"/>
      <c r="AE100" s="29"/>
      <c r="AF100" s="29" t="s">
        <v>200</v>
      </c>
      <c r="AG100" s="279">
        <f>COUNT('stable S-SBR'!$AB$4:$AB$77)</f>
        <v>44</v>
      </c>
    </row>
    <row r="101" spans="1:44" ht="15" thickTop="1" x14ac:dyDescent="0.3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29"/>
      <c r="P101" s="29"/>
      <c r="Q101" s="29" t="s">
        <v>174</v>
      </c>
      <c r="R101" s="6">
        <f>MIN('1-Influent'!$G$4:$G$77)</f>
        <v>3009</v>
      </c>
      <c r="S101" s="29"/>
      <c r="T101" s="191" t="s">
        <v>396</v>
      </c>
      <c r="U101" s="191" t="s">
        <v>290</v>
      </c>
      <c r="V101" s="191" t="s">
        <v>292</v>
      </c>
      <c r="W101" s="191" t="s">
        <v>293</v>
      </c>
      <c r="X101" s="191" t="s">
        <v>397</v>
      </c>
      <c r="Y101" s="29"/>
      <c r="Z101" s="29"/>
      <c r="AA101" s="29"/>
      <c r="AB101" s="29"/>
      <c r="AC101" s="29"/>
      <c r="AE101" s="29"/>
      <c r="AF101" s="29" t="s">
        <v>174</v>
      </c>
      <c r="AG101" s="279">
        <f>MIN('stable S-SBR'!$AB$4:$AB$77)</f>
        <v>1.4311970833709965E-4</v>
      </c>
    </row>
    <row r="102" spans="1:44" x14ac:dyDescent="0.3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29"/>
      <c r="P102" s="29"/>
      <c r="Q102" s="29" t="s">
        <v>175</v>
      </c>
      <c r="R102" s="6">
        <f>MAX('1-Influent'!$G$4:$G$77)</f>
        <v>5678</v>
      </c>
      <c r="S102" s="29"/>
      <c r="T102" s="29" t="str">
        <f>P104</f>
        <v>Period 1</v>
      </c>
      <c r="U102" s="22">
        <f>R105</f>
        <v>30</v>
      </c>
      <c r="V102" s="6">
        <f>R103</f>
        <v>4947.2666666666664</v>
      </c>
      <c r="W102" s="20">
        <f>R99^2</f>
        <v>234570.06253652734</v>
      </c>
      <c r="X102" s="29"/>
      <c r="Y102" s="29"/>
      <c r="Z102" s="29"/>
      <c r="AA102" s="29"/>
      <c r="AB102" s="29"/>
      <c r="AC102" s="29"/>
      <c r="AE102" s="29"/>
      <c r="AF102" s="29" t="s">
        <v>175</v>
      </c>
      <c r="AG102" s="279">
        <f>MAX('stable S-SBR'!$AB$4:$AB$77)</f>
        <v>5.9647047731694561E-2</v>
      </c>
    </row>
    <row r="103" spans="1:44" x14ac:dyDescent="0.3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29"/>
      <c r="P103" s="29" t="s">
        <v>431</v>
      </c>
      <c r="Q103" s="29" t="s">
        <v>388</v>
      </c>
      <c r="R103" s="6">
        <f>AVERAGE('1-Influent'!$G$4:$G$48)</f>
        <v>4947.2666666666664</v>
      </c>
      <c r="S103" s="29"/>
      <c r="T103" s="29" t="str">
        <f>P109</f>
        <v>Period 2</v>
      </c>
      <c r="U103" s="22">
        <f>R110</f>
        <v>42</v>
      </c>
      <c r="V103" s="20">
        <f>R108</f>
        <v>4597.1034482758623</v>
      </c>
      <c r="W103" s="20">
        <f>R109^2</f>
        <v>78216.927272727262</v>
      </c>
      <c r="X103" s="29"/>
      <c r="Y103" s="29"/>
      <c r="Z103" s="29"/>
      <c r="AA103" s="29"/>
      <c r="AB103" s="29"/>
      <c r="AC103" s="29"/>
      <c r="AE103" s="29"/>
      <c r="AF103" s="29" t="s">
        <v>442</v>
      </c>
      <c r="AG103" s="279">
        <f>DEVSQ('stable S-SBR'!$AB$4:$AB$77)</f>
        <v>5.6355212802854755E-3</v>
      </c>
    </row>
    <row r="104" spans="1:44" x14ac:dyDescent="0.3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29"/>
      <c r="P104" s="29" t="s">
        <v>411</v>
      </c>
      <c r="Q104" s="29" t="s">
        <v>389</v>
      </c>
      <c r="R104" s="6">
        <f>STDEV('1-Influent'!$G$4:$G$48)</f>
        <v>570.17818953033634</v>
      </c>
      <c r="S104" s="29"/>
      <c r="T104" s="8" t="s">
        <v>398</v>
      </c>
      <c r="U104" s="8"/>
      <c r="V104" s="8"/>
      <c r="W104" s="8">
        <f>((U102-1)*W102+(U103-1)*W103)/(U102+U103-2)</f>
        <v>142991.79759630156</v>
      </c>
      <c r="X104" s="8">
        <f>ABS(V102-V103-X100)/SQRT(W104)</f>
        <v>0.92600847693144561</v>
      </c>
      <c r="Y104" s="29"/>
      <c r="Z104" s="29"/>
      <c r="AA104" s="29"/>
      <c r="AB104" s="29"/>
      <c r="AC104" s="29"/>
    </row>
    <row r="105" spans="1:44" x14ac:dyDescent="0.3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29"/>
      <c r="P105" s="29"/>
      <c r="Q105" s="29" t="s">
        <v>200</v>
      </c>
      <c r="R105" s="22">
        <f>COUNT('1-Influent'!$G$4:$G$48)</f>
        <v>30</v>
      </c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</row>
    <row r="106" spans="1:44" ht="15" thickBot="1" x14ac:dyDescent="0.3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29"/>
      <c r="P106" s="29"/>
      <c r="Q106" s="29" t="s">
        <v>174</v>
      </c>
      <c r="R106" s="6">
        <f>MIN('1-Influent'!$G$4:$G$48)</f>
        <v>3009</v>
      </c>
      <c r="S106" s="29"/>
      <c r="T106" s="29" t="s">
        <v>399</v>
      </c>
      <c r="U106" s="29"/>
      <c r="V106" s="29"/>
      <c r="W106" s="29"/>
      <c r="X106" s="29" t="s">
        <v>288</v>
      </c>
      <c r="Y106" s="29">
        <v>0.05</v>
      </c>
      <c r="Z106" s="29"/>
      <c r="AA106" s="29"/>
      <c r="AB106" s="29"/>
      <c r="AC106" s="29"/>
    </row>
    <row r="107" spans="1:44" ht="15" thickTop="1" x14ac:dyDescent="0.3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29"/>
      <c r="P107" s="29"/>
      <c r="Q107" s="29" t="s">
        <v>175</v>
      </c>
      <c r="R107" s="6">
        <f>MAX('1-Influent'!$G$4:$G$48)</f>
        <v>5678</v>
      </c>
      <c r="S107" s="29"/>
      <c r="T107" s="191" t="s">
        <v>400</v>
      </c>
      <c r="U107" s="191" t="s">
        <v>401</v>
      </c>
      <c r="V107" s="191" t="s">
        <v>402</v>
      </c>
      <c r="W107" s="191" t="s">
        <v>205</v>
      </c>
      <c r="X107" s="191" t="s">
        <v>311</v>
      </c>
      <c r="Y107" s="191" t="s">
        <v>403</v>
      </c>
      <c r="Z107" s="191" t="s">
        <v>404</v>
      </c>
      <c r="AA107" s="191" t="s">
        <v>405</v>
      </c>
      <c r="AB107" s="191" t="s">
        <v>406</v>
      </c>
      <c r="AC107" s="191" t="s">
        <v>407</v>
      </c>
    </row>
    <row r="108" spans="1:44" x14ac:dyDescent="0.3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29"/>
      <c r="P108" s="29" t="s">
        <v>432</v>
      </c>
      <c r="Q108" s="29" t="s">
        <v>388</v>
      </c>
      <c r="R108" s="6">
        <f>AVERAGE('1-Influent'!$G$49:$G$77)</f>
        <v>4597.1034482758623</v>
      </c>
      <c r="S108" s="29"/>
      <c r="T108" s="29" t="s">
        <v>408</v>
      </c>
      <c r="U108" s="29">
        <f>SQRT(W104*(1/U102+1/U103))</f>
        <v>90.393361828431864</v>
      </c>
      <c r="V108" s="29">
        <f>(ABS(V102-V103-X100))/U108</f>
        <v>3.8737713844012114</v>
      </c>
      <c r="W108" s="29">
        <f>U102+U103-2</f>
        <v>70</v>
      </c>
      <c r="X108" s="29">
        <f>TDIST(V108,W108,1)</f>
        <v>1.1923377000367405E-4</v>
      </c>
      <c r="Y108" s="29">
        <f>TINV(Y106*2,W108)</f>
        <v>1.6669144790559576</v>
      </c>
      <c r="Z108" s="29"/>
      <c r="AA108" s="29"/>
      <c r="AB108" s="183" t="str">
        <f>IF(X108&lt;Y106,"yes","no")</f>
        <v>yes</v>
      </c>
      <c r="AC108" s="29">
        <f>SQRT(V108^2/(V108^2+W108))</f>
        <v>0.4201544123820139</v>
      </c>
    </row>
    <row r="109" spans="1:44" x14ac:dyDescent="0.3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29"/>
      <c r="P109" s="29" t="s">
        <v>412</v>
      </c>
      <c r="Q109" s="29" t="s">
        <v>389</v>
      </c>
      <c r="R109" s="6">
        <f>STDEV('1-Influent'!$G$49:$G$96)</f>
        <v>279.67289334636502</v>
      </c>
      <c r="S109" s="29"/>
      <c r="T109" s="29" t="s">
        <v>409</v>
      </c>
      <c r="U109" s="29">
        <f>U108</f>
        <v>90.393361828431864</v>
      </c>
      <c r="V109" s="29">
        <f>V108</f>
        <v>3.8737713844012114</v>
      </c>
      <c r="W109" s="29">
        <f t="shared" ref="W109" si="12">W108</f>
        <v>70</v>
      </c>
      <c r="X109" s="29">
        <f>TDIST(V109,W109,2)</f>
        <v>2.384675400073481E-4</v>
      </c>
      <c r="Y109" s="29">
        <f>TINV(Y106,W109)</f>
        <v>1.9944371117711854</v>
      </c>
      <c r="Z109" s="29">
        <f>(V102-V103)-Y109*U109</f>
        <v>169.87934290241873</v>
      </c>
      <c r="AA109" s="29">
        <f>(V102-V103)+Y109*U109</f>
        <v>530.44709387918942</v>
      </c>
      <c r="AB109" s="183" t="str">
        <f>IF(X109&lt;Y106,"yes","no")</f>
        <v>yes</v>
      </c>
      <c r="AC109" s="29">
        <f>AC108</f>
        <v>0.4201544123820139</v>
      </c>
    </row>
    <row r="110" spans="1:44" x14ac:dyDescent="0.3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29"/>
      <c r="P110" s="29"/>
      <c r="Q110" s="29" t="s">
        <v>200</v>
      </c>
      <c r="R110" s="22">
        <f>COUNT('1-Influent'!$G$49:$G$90)</f>
        <v>42</v>
      </c>
      <c r="S110" s="29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44" ht="15" thickBot="1" x14ac:dyDescent="0.3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29"/>
      <c r="P111" s="29"/>
      <c r="Q111" s="29" t="s">
        <v>174</v>
      </c>
      <c r="R111" s="6">
        <f>MIN('1-Influent'!$G$49:$G$77)</f>
        <v>3822</v>
      </c>
      <c r="S111" s="29"/>
      <c r="T111" s="29" t="s">
        <v>410</v>
      </c>
      <c r="U111" s="29"/>
      <c r="V111" s="29"/>
      <c r="W111" s="29"/>
      <c r="X111" s="29" t="s">
        <v>288</v>
      </c>
      <c r="Y111" s="29">
        <f>Y106</f>
        <v>0.05</v>
      </c>
      <c r="Z111" s="29"/>
      <c r="AA111" s="29"/>
      <c r="AB111" s="29"/>
      <c r="AC111" s="29"/>
    </row>
    <row r="112" spans="1:44" ht="15" thickTop="1" x14ac:dyDescent="0.3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29"/>
      <c r="P112" s="29"/>
      <c r="Q112" s="29" t="s">
        <v>175</v>
      </c>
      <c r="R112" s="6">
        <f>MAX('1-Influent'!$G$49:$G$77)</f>
        <v>5227</v>
      </c>
      <c r="S112" s="29"/>
      <c r="T112" s="191" t="s">
        <v>400</v>
      </c>
      <c r="U112" s="191" t="s">
        <v>401</v>
      </c>
      <c r="V112" s="191" t="s">
        <v>402</v>
      </c>
      <c r="W112" s="191" t="s">
        <v>205</v>
      </c>
      <c r="X112" s="191" t="s">
        <v>311</v>
      </c>
      <c r="Y112" s="191" t="s">
        <v>403</v>
      </c>
      <c r="Z112" s="191" t="s">
        <v>404</v>
      </c>
      <c r="AA112" s="191" t="s">
        <v>405</v>
      </c>
      <c r="AB112" s="191" t="s">
        <v>406</v>
      </c>
      <c r="AC112" s="191" t="s">
        <v>407</v>
      </c>
    </row>
    <row r="113" spans="1:44" x14ac:dyDescent="0.3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29"/>
      <c r="P113" s="29"/>
      <c r="Q113" s="29"/>
      <c r="R113" s="29"/>
      <c r="S113" s="29"/>
      <c r="T113" s="29" t="s">
        <v>408</v>
      </c>
      <c r="U113" s="29">
        <f>SQRT(W102/U102+W103/U103)</f>
        <v>98.39364754270828</v>
      </c>
      <c r="V113" s="29">
        <f>(ABS(V102-V103-X100))/U113</f>
        <v>3.5587990397328642</v>
      </c>
      <c r="W113" s="29">
        <f>(W102/U102+W103/U103)^2/((W102/U102)^2/(U102-1)+(W103/U103)^2/(U103-1))</f>
        <v>42.744286493629886</v>
      </c>
      <c r="X113" s="29" t="e">
        <f ca="1">[1]!T_DIST_RT(V113,W113)</f>
        <v>#NAME?</v>
      </c>
      <c r="Y113" s="29" t="e">
        <f ca="1">[1]!T_INV(1-Y111,W113)</f>
        <v>#NAME?</v>
      </c>
      <c r="Z113" s="29"/>
      <c r="AA113" s="29"/>
      <c r="AB113" s="183" t="e">
        <f ca="1">IF(X113&lt;Y111,"yes","no")</f>
        <v>#NAME?</v>
      </c>
      <c r="AC113" s="29">
        <f>SQRT(V113^2/(V113^2+W113))</f>
        <v>0.4780925623940977</v>
      </c>
    </row>
    <row r="114" spans="1:44" x14ac:dyDescent="0.3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29"/>
      <c r="P114" s="29"/>
      <c r="Q114" s="29"/>
      <c r="R114" s="29"/>
      <c r="S114" s="29"/>
      <c r="T114" s="29" t="s">
        <v>409</v>
      </c>
      <c r="U114" s="29">
        <f>U113</f>
        <v>98.39364754270828</v>
      </c>
      <c r="V114" s="29">
        <f t="shared" ref="V114:W114" si="13">V113</f>
        <v>3.5587990397328642</v>
      </c>
      <c r="W114" s="29">
        <f t="shared" si="13"/>
        <v>42.744286493629886</v>
      </c>
      <c r="X114" s="29" t="e">
        <f ca="1">[1]!T_DIST_2T(V114,W114)</f>
        <v>#NAME?</v>
      </c>
      <c r="Y114" s="29" t="e">
        <f ca="1">[1]!T_INV_2T(Y111,W114)</f>
        <v>#NAME?</v>
      </c>
      <c r="Z114" s="29" t="e">
        <f ca="1">(V102-V103)-Y114*U114</f>
        <v>#NAME?</v>
      </c>
      <c r="AA114" s="29" t="e">
        <f ca="1">(V102-V103)+Y114*U114</f>
        <v>#NAME?</v>
      </c>
      <c r="AB114" s="183" t="e">
        <f ca="1">IF(X114&lt;Y111,"yes","no")</f>
        <v>#NAME?</v>
      </c>
      <c r="AC114" s="29">
        <f>AC113</f>
        <v>0.4780925623940977</v>
      </c>
    </row>
    <row r="115" spans="1:44" x14ac:dyDescent="0.3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</row>
    <row r="116" spans="1:44" x14ac:dyDescent="0.3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29" t="s">
        <v>422</v>
      </c>
      <c r="P116" s="362" t="s">
        <v>423</v>
      </c>
      <c r="Q116" s="362"/>
      <c r="R116" s="362"/>
      <c r="S116" s="362"/>
      <c r="T116" s="362"/>
      <c r="U116" s="362"/>
      <c r="V116" s="362"/>
      <c r="W116" s="362"/>
      <c r="X116" s="362"/>
      <c r="Y116" s="362"/>
      <c r="Z116" s="362"/>
      <c r="AA116" s="362"/>
      <c r="AB116" s="362"/>
      <c r="AC116" s="362"/>
      <c r="AD116" s="227" t="s">
        <v>478</v>
      </c>
      <c r="AE116" s="358" t="s">
        <v>462</v>
      </c>
      <c r="AF116" s="358"/>
      <c r="AG116" s="358"/>
      <c r="AH116" s="358"/>
      <c r="AI116" s="358"/>
      <c r="AJ116" s="358"/>
      <c r="AK116" s="358"/>
      <c r="AL116" s="358"/>
      <c r="AM116" s="358"/>
      <c r="AN116" s="358"/>
      <c r="AO116" s="358"/>
      <c r="AP116" s="358"/>
      <c r="AQ116" s="358"/>
      <c r="AR116" s="358"/>
    </row>
    <row r="117" spans="1:44" x14ac:dyDescent="0.3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29"/>
      <c r="P117" s="29" t="s">
        <v>430</v>
      </c>
      <c r="Q117" s="29" t="s">
        <v>388</v>
      </c>
      <c r="R117" s="6">
        <f>AVERAGE('1-Influent'!$K$4:$K$77)</f>
        <v>14.684915254237286</v>
      </c>
      <c r="S117" s="29"/>
      <c r="T117" s="29" t="s">
        <v>393</v>
      </c>
      <c r="U117" s="29"/>
      <c r="V117" s="29"/>
      <c r="W117" s="29"/>
      <c r="X117" s="29"/>
      <c r="Y117" s="29"/>
      <c r="Z117" s="29"/>
      <c r="AA117" s="29"/>
      <c r="AB117" s="29"/>
      <c r="AC117" s="29"/>
      <c r="AE117" s="29" t="s">
        <v>430</v>
      </c>
      <c r="AF117" s="29" t="s">
        <v>388</v>
      </c>
      <c r="AG117" s="6">
        <f>AVERAGE('stable S-SBR'!$AC$4:$AC$77)</f>
        <v>0.15296445337869449</v>
      </c>
    </row>
    <row r="118" spans="1:44" x14ac:dyDescent="0.3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29"/>
      <c r="P118" s="29" t="s">
        <v>307</v>
      </c>
      <c r="Q118" s="29" t="s">
        <v>389</v>
      </c>
      <c r="R118" s="6">
        <f>STDEV('1-Influent'!$K$4:$K$77)</f>
        <v>3.0608920115690799</v>
      </c>
      <c r="S118" s="29" t="s">
        <v>400</v>
      </c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E118" s="29" t="s">
        <v>307</v>
      </c>
      <c r="AF118" s="29" t="s">
        <v>389</v>
      </c>
      <c r="AG118" s="6">
        <f>STDEV('stable S-SBR'!$AC$4:$AC$77)</f>
        <v>0.1181939250677886</v>
      </c>
    </row>
    <row r="119" spans="1:44" ht="15" thickBot="1" x14ac:dyDescent="0.3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29"/>
      <c r="P119" s="29"/>
      <c r="Q119" s="29" t="s">
        <v>200</v>
      </c>
      <c r="R119" s="22">
        <f>COUNT('1-Influent'!$K$4:$K$77)</f>
        <v>59</v>
      </c>
      <c r="S119" s="29"/>
      <c r="T119" s="29" t="s">
        <v>394</v>
      </c>
      <c r="U119" s="29"/>
      <c r="V119" s="29"/>
      <c r="W119" s="29" t="s">
        <v>395</v>
      </c>
      <c r="X119" s="6">
        <v>0</v>
      </c>
      <c r="Y119" s="29"/>
      <c r="Z119" s="29"/>
      <c r="AA119" s="29"/>
      <c r="AB119" s="29"/>
      <c r="AC119" s="29"/>
      <c r="AE119" s="29"/>
      <c r="AF119" s="29" t="s">
        <v>200</v>
      </c>
      <c r="AG119" s="22">
        <f>COUNT('stable S-SBR'!$AC$4:$AC$77)</f>
        <v>44</v>
      </c>
    </row>
    <row r="120" spans="1:44" ht="15" thickTop="1" x14ac:dyDescent="0.3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29"/>
      <c r="P120" s="29"/>
      <c r="Q120" s="29" t="s">
        <v>174</v>
      </c>
      <c r="R120" s="6">
        <f>MIN('1-Influent'!$K$4:$K$77)</f>
        <v>8.6999999999999993</v>
      </c>
      <c r="S120" s="29"/>
      <c r="T120" s="191" t="s">
        <v>396</v>
      </c>
      <c r="U120" s="191" t="s">
        <v>290</v>
      </c>
      <c r="V120" s="191" t="s">
        <v>292</v>
      </c>
      <c r="W120" s="191" t="s">
        <v>293</v>
      </c>
      <c r="X120" s="191" t="s">
        <v>397</v>
      </c>
      <c r="Y120" s="29"/>
      <c r="Z120" s="29"/>
      <c r="AA120" s="29"/>
      <c r="AB120" s="29"/>
      <c r="AC120" s="29"/>
      <c r="AE120" s="29"/>
      <c r="AF120" s="29" t="s">
        <v>174</v>
      </c>
      <c r="AG120" s="6">
        <f>MIN('stable S-SBR'!$AC$4:$AC$77)</f>
        <v>1.7859933471747819E-5</v>
      </c>
    </row>
    <row r="121" spans="1:44" x14ac:dyDescent="0.3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29"/>
      <c r="P121" s="29"/>
      <c r="Q121" s="29" t="s">
        <v>175</v>
      </c>
      <c r="R121" s="6">
        <f>MAX('1-Influent'!$K$4:$K$77)</f>
        <v>23.16</v>
      </c>
      <c r="S121" s="29"/>
      <c r="T121" s="29" t="str">
        <f>P123</f>
        <v>Period 1</v>
      </c>
      <c r="U121" s="22">
        <f>R124</f>
        <v>30</v>
      </c>
      <c r="V121" s="6">
        <f>R122</f>
        <v>13.051333333333334</v>
      </c>
      <c r="W121" s="20">
        <f>R118^2</f>
        <v>9.3690599064874078</v>
      </c>
      <c r="X121" s="29"/>
      <c r="Y121" s="29"/>
      <c r="Z121" s="29"/>
      <c r="AA121" s="29"/>
      <c r="AB121" s="29"/>
      <c r="AC121" s="29"/>
      <c r="AE121" s="29"/>
      <c r="AF121" s="29" t="s">
        <v>175</v>
      </c>
      <c r="AG121" s="6">
        <f>MAX('stable S-SBR'!$AC$4:$AC$77)</f>
        <v>0.35557024793388431</v>
      </c>
    </row>
    <row r="122" spans="1:44" x14ac:dyDescent="0.3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29"/>
      <c r="P122" s="29" t="s">
        <v>431</v>
      </c>
      <c r="Q122" s="29" t="s">
        <v>388</v>
      </c>
      <c r="R122" s="6">
        <f>AVERAGE('1-Influent'!$K$4:$K$48)</f>
        <v>13.051333333333334</v>
      </c>
      <c r="S122" s="29"/>
      <c r="T122" s="29" t="str">
        <f>P128</f>
        <v>Period 2</v>
      </c>
      <c r="U122" s="22">
        <f>R129</f>
        <v>42</v>
      </c>
      <c r="V122" s="20">
        <f>R127</f>
        <v>16.374827586206894</v>
      </c>
      <c r="W122" s="20">
        <f>R128^2</f>
        <v>7.5813972727272905</v>
      </c>
      <c r="X122" s="29"/>
      <c r="Y122" s="29"/>
      <c r="Z122" s="29"/>
      <c r="AA122" s="29"/>
      <c r="AB122" s="29"/>
      <c r="AC122" s="29"/>
      <c r="AE122" s="29"/>
      <c r="AF122" s="29" t="s">
        <v>442</v>
      </c>
      <c r="AG122" s="6">
        <f>DEVSQ('stable S-SBR'!$AC$4:$AC$77)</f>
        <v>0.60070156868599089</v>
      </c>
    </row>
    <row r="123" spans="1:44" x14ac:dyDescent="0.3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29"/>
      <c r="P123" s="29" t="s">
        <v>411</v>
      </c>
      <c r="Q123" s="29" t="s">
        <v>389</v>
      </c>
      <c r="R123" s="6">
        <f>STDEV('1-Influent'!$K$4:$K$48)</f>
        <v>2.0572273495693341</v>
      </c>
      <c r="S123" s="29"/>
      <c r="T123" s="8" t="s">
        <v>398</v>
      </c>
      <c r="U123" s="8"/>
      <c r="V123" s="8"/>
      <c r="W123" s="8">
        <f>((U121-1)*W121+(U122-1)*W122)/(U121+U122-2)</f>
        <v>8.3220003638564801</v>
      </c>
      <c r="X123" s="8">
        <f>ABS(V121-V122-X119)/SQRT(W123)</f>
        <v>1.1520758338677406</v>
      </c>
      <c r="Y123" s="29"/>
      <c r="Z123" s="29"/>
      <c r="AA123" s="29"/>
      <c r="AB123" s="29"/>
      <c r="AC123" s="29"/>
    </row>
    <row r="124" spans="1:44" x14ac:dyDescent="0.3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29"/>
      <c r="P124" s="29"/>
      <c r="Q124" s="29" t="s">
        <v>200</v>
      </c>
      <c r="R124" s="22">
        <f>COUNT('1-Influent'!$K$4:$K$48)</f>
        <v>30</v>
      </c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</row>
    <row r="125" spans="1:44" ht="15" thickBot="1" x14ac:dyDescent="0.3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29"/>
      <c r="P125" s="29"/>
      <c r="Q125" s="29" t="s">
        <v>174</v>
      </c>
      <c r="R125" s="6">
        <f>MIN('1-Influent'!$K$4:$K$48)</f>
        <v>8.6999999999999993</v>
      </c>
      <c r="S125" s="29"/>
      <c r="T125" s="29" t="s">
        <v>399</v>
      </c>
      <c r="U125" s="29"/>
      <c r="V125" s="29"/>
      <c r="W125" s="29"/>
      <c r="X125" s="29" t="s">
        <v>288</v>
      </c>
      <c r="Y125" s="29">
        <v>0.05</v>
      </c>
      <c r="Z125" s="29"/>
      <c r="AA125" s="29"/>
      <c r="AB125" s="29"/>
      <c r="AC125" s="29"/>
    </row>
    <row r="126" spans="1:44" ht="15" thickTop="1" x14ac:dyDescent="0.3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29"/>
      <c r="P126" s="29"/>
      <c r="Q126" s="29" t="s">
        <v>175</v>
      </c>
      <c r="R126" s="6">
        <f>MAX('1-Influent'!$K$4:$K$48)</f>
        <v>18.79</v>
      </c>
      <c r="S126" s="29"/>
      <c r="T126" s="191" t="s">
        <v>400</v>
      </c>
      <c r="U126" s="191" t="s">
        <v>401</v>
      </c>
      <c r="V126" s="191" t="s">
        <v>402</v>
      </c>
      <c r="W126" s="191" t="s">
        <v>205</v>
      </c>
      <c r="X126" s="191" t="s">
        <v>311</v>
      </c>
      <c r="Y126" s="191" t="s">
        <v>403</v>
      </c>
      <c r="Z126" s="191" t="s">
        <v>404</v>
      </c>
      <c r="AA126" s="191" t="s">
        <v>405</v>
      </c>
      <c r="AB126" s="191" t="s">
        <v>406</v>
      </c>
      <c r="AC126" s="191" t="s">
        <v>407</v>
      </c>
    </row>
    <row r="127" spans="1:44" x14ac:dyDescent="0.3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29"/>
      <c r="P127" s="29" t="s">
        <v>432</v>
      </c>
      <c r="Q127" s="29" t="s">
        <v>388</v>
      </c>
      <c r="R127" s="6">
        <f>AVERAGE('1-Influent'!$K$49:$K$77)</f>
        <v>16.374827586206894</v>
      </c>
      <c r="S127" s="29"/>
      <c r="T127" s="29" t="s">
        <v>408</v>
      </c>
      <c r="U127" s="29">
        <f>SQRT(W123*(1/U121+1/U122))</f>
        <v>0.68959617018560648</v>
      </c>
      <c r="V127" s="29">
        <f>(ABS(V121-V122-X119))/U127</f>
        <v>4.8194789886652556</v>
      </c>
      <c r="W127" s="29">
        <f>U121+U122-2</f>
        <v>70</v>
      </c>
      <c r="X127" s="29">
        <f>TDIST(V127,W127,1)</f>
        <v>4.0398948909788736E-6</v>
      </c>
      <c r="Y127" s="29">
        <f>TINV(Y125*2,W127)</f>
        <v>1.6669144790559576</v>
      </c>
      <c r="Z127" s="29"/>
      <c r="AA127" s="29"/>
      <c r="AB127" s="183" t="str">
        <f>IF(X127&lt;Y125,"yes","no")</f>
        <v>yes</v>
      </c>
      <c r="AC127" s="29">
        <f>SQRT(V127^2/(V127^2+W127))</f>
        <v>0.49914687548671105</v>
      </c>
    </row>
    <row r="128" spans="1:44" x14ac:dyDescent="0.3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29"/>
      <c r="P128" s="29" t="s">
        <v>412</v>
      </c>
      <c r="Q128" s="29" t="s">
        <v>389</v>
      </c>
      <c r="R128" s="6">
        <f>STDEV('1-Influent'!$K$49:$K$96)</f>
        <v>2.7534337240484454</v>
      </c>
      <c r="S128" s="29"/>
      <c r="T128" s="29" t="s">
        <v>409</v>
      </c>
      <c r="U128" s="29">
        <f>U127</f>
        <v>0.68959617018560648</v>
      </c>
      <c r="V128" s="29">
        <f>V127</f>
        <v>4.8194789886652556</v>
      </c>
      <c r="W128" s="29">
        <f t="shared" ref="W128" si="14">W127</f>
        <v>70</v>
      </c>
      <c r="X128" s="29">
        <f>TDIST(V128,W128,2)</f>
        <v>8.0797897819577472E-6</v>
      </c>
      <c r="Y128" s="29">
        <f>TINV(Y125,W128)</f>
        <v>1.9944371117711854</v>
      </c>
      <c r="Z128" s="29">
        <f>(V121-V122)-Y128*U128</f>
        <v>-4.698850446827012</v>
      </c>
      <c r="AA128" s="29">
        <f>(V121-V122)+Y128*U128</f>
        <v>-1.9481380589201087</v>
      </c>
      <c r="AB128" s="183" t="str">
        <f>IF(X128&lt;Y125,"yes","no")</f>
        <v>yes</v>
      </c>
      <c r="AC128" s="29">
        <f>AC127</f>
        <v>0.49914687548671105</v>
      </c>
    </row>
    <row r="129" spans="1:44" x14ac:dyDescent="0.3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29"/>
      <c r="P129" s="29"/>
      <c r="Q129" s="29" t="s">
        <v>200</v>
      </c>
      <c r="R129" s="22">
        <f>COUNT('1-Influent'!$K$49:$K$90)</f>
        <v>42</v>
      </c>
      <c r="S129" s="29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44" ht="15" thickBot="1" x14ac:dyDescent="0.3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29"/>
      <c r="P130" s="29"/>
      <c r="Q130" s="29" t="s">
        <v>174</v>
      </c>
      <c r="R130" s="6">
        <f>MIN('1-Influent'!$K$49:$K$77)</f>
        <v>12.04</v>
      </c>
      <c r="S130" s="29"/>
      <c r="T130" s="29" t="s">
        <v>410</v>
      </c>
      <c r="U130" s="29"/>
      <c r="V130" s="29"/>
      <c r="W130" s="29"/>
      <c r="X130" s="29" t="s">
        <v>288</v>
      </c>
      <c r="Y130" s="29">
        <f>Y125</f>
        <v>0.05</v>
      </c>
      <c r="Z130" s="29"/>
      <c r="AA130" s="29"/>
      <c r="AB130" s="29"/>
      <c r="AC130" s="29"/>
    </row>
    <row r="131" spans="1:44" ht="15" thickTop="1" x14ac:dyDescent="0.3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29"/>
      <c r="P131" s="29"/>
      <c r="Q131" s="29" t="s">
        <v>175</v>
      </c>
      <c r="R131" s="6">
        <f>MAX('1-Influent'!$K$49:$K$77)</f>
        <v>23.16</v>
      </c>
      <c r="S131" s="29"/>
      <c r="T131" s="191" t="s">
        <v>400</v>
      </c>
      <c r="U131" s="191" t="s">
        <v>401</v>
      </c>
      <c r="V131" s="191" t="s">
        <v>402</v>
      </c>
      <c r="W131" s="191" t="s">
        <v>205</v>
      </c>
      <c r="X131" s="191" t="s">
        <v>311</v>
      </c>
      <c r="Y131" s="191" t="s">
        <v>403</v>
      </c>
      <c r="Z131" s="191" t="s">
        <v>404</v>
      </c>
      <c r="AA131" s="191" t="s">
        <v>405</v>
      </c>
      <c r="AB131" s="191" t="s">
        <v>406</v>
      </c>
      <c r="AC131" s="191" t="s">
        <v>407</v>
      </c>
    </row>
    <row r="132" spans="1:44" x14ac:dyDescent="0.3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29"/>
      <c r="P132" s="29"/>
      <c r="Q132" s="29"/>
      <c r="R132" s="29"/>
      <c r="S132" s="29"/>
      <c r="T132" s="29" t="s">
        <v>408</v>
      </c>
      <c r="U132" s="29">
        <f>SQRT(W121/U121+W122/U122)</f>
        <v>0.70200531034841385</v>
      </c>
      <c r="V132" s="29">
        <f>(ABS(V121-V122-X119))/U132</f>
        <v>4.7342864845624453</v>
      </c>
      <c r="W132" s="29">
        <f>(W121/U121+W122/U122)^2/((W121/U121)^2/(U121-1)+(W122/U122)^2/(U122-1))</f>
        <v>58.409842882818587</v>
      </c>
      <c r="X132" s="29" t="e">
        <f ca="1">[1]!T_DIST_RT(V132,W132)</f>
        <v>#NAME?</v>
      </c>
      <c r="Y132" s="29" t="e">
        <f ca="1">[1]!T_INV(1-Y130,W132)</f>
        <v>#NAME?</v>
      </c>
      <c r="Z132" s="29"/>
      <c r="AA132" s="29"/>
      <c r="AB132" s="183" t="e">
        <f ca="1">IF(X132&lt;Y130,"yes","no")</f>
        <v>#NAME?</v>
      </c>
      <c r="AC132" s="29">
        <f>SQRT(V132^2/(V132^2+W132))</f>
        <v>0.52660649927886827</v>
      </c>
    </row>
    <row r="133" spans="1:44" x14ac:dyDescent="0.3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29"/>
      <c r="P133" s="29"/>
      <c r="Q133" s="29"/>
      <c r="R133" s="29"/>
      <c r="S133" s="29"/>
      <c r="T133" s="29" t="s">
        <v>409</v>
      </c>
      <c r="U133" s="29">
        <f>U132</f>
        <v>0.70200531034841385</v>
      </c>
      <c r="V133" s="29">
        <f t="shared" ref="V133:W133" si="15">V132</f>
        <v>4.7342864845624453</v>
      </c>
      <c r="W133" s="29">
        <f t="shared" si="15"/>
        <v>58.409842882818587</v>
      </c>
      <c r="X133" s="29" t="e">
        <f ca="1">[1]!T_DIST_2T(V133,W133)</f>
        <v>#NAME?</v>
      </c>
      <c r="Y133" s="29" t="e">
        <f ca="1">[1]!T_INV_2T(Y130,W133)</f>
        <v>#NAME?</v>
      </c>
      <c r="Z133" s="29" t="e">
        <f ca="1">(V121-V122)-Y133*U133</f>
        <v>#NAME?</v>
      </c>
      <c r="AA133" s="29" t="e">
        <f ca="1">(V121-V122)+Y133*U133</f>
        <v>#NAME?</v>
      </c>
      <c r="AB133" s="183" t="e">
        <f ca="1">IF(X133&lt;Y130,"yes","no")</f>
        <v>#NAME?</v>
      </c>
      <c r="AC133" s="29">
        <f>AC132</f>
        <v>0.52660649927886827</v>
      </c>
    </row>
    <row r="134" spans="1:44" x14ac:dyDescent="0.3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</row>
    <row r="135" spans="1:44" x14ac:dyDescent="0.3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29" t="s">
        <v>98</v>
      </c>
      <c r="P135" s="362" t="s">
        <v>424</v>
      </c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227" t="s">
        <v>235</v>
      </c>
      <c r="AE135" s="358" t="s">
        <v>469</v>
      </c>
      <c r="AF135" s="358"/>
      <c r="AG135" s="358"/>
      <c r="AH135" s="358"/>
      <c r="AI135" s="358"/>
      <c r="AJ135" s="358"/>
      <c r="AK135" s="358"/>
      <c r="AL135" s="358"/>
      <c r="AM135" s="358"/>
      <c r="AN135" s="358"/>
      <c r="AO135" s="358"/>
      <c r="AP135" s="358"/>
      <c r="AQ135" s="358"/>
      <c r="AR135" s="358"/>
    </row>
    <row r="136" spans="1:44" x14ac:dyDescent="0.3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29"/>
      <c r="P136" s="29" t="s">
        <v>430</v>
      </c>
      <c r="Q136" s="29" t="s">
        <v>388</v>
      </c>
      <c r="R136" s="6">
        <f>AVERAGE('1-Influent'!$P$4:$P$77)</f>
        <v>1301.0210169491529</v>
      </c>
      <c r="S136" s="29"/>
      <c r="T136" s="29" t="s">
        <v>393</v>
      </c>
      <c r="U136" s="29"/>
      <c r="V136" s="29"/>
      <c r="W136" s="29"/>
      <c r="X136" s="29"/>
      <c r="Y136" s="29"/>
      <c r="Z136" s="29"/>
      <c r="AA136" s="29"/>
      <c r="AB136" s="29"/>
      <c r="AC136" s="29"/>
      <c r="AE136" s="29" t="s">
        <v>430</v>
      </c>
      <c r="AF136" s="29" t="s">
        <v>388</v>
      </c>
      <c r="AG136" s="6">
        <f>AVERAGE('stable S-SBR'!$Q$4:$Q$77)</f>
        <v>405.15909090909093</v>
      </c>
    </row>
    <row r="137" spans="1:44" x14ac:dyDescent="0.3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29"/>
      <c r="P137" s="29" t="s">
        <v>307</v>
      </c>
      <c r="Q137" s="29" t="s">
        <v>389</v>
      </c>
      <c r="R137" s="6">
        <f>STDEV('1-Influent'!$P$4:$P$77)</f>
        <v>128.13342827040609</v>
      </c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E137" s="29" t="s">
        <v>307</v>
      </c>
      <c r="AF137" s="29" t="s">
        <v>389</v>
      </c>
      <c r="AG137" s="6">
        <f>STDEV('stable S-SBR'!$Q$4:$Q$77)</f>
        <v>1089.8070841268689</v>
      </c>
    </row>
    <row r="138" spans="1:44" ht="15" thickBot="1" x14ac:dyDescent="0.3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29"/>
      <c r="P138" s="29"/>
      <c r="Q138" s="29" t="s">
        <v>200</v>
      </c>
      <c r="R138" s="22">
        <f>COUNT('1-Influent'!$P$4:$P$77)</f>
        <v>59</v>
      </c>
      <c r="S138" s="29"/>
      <c r="T138" s="29" t="s">
        <v>394</v>
      </c>
      <c r="U138" s="29"/>
      <c r="V138" s="29"/>
      <c r="W138" s="29" t="s">
        <v>395</v>
      </c>
      <c r="X138" s="6">
        <v>0</v>
      </c>
      <c r="Y138" s="29"/>
      <c r="Z138" s="29"/>
      <c r="AA138" s="29"/>
      <c r="AB138" s="29"/>
      <c r="AC138" s="29"/>
      <c r="AE138" s="29"/>
      <c r="AF138" s="29" t="s">
        <v>200</v>
      </c>
      <c r="AG138" s="22">
        <f>COUNT('stable S-SBR'!$Q$4:$Q$77)</f>
        <v>44</v>
      </c>
    </row>
    <row r="139" spans="1:44" ht="15" thickTop="1" x14ac:dyDescent="0.3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29"/>
      <c r="P139" s="29"/>
      <c r="Q139" s="29" t="s">
        <v>174</v>
      </c>
      <c r="R139" s="6">
        <f>MIN('1-Influent'!$P$4:$P$77)</f>
        <v>861.04</v>
      </c>
      <c r="S139" s="29"/>
      <c r="T139" s="191" t="s">
        <v>396</v>
      </c>
      <c r="U139" s="191" t="s">
        <v>290</v>
      </c>
      <c r="V139" s="191" t="s">
        <v>292</v>
      </c>
      <c r="W139" s="191" t="s">
        <v>293</v>
      </c>
      <c r="X139" s="191" t="s">
        <v>397</v>
      </c>
      <c r="Y139" s="29"/>
      <c r="Z139" s="29"/>
      <c r="AA139" s="29"/>
      <c r="AB139" s="29"/>
      <c r="AC139" s="29"/>
      <c r="AE139" s="29"/>
      <c r="AF139" s="29" t="s">
        <v>174</v>
      </c>
      <c r="AG139" s="6">
        <f>MIN('stable S-SBR'!$Q$4:$Q$77)</f>
        <v>52</v>
      </c>
    </row>
    <row r="140" spans="1:44" x14ac:dyDescent="0.3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29"/>
      <c r="P140" s="29"/>
      <c r="Q140" s="29" t="s">
        <v>175</v>
      </c>
      <c r="R140" s="6">
        <f>MAX('1-Influent'!$P$4:$P$77)</f>
        <v>1501.4</v>
      </c>
      <c r="S140" s="29"/>
      <c r="T140" s="29" t="str">
        <f>P142</f>
        <v>Period 1</v>
      </c>
      <c r="U140" s="22">
        <f>R143</f>
        <v>30</v>
      </c>
      <c r="V140" s="6">
        <f>R141</f>
        <v>1341.7446666666667</v>
      </c>
      <c r="W140" s="20">
        <f>R137^2</f>
        <v>16418.175440327301</v>
      </c>
      <c r="X140" s="29"/>
      <c r="Y140" s="29"/>
      <c r="Z140" s="29"/>
      <c r="AA140" s="29"/>
      <c r="AB140" s="29"/>
      <c r="AC140" s="29"/>
      <c r="AE140" s="29"/>
      <c r="AF140" s="29" t="s">
        <v>175</v>
      </c>
      <c r="AG140" s="6">
        <f>MAX('stable S-SBR'!$Q$4:$Q$77)</f>
        <v>6164</v>
      </c>
    </row>
    <row r="141" spans="1:44" x14ac:dyDescent="0.3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29"/>
      <c r="P141" s="29" t="s">
        <v>431</v>
      </c>
      <c r="Q141" s="29" t="s">
        <v>388</v>
      </c>
      <c r="R141" s="6">
        <f>AVERAGE('1-Influent'!$P$4:$P$48)</f>
        <v>1341.7446666666667</v>
      </c>
      <c r="S141" s="29"/>
      <c r="T141" s="29" t="str">
        <f>P147</f>
        <v>Period 2</v>
      </c>
      <c r="U141" s="22">
        <f>R148</f>
        <v>42</v>
      </c>
      <c r="V141" s="20">
        <f>R146</f>
        <v>1258.893103448276</v>
      </c>
      <c r="W141" s="20">
        <f>R147^2</f>
        <v>7772.4413845454574</v>
      </c>
      <c r="X141" s="29"/>
      <c r="Y141" s="29"/>
      <c r="Z141" s="29"/>
      <c r="AA141" s="29"/>
      <c r="AB141" s="29"/>
      <c r="AC141" s="29"/>
      <c r="AE141" s="29"/>
      <c r="AF141" s="29" t="s">
        <v>442</v>
      </c>
      <c r="AG141" s="6">
        <f>DEVSQ('stable S-SBR'!$Q$4:$Q$77)</f>
        <v>51070217.666363634</v>
      </c>
    </row>
    <row r="142" spans="1:44" x14ac:dyDescent="0.3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29"/>
      <c r="P142" s="29" t="s">
        <v>411</v>
      </c>
      <c r="Q142" s="29" t="s">
        <v>389</v>
      </c>
      <c r="R142" s="6">
        <f>STDEV('1-Influent'!$P$4:$P$48)</f>
        <v>147.5202868277693</v>
      </c>
      <c r="S142" s="29"/>
      <c r="T142" s="8" t="s">
        <v>398</v>
      </c>
      <c r="U142" s="8"/>
      <c r="V142" s="8"/>
      <c r="W142" s="8">
        <f>((U140-1)*W140+(U141-1)*W141)/(U140+U141-2)</f>
        <v>11354.245493369363</v>
      </c>
      <c r="X142" s="8">
        <f>ABS(V140-V141-X138)/SQRT(W142)</f>
        <v>0.77753789942596951</v>
      </c>
      <c r="Y142" s="29"/>
      <c r="Z142" s="29"/>
      <c r="AA142" s="29"/>
      <c r="AB142" s="29"/>
      <c r="AC142" s="29"/>
    </row>
    <row r="143" spans="1:44" x14ac:dyDescent="0.3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29"/>
      <c r="P143" s="29"/>
      <c r="Q143" s="29" t="s">
        <v>200</v>
      </c>
      <c r="R143" s="22">
        <f>COUNT('1-Influent'!$P$4:$P$48)</f>
        <v>30</v>
      </c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</row>
    <row r="144" spans="1:44" ht="15" thickBot="1" x14ac:dyDescent="0.3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29"/>
      <c r="P144" s="29"/>
      <c r="Q144" s="29" t="s">
        <v>174</v>
      </c>
      <c r="R144" s="6">
        <f>MIN('1-Influent'!$P$4:$P$48)</f>
        <v>861.04</v>
      </c>
      <c r="S144" s="29"/>
      <c r="T144" s="29" t="s">
        <v>399</v>
      </c>
      <c r="U144" s="29"/>
      <c r="V144" s="29"/>
      <c r="W144" s="29"/>
      <c r="X144" s="29" t="s">
        <v>288</v>
      </c>
      <c r="Y144" s="29">
        <v>0.05</v>
      </c>
      <c r="Z144" s="29"/>
      <c r="AA144" s="29"/>
      <c r="AB144" s="29"/>
      <c r="AC144" s="29"/>
    </row>
    <row r="145" spans="1:44" ht="15" thickTop="1" x14ac:dyDescent="0.3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29"/>
      <c r="P145" s="29"/>
      <c r="Q145" s="29" t="s">
        <v>175</v>
      </c>
      <c r="R145" s="6">
        <f>MAX('1-Influent'!$P$4:$P$48)</f>
        <v>1501.4</v>
      </c>
      <c r="S145" s="29"/>
      <c r="T145" s="191" t="s">
        <v>400</v>
      </c>
      <c r="U145" s="191" t="s">
        <v>401</v>
      </c>
      <c r="V145" s="191" t="s">
        <v>402</v>
      </c>
      <c r="W145" s="191" t="s">
        <v>205</v>
      </c>
      <c r="X145" s="191" t="s">
        <v>311</v>
      </c>
      <c r="Y145" s="191" t="s">
        <v>403</v>
      </c>
      <c r="Z145" s="191" t="s">
        <v>404</v>
      </c>
      <c r="AA145" s="191" t="s">
        <v>405</v>
      </c>
      <c r="AB145" s="191" t="s">
        <v>406</v>
      </c>
      <c r="AC145" s="191" t="s">
        <v>407</v>
      </c>
    </row>
    <row r="146" spans="1:44" x14ac:dyDescent="0.3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29"/>
      <c r="P146" s="29" t="s">
        <v>432</v>
      </c>
      <c r="Q146" s="29" t="s">
        <v>388</v>
      </c>
      <c r="R146" s="6">
        <f>AVERAGE('1-Influent'!$P$49:$P$77)</f>
        <v>1258.893103448276</v>
      </c>
      <c r="S146" s="29"/>
      <c r="T146" s="29" t="s">
        <v>408</v>
      </c>
      <c r="U146" s="29">
        <f>SQRT(W142*(1/U140+1/U141))</f>
        <v>25.471828128199498</v>
      </c>
      <c r="V146" s="29">
        <f>(ABS(V140-V141-X138))/U146</f>
        <v>3.2526743978249044</v>
      </c>
      <c r="W146" s="29">
        <f>U140+U141-2</f>
        <v>70</v>
      </c>
      <c r="X146" s="29">
        <f>TDIST(V146,W146,1)</f>
        <v>8.8043696825587496E-4</v>
      </c>
      <c r="Y146" s="29">
        <f>TINV(Y144*2,W146)</f>
        <v>1.6669144790559576</v>
      </c>
      <c r="Z146" s="29"/>
      <c r="AA146" s="29"/>
      <c r="AB146" s="183" t="str">
        <f>IF(X146&lt;Y144,"yes","no")</f>
        <v>yes</v>
      </c>
      <c r="AC146" s="29">
        <f>SQRT(V146^2/(V146^2+W146))</f>
        <v>0.36234915612647328</v>
      </c>
    </row>
    <row r="147" spans="1:44" x14ac:dyDescent="0.3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29"/>
      <c r="P147" s="29" t="s">
        <v>412</v>
      </c>
      <c r="Q147" s="29" t="s">
        <v>389</v>
      </c>
      <c r="R147" s="6">
        <f>STDEV('1-Influent'!$P$49:$P$96)</f>
        <v>88.161450671738933</v>
      </c>
      <c r="S147" s="29"/>
      <c r="T147" s="29" t="s">
        <v>409</v>
      </c>
      <c r="U147" s="29">
        <f>U146</f>
        <v>25.471828128199498</v>
      </c>
      <c r="V147" s="29">
        <f>V146</f>
        <v>3.2526743978249044</v>
      </c>
      <c r="W147" s="29">
        <f t="shared" ref="W147" si="16">W146</f>
        <v>70</v>
      </c>
      <c r="X147" s="29">
        <f>TDIST(V147,W147,2)</f>
        <v>1.7608739365117499E-3</v>
      </c>
      <c r="Y147" s="29">
        <f>TINV(Y144,W147)</f>
        <v>1.9944371117711854</v>
      </c>
      <c r="Z147" s="29">
        <f>(V140-V141)-Y147*U147</f>
        <v>32.049603894852517</v>
      </c>
      <c r="AA147" s="29">
        <f>(V140-V141)+Y147*U147</f>
        <v>133.65352254192902</v>
      </c>
      <c r="AB147" s="183" t="str">
        <f>IF(X147&lt;Y144,"yes","no")</f>
        <v>yes</v>
      </c>
      <c r="AC147" s="29">
        <f>AC146</f>
        <v>0.36234915612647328</v>
      </c>
    </row>
    <row r="148" spans="1:44" x14ac:dyDescent="0.3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29"/>
      <c r="P148" s="29"/>
      <c r="Q148" s="29" t="s">
        <v>200</v>
      </c>
      <c r="R148" s="22">
        <f>COUNT('1-Influent'!$P$49:$P$90)</f>
        <v>42</v>
      </c>
      <c r="S148" s="29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44" ht="15" thickBot="1" x14ac:dyDescent="0.3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29"/>
      <c r="P149" s="29"/>
      <c r="Q149" s="29" t="s">
        <v>174</v>
      </c>
      <c r="R149" s="6">
        <f>MIN('1-Influent'!$P$49:$P$77)</f>
        <v>1018.3</v>
      </c>
      <c r="S149" s="29"/>
      <c r="T149" s="29" t="s">
        <v>410</v>
      </c>
      <c r="U149" s="29"/>
      <c r="V149" s="29"/>
      <c r="W149" s="29"/>
      <c r="X149" s="29" t="s">
        <v>288</v>
      </c>
      <c r="Y149" s="29">
        <f>Y144</f>
        <v>0.05</v>
      </c>
      <c r="Z149" s="29"/>
      <c r="AA149" s="29"/>
      <c r="AB149" s="29"/>
      <c r="AC149" s="29"/>
    </row>
    <row r="150" spans="1:44" ht="15" thickTop="1" x14ac:dyDescent="0.3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29"/>
      <c r="P150" s="29"/>
      <c r="Q150" s="29" t="s">
        <v>175</v>
      </c>
      <c r="R150" s="6">
        <f>MAX('1-Influent'!$P$49:$P$77)</f>
        <v>1400.9</v>
      </c>
      <c r="S150" s="29"/>
      <c r="T150" s="191" t="s">
        <v>400</v>
      </c>
      <c r="U150" s="191" t="s">
        <v>401</v>
      </c>
      <c r="V150" s="191" t="s">
        <v>402</v>
      </c>
      <c r="W150" s="191" t="s">
        <v>205</v>
      </c>
      <c r="X150" s="191" t="s">
        <v>311</v>
      </c>
      <c r="Y150" s="191" t="s">
        <v>403</v>
      </c>
      <c r="Z150" s="191" t="s">
        <v>404</v>
      </c>
      <c r="AA150" s="191" t="s">
        <v>405</v>
      </c>
      <c r="AB150" s="191" t="s">
        <v>406</v>
      </c>
      <c r="AC150" s="191" t="s">
        <v>407</v>
      </c>
    </row>
    <row r="151" spans="1:44" x14ac:dyDescent="0.3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29"/>
      <c r="P151" s="29"/>
      <c r="Q151" s="29"/>
      <c r="R151" s="212"/>
      <c r="S151" s="29"/>
      <c r="T151" s="29" t="s">
        <v>408</v>
      </c>
      <c r="U151" s="29">
        <f>SQRT(W140/U140+W141/U141)</f>
        <v>27.061608283341922</v>
      </c>
      <c r="V151" s="29">
        <f>(ABS(V140-V141-X138))/U151</f>
        <v>3.0615905141672966</v>
      </c>
      <c r="W151" s="29">
        <f>(W140/U140+W141/U141)^2/((W140/U140)^2/(U140-1)+(W141/U141)^2/(U141-1))</f>
        <v>48.042876063632164</v>
      </c>
      <c r="X151" s="29" t="e">
        <f ca="1">[1]!T_DIST_RT(V151,W151)</f>
        <v>#NAME?</v>
      </c>
      <c r="Y151" s="29" t="e">
        <f ca="1">[1]!T_INV(1-Y149,W151)</f>
        <v>#NAME?</v>
      </c>
      <c r="Z151" s="29"/>
      <c r="AA151" s="29"/>
      <c r="AB151" s="183" t="e">
        <f ca="1">IF(X151&lt;Y149,"yes","no")</f>
        <v>#NAME?</v>
      </c>
      <c r="AC151" s="29">
        <f>SQRT(V151^2/(V151^2+W151))</f>
        <v>0.40404508967607267</v>
      </c>
    </row>
    <row r="152" spans="1:44" x14ac:dyDescent="0.3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29"/>
      <c r="P152" s="29"/>
      <c r="Q152" s="29"/>
      <c r="R152" s="29"/>
      <c r="S152" s="29"/>
      <c r="T152" s="29" t="s">
        <v>409</v>
      </c>
      <c r="U152" s="29">
        <f>U151</f>
        <v>27.061608283341922</v>
      </c>
      <c r="V152" s="29">
        <f t="shared" ref="V152:W152" si="17">V151</f>
        <v>3.0615905141672966</v>
      </c>
      <c r="W152" s="29">
        <f t="shared" si="17"/>
        <v>48.042876063632164</v>
      </c>
      <c r="X152" s="29" t="e">
        <f ca="1">[1]!T_DIST_2T(V152,W152)</f>
        <v>#NAME?</v>
      </c>
      <c r="Y152" s="29" t="e">
        <f ca="1">[1]!T_INV_2T(Y149,W152)</f>
        <v>#NAME?</v>
      </c>
      <c r="Z152" s="29" t="e">
        <f ca="1">(V140-V141)-Y152*U152</f>
        <v>#NAME?</v>
      </c>
      <c r="AA152" s="29" t="e">
        <f ca="1">(V140-V141)+Y152*U152</f>
        <v>#NAME?</v>
      </c>
      <c r="AB152" s="183" t="e">
        <f ca="1">IF(X152&lt;Y149,"yes","no")</f>
        <v>#NAME?</v>
      </c>
      <c r="AC152" s="29">
        <f>AC151</f>
        <v>0.40404508967607267</v>
      </c>
    </row>
    <row r="153" spans="1:44" x14ac:dyDescent="0.3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</row>
    <row r="154" spans="1:44" x14ac:dyDescent="0.3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29" t="s">
        <v>235</v>
      </c>
      <c r="P154" s="362" t="s">
        <v>425</v>
      </c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  <c r="AA154" s="362"/>
      <c r="AB154" s="362"/>
      <c r="AC154" s="362"/>
      <c r="AD154" s="227" t="s">
        <v>96</v>
      </c>
      <c r="AE154" s="358" t="s">
        <v>463</v>
      </c>
      <c r="AF154" s="358"/>
      <c r="AG154" s="358"/>
      <c r="AH154" s="358"/>
      <c r="AI154" s="358"/>
      <c r="AJ154" s="358"/>
      <c r="AK154" s="358"/>
      <c r="AL154" s="358"/>
      <c r="AM154" s="358"/>
      <c r="AN154" s="358"/>
      <c r="AO154" s="358"/>
      <c r="AP154" s="358"/>
      <c r="AQ154" s="358"/>
      <c r="AR154" s="358"/>
    </row>
    <row r="155" spans="1:44" x14ac:dyDescent="0.3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29"/>
      <c r="P155" s="29" t="s">
        <v>430</v>
      </c>
      <c r="Q155" s="29" t="s">
        <v>388</v>
      </c>
      <c r="R155" s="6">
        <f>AVERAGE('1-Influent'!$Q$4:$Q$77)</f>
        <v>4.3599830508474602</v>
      </c>
      <c r="S155" s="29"/>
      <c r="T155" s="29" t="s">
        <v>393</v>
      </c>
      <c r="U155" s="29"/>
      <c r="V155" s="29"/>
      <c r="W155" s="29"/>
      <c r="X155" s="29"/>
      <c r="Y155" s="29"/>
      <c r="Z155" s="29"/>
      <c r="AA155" s="29"/>
      <c r="AB155" s="29"/>
      <c r="AC155" s="29"/>
      <c r="AE155" s="29" t="s">
        <v>430</v>
      </c>
      <c r="AF155" s="29" t="s">
        <v>388</v>
      </c>
      <c r="AG155" s="6">
        <f>AVERAGE('stable S-SBR'!$N$4:$N$77)</f>
        <v>1269.325227272727</v>
      </c>
    </row>
    <row r="156" spans="1:44" x14ac:dyDescent="0.3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29"/>
      <c r="P156" s="29" t="s">
        <v>307</v>
      </c>
      <c r="Q156" s="29" t="s">
        <v>389</v>
      </c>
      <c r="R156" s="6">
        <f>STDEV('1-Influent'!$Q$4:$Q$77)</f>
        <v>9.2932735008594598</v>
      </c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E156" s="29" t="s">
        <v>307</v>
      </c>
      <c r="AF156" s="29" t="s">
        <v>389</v>
      </c>
      <c r="AG156" s="6">
        <f>STDEV('stable S-SBR'!$N$4:$N$77)</f>
        <v>385.70969500503645</v>
      </c>
    </row>
    <row r="157" spans="1:44" ht="15" thickBot="1" x14ac:dyDescent="0.3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29"/>
      <c r="P157" s="29"/>
      <c r="Q157" s="29" t="s">
        <v>200</v>
      </c>
      <c r="R157" s="22">
        <f>COUNT('1-Influent'!$Q$4:$Q$77)</f>
        <v>59</v>
      </c>
      <c r="S157" s="29"/>
      <c r="T157" s="29" t="s">
        <v>394</v>
      </c>
      <c r="U157" s="29"/>
      <c r="V157" s="29"/>
      <c r="W157" s="29" t="s">
        <v>395</v>
      </c>
      <c r="X157" s="6">
        <v>0</v>
      </c>
      <c r="Y157" s="29"/>
      <c r="Z157" s="29"/>
      <c r="AA157" s="29"/>
      <c r="AB157" s="29"/>
      <c r="AC157" s="29"/>
      <c r="AE157" s="29"/>
      <c r="AF157" s="29" t="s">
        <v>200</v>
      </c>
      <c r="AG157" s="22">
        <f>COUNT('stable S-SBR'!$N$4:$N$77)</f>
        <v>44</v>
      </c>
    </row>
    <row r="158" spans="1:44" ht="15" thickTop="1" x14ac:dyDescent="0.3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29"/>
      <c r="P158" s="29"/>
      <c r="Q158" s="29" t="s">
        <v>174</v>
      </c>
      <c r="R158" s="6">
        <f>MIN('1-Influent'!$Q$4:$Q$77)</f>
        <v>8.0000000000000002E-3</v>
      </c>
      <c r="S158" s="29"/>
      <c r="T158" s="191" t="s">
        <v>396</v>
      </c>
      <c r="U158" s="191" t="s">
        <v>290</v>
      </c>
      <c r="V158" s="191" t="s">
        <v>292</v>
      </c>
      <c r="W158" s="191" t="s">
        <v>293</v>
      </c>
      <c r="X158" s="191" t="s">
        <v>397</v>
      </c>
      <c r="Y158" s="29"/>
      <c r="Z158" s="29"/>
      <c r="AA158" s="29"/>
      <c r="AB158" s="29"/>
      <c r="AC158" s="29"/>
      <c r="AE158" s="29"/>
      <c r="AF158" s="29" t="s">
        <v>174</v>
      </c>
      <c r="AG158" s="6">
        <f>MIN('stable S-SBR'!$N$4:$N$77)</f>
        <v>911.25000000000011</v>
      </c>
    </row>
    <row r="159" spans="1:44" x14ac:dyDescent="0.3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29"/>
      <c r="P159" s="29"/>
      <c r="Q159" s="29" t="s">
        <v>175</v>
      </c>
      <c r="R159" s="6">
        <f>MAX('1-Influent'!$Q$4:$Q$77)</f>
        <v>39.195999999999998</v>
      </c>
      <c r="S159" s="29"/>
      <c r="T159" s="29" t="str">
        <f>P161</f>
        <v>Period 1</v>
      </c>
      <c r="U159" s="22">
        <f>R162</f>
        <v>30</v>
      </c>
      <c r="V159" s="6">
        <f>R160</f>
        <v>5.738033333333334</v>
      </c>
      <c r="W159" s="20">
        <f>R156^2</f>
        <v>86.364932361776638</v>
      </c>
      <c r="X159" s="29"/>
      <c r="Y159" s="29"/>
      <c r="Z159" s="29"/>
      <c r="AA159" s="29"/>
      <c r="AB159" s="29"/>
      <c r="AC159" s="29"/>
      <c r="AE159" s="29"/>
      <c r="AF159" s="29" t="s">
        <v>175</v>
      </c>
      <c r="AG159" s="6">
        <f>MAX('stable S-SBR'!$N$4:$N$77)</f>
        <v>3478.9500000000003</v>
      </c>
    </row>
    <row r="160" spans="1:44" x14ac:dyDescent="0.3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29"/>
      <c r="P160" s="29" t="s">
        <v>431</v>
      </c>
      <c r="Q160" s="29" t="s">
        <v>388</v>
      </c>
      <c r="R160" s="6">
        <f>AVERAGE('1-Influent'!$Q$4:$Q$48)</f>
        <v>5.738033333333334</v>
      </c>
      <c r="S160" s="29"/>
      <c r="T160" s="29" t="str">
        <f>P166</f>
        <v>Period 2</v>
      </c>
      <c r="U160" s="22">
        <f>R167</f>
        <v>42</v>
      </c>
      <c r="V160" s="20">
        <f>R165</f>
        <v>2.9344137931034484</v>
      </c>
      <c r="W160" s="20">
        <f>R166^2</f>
        <v>40.756982772727298</v>
      </c>
      <c r="X160" s="29"/>
      <c r="Y160" s="29"/>
      <c r="Z160" s="29"/>
      <c r="AA160" s="29"/>
      <c r="AB160" s="29"/>
      <c r="AC160" s="29"/>
      <c r="AE160" s="29"/>
      <c r="AF160" s="29" t="s">
        <v>442</v>
      </c>
      <c r="AG160" s="6">
        <f>DEVSQ('stable S-SBR'!$N$4:$N$77)</f>
        <v>6397194.659297728</v>
      </c>
    </row>
    <row r="161" spans="1:44" x14ac:dyDescent="0.3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29"/>
      <c r="P161" s="29" t="s">
        <v>411</v>
      </c>
      <c r="Q161" s="29" t="s">
        <v>389</v>
      </c>
      <c r="R161" s="6">
        <f>STDEV('1-Influent'!$Q$4:$Q$48)</f>
        <v>11.874262830065335</v>
      </c>
      <c r="S161" s="29"/>
      <c r="T161" s="8" t="s">
        <v>398</v>
      </c>
      <c r="U161" s="8"/>
      <c r="V161" s="8"/>
      <c r="W161" s="8">
        <f>((U159-1)*W159+(U160-1)*W160)/(U159+U160-2)</f>
        <v>59.651704745333454</v>
      </c>
      <c r="X161" s="8">
        <f>ABS(V159-V160-X157)/SQRT(W161)</f>
        <v>0.36300085537233262</v>
      </c>
      <c r="Y161" s="29"/>
      <c r="Z161" s="29"/>
      <c r="AA161" s="29"/>
      <c r="AB161" s="29"/>
      <c r="AC161" s="29"/>
    </row>
    <row r="162" spans="1:44" x14ac:dyDescent="0.3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29"/>
      <c r="P162" s="29"/>
      <c r="Q162" s="29" t="s">
        <v>200</v>
      </c>
      <c r="R162" s="22">
        <f>COUNT('1-Influent'!$Q$4:$Q$48)</f>
        <v>30</v>
      </c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</row>
    <row r="163" spans="1:44" ht="15" thickBot="1" x14ac:dyDescent="0.3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29"/>
      <c r="P163" s="29"/>
      <c r="Q163" s="29" t="s">
        <v>174</v>
      </c>
      <c r="R163" s="6">
        <f>MIN('1-Influent'!$Q$4:$Q$48)</f>
        <v>8.0000000000000002E-3</v>
      </c>
      <c r="S163" s="29"/>
      <c r="T163" s="29" t="s">
        <v>399</v>
      </c>
      <c r="U163" s="29"/>
      <c r="V163" s="29"/>
      <c r="W163" s="29"/>
      <c r="X163" s="29" t="s">
        <v>288</v>
      </c>
      <c r="Y163" s="29">
        <v>0.05</v>
      </c>
      <c r="Z163" s="29"/>
      <c r="AA163" s="29"/>
      <c r="AB163" s="29"/>
      <c r="AC163" s="29"/>
    </row>
    <row r="164" spans="1:44" ht="15" thickTop="1" x14ac:dyDescent="0.3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29"/>
      <c r="P164" s="29"/>
      <c r="Q164" s="29" t="s">
        <v>175</v>
      </c>
      <c r="R164" s="6">
        <f>MAX('1-Influent'!$Q$4:$Q$48)</f>
        <v>39.195999999999998</v>
      </c>
      <c r="S164" s="29"/>
      <c r="T164" s="191" t="s">
        <v>400</v>
      </c>
      <c r="U164" s="191" t="s">
        <v>401</v>
      </c>
      <c r="V164" s="191" t="s">
        <v>402</v>
      </c>
      <c r="W164" s="191" t="s">
        <v>205</v>
      </c>
      <c r="X164" s="191" t="s">
        <v>311</v>
      </c>
      <c r="Y164" s="191" t="s">
        <v>403</v>
      </c>
      <c r="Z164" s="191" t="s">
        <v>404</v>
      </c>
      <c r="AA164" s="191" t="s">
        <v>405</v>
      </c>
      <c r="AB164" s="191" t="s">
        <v>406</v>
      </c>
      <c r="AC164" s="191" t="s">
        <v>407</v>
      </c>
    </row>
    <row r="165" spans="1:44" x14ac:dyDescent="0.3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29"/>
      <c r="P165" s="29" t="s">
        <v>432</v>
      </c>
      <c r="Q165" s="29" t="s">
        <v>388</v>
      </c>
      <c r="R165" s="6">
        <f>AVERAGE('1-Influent'!$Q$49:$Q$77)</f>
        <v>2.9344137931034484</v>
      </c>
      <c r="S165" s="29"/>
      <c r="T165" s="29" t="s">
        <v>408</v>
      </c>
      <c r="U165" s="29">
        <f>SQRT(W161*(1/U159+1/U160))</f>
        <v>1.8462580650035041</v>
      </c>
      <c r="V165" s="29">
        <f>(ABS(V159-V160-X157))/U165</f>
        <v>1.5185415264385396</v>
      </c>
      <c r="W165" s="29">
        <f>U159+U160-2</f>
        <v>70</v>
      </c>
      <c r="X165" s="29">
        <f>TDIST(V165,W165,1)</f>
        <v>6.6690891290019969E-2</v>
      </c>
      <c r="Y165" s="29">
        <f>TINV(Y163*2,W165)</f>
        <v>1.6669144790559576</v>
      </c>
      <c r="Z165" s="29"/>
      <c r="AA165" s="29"/>
      <c r="AB165" s="183" t="str">
        <f>IF(X165&lt;Y163,"yes","no")</f>
        <v>no</v>
      </c>
      <c r="AC165" s="29">
        <f>SQRT(V165^2/(V165^2+W165))</f>
        <v>0.17858278821614806</v>
      </c>
    </row>
    <row r="166" spans="1:44" x14ac:dyDescent="0.3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29"/>
      <c r="P166" s="29" t="s">
        <v>412</v>
      </c>
      <c r="Q166" s="29" t="s">
        <v>389</v>
      </c>
      <c r="R166" s="6">
        <f>STDEV('1-Influent'!$Q$49:$Q$96)</f>
        <v>6.3841195769445997</v>
      </c>
      <c r="S166" s="29"/>
      <c r="T166" s="29" t="s">
        <v>409</v>
      </c>
      <c r="U166" s="29">
        <f>U165</f>
        <v>1.8462580650035041</v>
      </c>
      <c r="V166" s="29">
        <f>V165</f>
        <v>1.5185415264385396</v>
      </c>
      <c r="W166" s="29">
        <f t="shared" ref="W166" si="18">W165</f>
        <v>70</v>
      </c>
      <c r="X166" s="29">
        <f>TDIST(V166,W166,2)</f>
        <v>0.13338178258003994</v>
      </c>
      <c r="Y166" s="29">
        <f>TINV(Y163,W166)</f>
        <v>1.9944371117711854</v>
      </c>
      <c r="Z166" s="29">
        <f>(V159-V160)-Y166*U166</f>
        <v>-0.87862606251996045</v>
      </c>
      <c r="AA166" s="29">
        <f>(V159-V160)+Y166*U166</f>
        <v>6.4858651429797316</v>
      </c>
      <c r="AB166" s="183" t="str">
        <f>IF(X166&lt;Y163,"yes","no")</f>
        <v>no</v>
      </c>
      <c r="AC166" s="29">
        <f>AC165</f>
        <v>0.17858278821614806</v>
      </c>
    </row>
    <row r="167" spans="1:44" x14ac:dyDescent="0.3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29"/>
      <c r="P167" s="29"/>
      <c r="Q167" s="29" t="s">
        <v>200</v>
      </c>
      <c r="R167" s="22">
        <f>COUNT('1-Influent'!$Q$49:$Q$90)</f>
        <v>42</v>
      </c>
      <c r="S167" s="29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44" ht="15" thickBot="1" x14ac:dyDescent="0.3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29"/>
      <c r="P168" s="29"/>
      <c r="Q168" s="29" t="s">
        <v>174</v>
      </c>
      <c r="R168" s="6">
        <f>MIN('1-Influent'!$Q$49:$Q$77)</f>
        <v>8.0000000000000002E-3</v>
      </c>
      <c r="S168" s="29"/>
      <c r="T168" s="29" t="s">
        <v>410</v>
      </c>
      <c r="U168" s="29"/>
      <c r="V168" s="29"/>
      <c r="W168" s="29"/>
      <c r="X168" s="29" t="s">
        <v>288</v>
      </c>
      <c r="Y168" s="29">
        <f>Y163</f>
        <v>0.05</v>
      </c>
      <c r="Z168" s="29"/>
      <c r="AA168" s="29"/>
      <c r="AB168" s="29"/>
      <c r="AC168" s="29"/>
    </row>
    <row r="169" spans="1:44" ht="15" thickTop="1" x14ac:dyDescent="0.3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29"/>
      <c r="P169" s="29"/>
      <c r="Q169" s="29" t="s">
        <v>175</v>
      </c>
      <c r="R169" s="6">
        <f>MAX('1-Influent'!$Q$49:$Q$77)</f>
        <v>16.995000000000001</v>
      </c>
      <c r="S169" s="29"/>
      <c r="T169" s="191" t="s">
        <v>400</v>
      </c>
      <c r="U169" s="191" t="s">
        <v>401</v>
      </c>
      <c r="V169" s="191" t="s">
        <v>402</v>
      </c>
      <c r="W169" s="191" t="s">
        <v>205</v>
      </c>
      <c r="X169" s="191" t="s">
        <v>311</v>
      </c>
      <c r="Y169" s="191" t="s">
        <v>403</v>
      </c>
      <c r="Z169" s="191" t="s">
        <v>404</v>
      </c>
      <c r="AA169" s="191" t="s">
        <v>405</v>
      </c>
      <c r="AB169" s="191" t="s">
        <v>406</v>
      </c>
      <c r="AC169" s="191" t="s">
        <v>407</v>
      </c>
    </row>
    <row r="170" spans="1:44" x14ac:dyDescent="0.3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29"/>
      <c r="P170" s="29"/>
      <c r="Q170" s="29"/>
      <c r="R170" s="212"/>
      <c r="S170" s="29"/>
      <c r="T170" s="29" t="s">
        <v>408</v>
      </c>
      <c r="U170" s="29">
        <f>SQRT(W159/U159+W160/U160)</f>
        <v>1.9619468470010828</v>
      </c>
      <c r="V170" s="29">
        <f>(ABS(V159-V160-X157))/U170</f>
        <v>1.4289987236480612</v>
      </c>
      <c r="W170" s="29">
        <f>(W159/U159+W160/U160)^2/((W159/U159)^2/(U159-1)+(W160/U160)^2/(U160-1))</f>
        <v>47.989095680076694</v>
      </c>
      <c r="X170" s="29" t="e">
        <f ca="1">[1]!T_DIST_RT(V170,W170)</f>
        <v>#NAME?</v>
      </c>
      <c r="Y170" s="29" t="e">
        <f ca="1">[1]!T_INV(1-Y168,W170)</f>
        <v>#NAME?</v>
      </c>
      <c r="Z170" s="29"/>
      <c r="AA170" s="29"/>
      <c r="AB170" s="183" t="e">
        <f ca="1">IF(X170&lt;Y168,"yes","no")</f>
        <v>#NAME?</v>
      </c>
      <c r="AC170" s="29">
        <f>SQRT(V170^2/(V170^2+W170))</f>
        <v>0.20202804988963352</v>
      </c>
    </row>
    <row r="171" spans="1:44" x14ac:dyDescent="0.3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29"/>
      <c r="P171" s="29"/>
      <c r="Q171" s="29"/>
      <c r="R171" s="29"/>
      <c r="S171" s="29"/>
      <c r="T171" s="29" t="s">
        <v>409</v>
      </c>
      <c r="U171" s="29">
        <f>U170</f>
        <v>1.9619468470010828</v>
      </c>
      <c r="V171" s="29">
        <f t="shared" ref="V171:W171" si="19">V170</f>
        <v>1.4289987236480612</v>
      </c>
      <c r="W171" s="29">
        <f t="shared" si="19"/>
        <v>47.989095680076694</v>
      </c>
      <c r="X171" s="29" t="e">
        <f ca="1">[1]!T_DIST_2T(V171,W171)</f>
        <v>#NAME?</v>
      </c>
      <c r="Y171" s="29" t="e">
        <f ca="1">[1]!T_INV_2T(Y168,W171)</f>
        <v>#NAME?</v>
      </c>
      <c r="Z171" s="29" t="e">
        <f ca="1">(V159-V160)-Y171*U171</f>
        <v>#NAME?</v>
      </c>
      <c r="AA171" s="29" t="e">
        <f ca="1">(V159-V160)+Y171*U171</f>
        <v>#NAME?</v>
      </c>
      <c r="AB171" s="183" t="e">
        <f ca="1">IF(X171&lt;Y168,"yes","no")</f>
        <v>#NAME?</v>
      </c>
      <c r="AC171" s="29">
        <f>AC170</f>
        <v>0.20202804988963352</v>
      </c>
    </row>
    <row r="172" spans="1:44" x14ac:dyDescent="0.3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</row>
    <row r="173" spans="1:44" x14ac:dyDescent="0.3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29" t="s">
        <v>427</v>
      </c>
      <c r="P173" s="362" t="s">
        <v>426</v>
      </c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  <c r="AB173" s="362"/>
      <c r="AC173" s="362"/>
      <c r="AD173" s="227" t="s">
        <v>98</v>
      </c>
      <c r="AE173" s="358" t="s">
        <v>464</v>
      </c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</row>
    <row r="174" spans="1:44" x14ac:dyDescent="0.3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29"/>
      <c r="P174" s="29" t="s">
        <v>430</v>
      </c>
      <c r="Q174" s="29" t="s">
        <v>388</v>
      </c>
      <c r="R174" s="6">
        <f>AVERAGE('1-Influent'!$R$4:$R$77)</f>
        <v>0.63222033898305086</v>
      </c>
      <c r="S174" s="29"/>
      <c r="T174" s="29" t="s">
        <v>393</v>
      </c>
      <c r="U174" s="29"/>
      <c r="V174" s="29"/>
      <c r="W174" s="29"/>
      <c r="X174" s="29"/>
      <c r="Y174" s="29"/>
      <c r="Z174" s="29"/>
      <c r="AA174" s="29"/>
      <c r="AB174" s="29"/>
      <c r="AC174" s="29"/>
      <c r="AE174" s="29" t="s">
        <v>430</v>
      </c>
      <c r="AF174" s="29" t="s">
        <v>388</v>
      </c>
      <c r="AG174" s="6">
        <f>AVERAGE('stable S-SBR'!$P$4:$P$77)</f>
        <v>7.9340909090909086</v>
      </c>
    </row>
    <row r="175" spans="1:44" x14ac:dyDescent="0.3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29"/>
      <c r="P175" s="29" t="s">
        <v>307</v>
      </c>
      <c r="Q175" s="29" t="s">
        <v>389</v>
      </c>
      <c r="R175" s="6">
        <f>STDEV('1-Influent'!$R$4:$R$77)</f>
        <v>1.8709295593717357</v>
      </c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E175" s="29" t="s">
        <v>307</v>
      </c>
      <c r="AF175" s="29" t="s">
        <v>389</v>
      </c>
      <c r="AG175" s="6">
        <f>STDEV('stable S-SBR'!$P$4:$P$77)</f>
        <v>0.25052798369265616</v>
      </c>
    </row>
    <row r="176" spans="1:44" ht="15" thickBot="1" x14ac:dyDescent="0.3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29"/>
      <c r="P176" s="29"/>
      <c r="Q176" s="29" t="s">
        <v>200</v>
      </c>
      <c r="R176" s="22">
        <f>COUNT('1-Influent'!$R$4:$R$77)</f>
        <v>59</v>
      </c>
      <c r="S176" s="29"/>
      <c r="T176" s="29" t="s">
        <v>394</v>
      </c>
      <c r="U176" s="29"/>
      <c r="V176" s="29"/>
      <c r="W176" s="29" t="s">
        <v>395</v>
      </c>
      <c r="X176" s="6">
        <v>0</v>
      </c>
      <c r="Y176" s="29"/>
      <c r="Z176" s="29"/>
      <c r="AA176" s="29"/>
      <c r="AB176" s="29"/>
      <c r="AC176" s="29"/>
      <c r="AE176" s="29"/>
      <c r="AF176" s="29" t="s">
        <v>200</v>
      </c>
      <c r="AG176" s="22">
        <f>COUNT('stable S-SBR'!$P$4:$P$77)</f>
        <v>44</v>
      </c>
    </row>
    <row r="177" spans="1:44" ht="15" thickTop="1" x14ac:dyDescent="0.3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29"/>
      <c r="P177" s="29"/>
      <c r="Q177" s="29" t="s">
        <v>174</v>
      </c>
      <c r="R177" s="6">
        <f>MIN('1-Influent'!$R$4:$R$77)</f>
        <v>2.200000000000002E-2</v>
      </c>
      <c r="S177" s="29"/>
      <c r="T177" s="191" t="s">
        <v>396</v>
      </c>
      <c r="U177" s="191" t="s">
        <v>290</v>
      </c>
      <c r="V177" s="191" t="s">
        <v>292</v>
      </c>
      <c r="W177" s="191" t="s">
        <v>293</v>
      </c>
      <c r="X177" s="191" t="s">
        <v>397</v>
      </c>
      <c r="Y177" s="29"/>
      <c r="Z177" s="29"/>
      <c r="AA177" s="29"/>
      <c r="AB177" s="29"/>
      <c r="AC177" s="29"/>
      <c r="AE177" s="29"/>
      <c r="AF177" s="29" t="s">
        <v>174</v>
      </c>
      <c r="AG177" s="6">
        <f>MIN('stable S-SBR'!$P$4:$P$77)</f>
        <v>7.4</v>
      </c>
    </row>
    <row r="178" spans="1:44" x14ac:dyDescent="0.3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29"/>
      <c r="P178" s="29"/>
      <c r="Q178" s="29" t="s">
        <v>175</v>
      </c>
      <c r="R178" s="6">
        <f>MAX('1-Influent'!$R$4:$R$77)</f>
        <v>10.778</v>
      </c>
      <c r="S178" s="29"/>
      <c r="T178" s="29" t="str">
        <f>P180</f>
        <v>Period 1</v>
      </c>
      <c r="U178" s="22">
        <f>R181</f>
        <v>30</v>
      </c>
      <c r="V178" s="6">
        <f>R179</f>
        <v>0.57513333333333327</v>
      </c>
      <c r="W178" s="20">
        <f>R175^2</f>
        <v>3.5003774161309171</v>
      </c>
      <c r="X178" s="29"/>
      <c r="Y178" s="29"/>
      <c r="Z178" s="29"/>
      <c r="AA178" s="29"/>
      <c r="AB178" s="29"/>
      <c r="AC178" s="29"/>
      <c r="AE178" s="29"/>
      <c r="AF178" s="29" t="s">
        <v>175</v>
      </c>
      <c r="AG178" s="6">
        <f>MAX('stable S-SBR'!$P$4:$P$77)</f>
        <v>9.1999999999999993</v>
      </c>
    </row>
    <row r="179" spans="1:44" x14ac:dyDescent="0.3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29"/>
      <c r="P179" s="29" t="s">
        <v>431</v>
      </c>
      <c r="Q179" s="29" t="s">
        <v>388</v>
      </c>
      <c r="R179" s="6">
        <f>AVERAGE('1-Influent'!$R$4:$R$48)</f>
        <v>0.57513333333333327</v>
      </c>
      <c r="S179" s="29"/>
      <c r="T179" s="29" t="str">
        <f>P185</f>
        <v>Period 2</v>
      </c>
      <c r="U179" s="22">
        <f>R186</f>
        <v>42</v>
      </c>
      <c r="V179" s="20">
        <f>R184</f>
        <v>0.69127586206896541</v>
      </c>
      <c r="W179" s="20">
        <f>R185^2</f>
        <v>23.400778946464651</v>
      </c>
      <c r="X179" s="29"/>
      <c r="Y179" s="29"/>
      <c r="Z179" s="29"/>
      <c r="AA179" s="29"/>
      <c r="AB179" s="29"/>
      <c r="AC179" s="29"/>
      <c r="AE179" s="29"/>
      <c r="AF179" s="29" t="s">
        <v>442</v>
      </c>
      <c r="AG179" s="6">
        <f>DEVSQ('stable S-SBR'!$P$4:$P$77)</f>
        <v>2.6988636363636354</v>
      </c>
    </row>
    <row r="180" spans="1:44" x14ac:dyDescent="0.3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29"/>
      <c r="P180" s="29" t="s">
        <v>411</v>
      </c>
      <c r="Q180" s="29" t="s">
        <v>389</v>
      </c>
      <c r="R180" s="6">
        <f>STDEV('1-Influent'!$R$4:$R$48)</f>
        <v>1.9359318656672155</v>
      </c>
      <c r="S180" s="29"/>
      <c r="T180" s="8" t="s">
        <v>398</v>
      </c>
      <c r="U180" s="8"/>
      <c r="V180" s="8"/>
      <c r="W180" s="8">
        <f>((U178-1)*W178+(U179-1)*W179)/(U178+U179-2)</f>
        <v>15.156326883897817</v>
      </c>
      <c r="X180" s="8">
        <f>ABS(V178-V179-X176)/SQRT(W180)</f>
        <v>2.9832819184812481E-2</v>
      </c>
      <c r="Y180" s="29"/>
      <c r="Z180" s="29"/>
      <c r="AA180" s="29"/>
      <c r="AB180" s="29"/>
      <c r="AC180" s="29"/>
    </row>
    <row r="181" spans="1:44" x14ac:dyDescent="0.3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29"/>
      <c r="P181" s="29"/>
      <c r="Q181" s="29" t="s">
        <v>200</v>
      </c>
      <c r="R181" s="22">
        <f>COUNT('1-Influent'!$R$4:$R$48)</f>
        <v>30</v>
      </c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</row>
    <row r="182" spans="1:44" ht="15" thickBot="1" x14ac:dyDescent="0.3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29"/>
      <c r="P182" s="29"/>
      <c r="Q182" s="29" t="s">
        <v>174</v>
      </c>
      <c r="R182" s="6">
        <f>MIN('1-Influent'!$R$4:$R$48)</f>
        <v>2.8000000000000025E-2</v>
      </c>
      <c r="S182" s="29"/>
      <c r="T182" s="29" t="s">
        <v>399</v>
      </c>
      <c r="U182" s="29"/>
      <c r="V182" s="29"/>
      <c r="W182" s="29"/>
      <c r="X182" s="29" t="s">
        <v>288</v>
      </c>
      <c r="Y182" s="29">
        <v>0.05</v>
      </c>
      <c r="Z182" s="29"/>
      <c r="AA182" s="29"/>
      <c r="AB182" s="29"/>
      <c r="AC182" s="29"/>
    </row>
    <row r="183" spans="1:44" ht="15" thickTop="1" x14ac:dyDescent="0.3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29"/>
      <c r="P183" s="29"/>
      <c r="Q183" s="29" t="s">
        <v>175</v>
      </c>
      <c r="R183" s="6">
        <f>MAX('1-Influent'!$R$4:$R$48)</f>
        <v>10.778</v>
      </c>
      <c r="S183" s="29"/>
      <c r="T183" s="191" t="s">
        <v>400</v>
      </c>
      <c r="U183" s="191" t="s">
        <v>401</v>
      </c>
      <c r="V183" s="191" t="s">
        <v>402</v>
      </c>
      <c r="W183" s="191" t="s">
        <v>205</v>
      </c>
      <c r="X183" s="191" t="s">
        <v>311</v>
      </c>
      <c r="Y183" s="191" t="s">
        <v>403</v>
      </c>
      <c r="Z183" s="191" t="s">
        <v>404</v>
      </c>
      <c r="AA183" s="191" t="s">
        <v>405</v>
      </c>
      <c r="AB183" s="191" t="s">
        <v>406</v>
      </c>
      <c r="AC183" s="191" t="s">
        <v>407</v>
      </c>
    </row>
    <row r="184" spans="1:44" x14ac:dyDescent="0.3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29"/>
      <c r="P184" s="29" t="s">
        <v>432</v>
      </c>
      <c r="Q184" s="29" t="s">
        <v>388</v>
      </c>
      <c r="R184" s="6">
        <f>AVERAGE('1-Influent'!$R$49:$R$77)</f>
        <v>0.69127586206896541</v>
      </c>
      <c r="S184" s="29"/>
      <c r="T184" s="29" t="s">
        <v>408</v>
      </c>
      <c r="U184" s="29">
        <f>SQRT(W180*(1/U178+1/U179))</f>
        <v>0.93063194762323631</v>
      </c>
      <c r="V184" s="29">
        <f>(ABS(V178-V179-X176))/U184</f>
        <v>0.12479963645375745</v>
      </c>
      <c r="W184" s="29">
        <f>U178+U179-2</f>
        <v>70</v>
      </c>
      <c r="X184" s="29">
        <f>TDIST(V184,W184,1)</f>
        <v>0.45051994093826897</v>
      </c>
      <c r="Y184" s="29">
        <f>TINV(Y182*2,W184)</f>
        <v>1.6669144790559576</v>
      </c>
      <c r="Z184" s="29"/>
      <c r="AA184" s="29"/>
      <c r="AB184" s="183" t="str">
        <f>IF(X184&lt;Y182,"yes","no")</f>
        <v>no</v>
      </c>
      <c r="AC184" s="29">
        <f>SQRT(V184^2/(V184^2+W184))</f>
        <v>1.4914750424113001E-2</v>
      </c>
    </row>
    <row r="185" spans="1:44" x14ac:dyDescent="0.3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29"/>
      <c r="P185" s="29" t="s">
        <v>412</v>
      </c>
      <c r="Q185" s="29" t="s">
        <v>389</v>
      </c>
      <c r="R185" s="6">
        <f>STDEV('1-Influent'!$R$49:$R$96)</f>
        <v>4.8374351619907685</v>
      </c>
      <c r="S185" s="29"/>
      <c r="T185" s="29" t="s">
        <v>409</v>
      </c>
      <c r="U185" s="29">
        <f>U184</f>
        <v>0.93063194762323631</v>
      </c>
      <c r="V185" s="29">
        <f>V184</f>
        <v>0.12479963645375745</v>
      </c>
      <c r="W185" s="29">
        <f t="shared" ref="W185" si="20">W184</f>
        <v>70</v>
      </c>
      <c r="X185" s="29">
        <f>TDIST(V185,W185,2)</f>
        <v>0.90103988187653794</v>
      </c>
      <c r="Y185" s="29">
        <f>TINV(Y182,W185)</f>
        <v>1.9944371117711854</v>
      </c>
      <c r="Z185" s="29">
        <f>(V178-V179)-Y185*U185</f>
        <v>-1.9722294224753127</v>
      </c>
      <c r="AA185" s="29">
        <f>(V178-V179)+Y185*U185</f>
        <v>1.7399443650040485</v>
      </c>
      <c r="AB185" s="183" t="str">
        <f>IF(X185&lt;Y182,"yes","no")</f>
        <v>no</v>
      </c>
      <c r="AC185" s="29">
        <f>AC184</f>
        <v>1.4914750424113001E-2</v>
      </c>
    </row>
    <row r="186" spans="1:44" x14ac:dyDescent="0.3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29"/>
      <c r="P186" s="29"/>
      <c r="Q186" s="29" t="s">
        <v>200</v>
      </c>
      <c r="R186" s="22">
        <f>COUNT('1-Influent'!$R$49:$R$90)</f>
        <v>42</v>
      </c>
      <c r="S186" s="29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44" ht="15" thickBot="1" x14ac:dyDescent="0.3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29"/>
      <c r="P187" s="29"/>
      <c r="Q187" s="29" t="s">
        <v>174</v>
      </c>
      <c r="R187" s="6">
        <f>MIN('1-Influent'!$R$49:$R$77)</f>
        <v>2.200000000000002E-2</v>
      </c>
      <c r="S187" s="29"/>
      <c r="T187" s="29" t="s">
        <v>410</v>
      </c>
      <c r="U187" s="29"/>
      <c r="V187" s="29"/>
      <c r="W187" s="29"/>
      <c r="X187" s="29" t="s">
        <v>288</v>
      </c>
      <c r="Y187" s="29">
        <f>Y182</f>
        <v>0.05</v>
      </c>
      <c r="Z187" s="29"/>
      <c r="AA187" s="29"/>
      <c r="AB187" s="29"/>
      <c r="AC187" s="29"/>
    </row>
    <row r="188" spans="1:44" ht="15" thickTop="1" x14ac:dyDescent="0.3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29"/>
      <c r="P188" s="29"/>
      <c r="Q188" s="29" t="s">
        <v>175</v>
      </c>
      <c r="R188" s="6">
        <f>MAX('1-Influent'!$R$49:$R$77)</f>
        <v>9.3920000000000012</v>
      </c>
      <c r="S188" s="29"/>
      <c r="T188" s="191" t="s">
        <v>400</v>
      </c>
      <c r="U188" s="191" t="s">
        <v>401</v>
      </c>
      <c r="V188" s="191" t="s">
        <v>402</v>
      </c>
      <c r="W188" s="191" t="s">
        <v>205</v>
      </c>
      <c r="X188" s="191" t="s">
        <v>311</v>
      </c>
      <c r="Y188" s="191" t="s">
        <v>403</v>
      </c>
      <c r="Z188" s="191" t="s">
        <v>404</v>
      </c>
      <c r="AA188" s="191" t="s">
        <v>405</v>
      </c>
      <c r="AB188" s="191" t="s">
        <v>406</v>
      </c>
      <c r="AC188" s="191" t="s">
        <v>407</v>
      </c>
    </row>
    <row r="189" spans="1:44" x14ac:dyDescent="0.3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29"/>
      <c r="P189" s="29"/>
      <c r="Q189" s="29"/>
      <c r="R189" s="212"/>
      <c r="S189" s="29"/>
      <c r="T189" s="29" t="s">
        <v>408</v>
      </c>
      <c r="U189" s="29">
        <f>SQRT(W178/U178+W179/U179)</f>
        <v>0.82087797551866226</v>
      </c>
      <c r="V189" s="29">
        <f>(ABS(V178-V179-X176))/U189</f>
        <v>0.14148574112035206</v>
      </c>
      <c r="W189" s="29">
        <f>(W178/U178+W179/U179)^2/((W178/U178)^2/(U178-1)+(W179/U179)^2/(U179-1))</f>
        <v>56.469062350862856</v>
      </c>
      <c r="X189" s="29" t="e">
        <f ca="1">[1]!T_DIST_RT(V189,W189)</f>
        <v>#NAME?</v>
      </c>
      <c r="Y189" s="29" t="e">
        <f ca="1">[1]!T_INV(1-Y187,W189)</f>
        <v>#NAME?</v>
      </c>
      <c r="Z189" s="29"/>
      <c r="AA189" s="29"/>
      <c r="AB189" s="183" t="e">
        <f ca="1">IF(X189&lt;Y187,"yes","no")</f>
        <v>#NAME?</v>
      </c>
      <c r="AC189" s="29">
        <f>SQRT(V189^2/(V189^2+W189))</f>
        <v>1.8824802174311806E-2</v>
      </c>
    </row>
    <row r="190" spans="1:44" x14ac:dyDescent="0.3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29"/>
      <c r="P190" s="29"/>
      <c r="Q190" s="29"/>
      <c r="R190" s="29"/>
      <c r="S190" s="29"/>
      <c r="T190" s="29" t="s">
        <v>409</v>
      </c>
      <c r="U190" s="29">
        <f>U189</f>
        <v>0.82087797551866226</v>
      </c>
      <c r="V190" s="29">
        <f t="shared" ref="V190:W190" si="21">V189</f>
        <v>0.14148574112035206</v>
      </c>
      <c r="W190" s="29">
        <f t="shared" si="21"/>
        <v>56.469062350862856</v>
      </c>
      <c r="X190" s="29" t="e">
        <f ca="1">[1]!T_DIST_2T(V190,W190)</f>
        <v>#NAME?</v>
      </c>
      <c r="Y190" s="29" t="e">
        <f ca="1">[1]!T_INV_2T(Y187,W190)</f>
        <v>#NAME?</v>
      </c>
      <c r="Z190" s="29" t="e">
        <f ca="1">(V178-V179)-Y190*U190</f>
        <v>#NAME?</v>
      </c>
      <c r="AA190" s="29" t="e">
        <f ca="1">(V178-V179)+Y190*U190</f>
        <v>#NAME?</v>
      </c>
      <c r="AB190" s="183" t="e">
        <f ca="1">IF(X190&lt;Y187,"yes","no")</f>
        <v>#NAME?</v>
      </c>
      <c r="AC190" s="29">
        <f>AC189</f>
        <v>1.8824802174311806E-2</v>
      </c>
    </row>
    <row r="192" spans="1:44" x14ac:dyDescent="0.3">
      <c r="AD192" s="227" t="s">
        <v>97</v>
      </c>
      <c r="AE192" s="358" t="s">
        <v>465</v>
      </c>
      <c r="AF192" s="358"/>
      <c r="AG192" s="358"/>
      <c r="AH192" s="358"/>
      <c r="AI192" s="358"/>
      <c r="AJ192" s="358"/>
      <c r="AK192" s="358"/>
      <c r="AL192" s="358"/>
      <c r="AM192" s="358"/>
      <c r="AN192" s="358"/>
      <c r="AO192" s="358"/>
      <c r="AP192" s="358"/>
      <c r="AQ192" s="358"/>
      <c r="AR192" s="358"/>
    </row>
    <row r="193" spans="31:44" x14ac:dyDescent="0.3">
      <c r="AE193" s="29" t="s">
        <v>430</v>
      </c>
      <c r="AF193" s="29" t="s">
        <v>388</v>
      </c>
      <c r="AG193" s="6">
        <f>AVERAGE('stable S-SBR'!$O$4:$O$77)</f>
        <v>739.43181818181813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</row>
    <row r="194" spans="31:44" x14ac:dyDescent="0.3">
      <c r="AE194" s="29" t="s">
        <v>307</v>
      </c>
      <c r="AF194" s="29" t="s">
        <v>389</v>
      </c>
      <c r="AG194" s="6">
        <f>STDEV('stable S-SBR'!$O$4:$O$77)</f>
        <v>374.8435579245662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</row>
    <row r="195" spans="31:44" x14ac:dyDescent="0.3">
      <c r="AE195" s="29"/>
      <c r="AF195" s="29" t="s">
        <v>200</v>
      </c>
      <c r="AG195" s="22">
        <f>COUNT('stable S-SBR'!$O$4:$O$77)</f>
        <v>44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</row>
    <row r="196" spans="31:44" x14ac:dyDescent="0.3">
      <c r="AE196" s="29"/>
      <c r="AF196" s="29" t="s">
        <v>174</v>
      </c>
      <c r="AG196" s="6">
        <f>MIN('stable S-SBR'!$O$4:$O$77)</f>
        <v>470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</row>
    <row r="197" spans="31:44" x14ac:dyDescent="0.3">
      <c r="AE197" s="29"/>
      <c r="AF197" s="29" t="s">
        <v>175</v>
      </c>
      <c r="AG197" s="6">
        <f>MAX('stable S-SBR'!$O$4:$O$77)</f>
        <v>2434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</row>
    <row r="198" spans="31:44" x14ac:dyDescent="0.3">
      <c r="AE198" s="29"/>
      <c r="AF198" s="29" t="s">
        <v>442</v>
      </c>
      <c r="AG198" s="6">
        <f>DEVSQ('stable S-SBR'!$O$4:$O$77)</f>
        <v>6041830.7954545468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</row>
    <row r="199" spans="31:44" x14ac:dyDescent="0.3"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</row>
    <row r="200" spans="31:44" x14ac:dyDescent="0.3"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</row>
    <row r="201" spans="31:44" x14ac:dyDescent="0.3"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</row>
    <row r="202" spans="31:44" x14ac:dyDescent="0.3"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</row>
    <row r="203" spans="31:44" x14ac:dyDescent="0.3"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</row>
    <row r="204" spans="31:44" x14ac:dyDescent="0.3"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</row>
    <row r="205" spans="31:44" x14ac:dyDescent="0.3"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</row>
    <row r="206" spans="31:44" x14ac:dyDescent="0.3"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</row>
    <row r="207" spans="31:44" x14ac:dyDescent="0.3"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</row>
    <row r="208" spans="31:44" x14ac:dyDescent="0.3"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</row>
    <row r="209" spans="30:44" x14ac:dyDescent="0.3"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</row>
    <row r="210" spans="30:44" x14ac:dyDescent="0.3"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</row>
    <row r="211" spans="30:44" x14ac:dyDescent="0.3">
      <c r="AD211" s="227" t="s">
        <v>92</v>
      </c>
      <c r="AE211" s="358" t="s">
        <v>466</v>
      </c>
      <c r="AF211" s="358"/>
      <c r="AG211" s="358"/>
      <c r="AH211" s="358"/>
      <c r="AI211" s="358"/>
      <c r="AJ211" s="358"/>
      <c r="AK211" s="358"/>
      <c r="AL211" s="358"/>
      <c r="AM211" s="358"/>
      <c r="AN211" s="358"/>
      <c r="AO211" s="358"/>
      <c r="AP211" s="358"/>
      <c r="AQ211" s="358"/>
      <c r="AR211" s="358"/>
    </row>
    <row r="212" spans="30:44" x14ac:dyDescent="0.3">
      <c r="AE212" s="29" t="s">
        <v>430</v>
      </c>
      <c r="AF212" s="29" t="s">
        <v>388</v>
      </c>
      <c r="AG212" s="6">
        <f>AVERAGE('stable S-SBR'!$H$4:$H$77)</f>
        <v>0.16700451588940826</v>
      </c>
    </row>
    <row r="213" spans="30:44" x14ac:dyDescent="0.3">
      <c r="AE213" s="29" t="s">
        <v>307</v>
      </c>
      <c r="AF213" s="29" t="s">
        <v>389</v>
      </c>
      <c r="AG213" s="6">
        <f>STDEV('stable S-SBR'!$H$4:$H$77)</f>
        <v>4.6414029410087071E-2</v>
      </c>
    </row>
    <row r="214" spans="30:44" x14ac:dyDescent="0.3">
      <c r="AE214" s="29"/>
      <c r="AF214" s="29" t="s">
        <v>200</v>
      </c>
      <c r="AG214" s="22">
        <f>COUNT('stable S-SBR'!$H$4:$H$77)</f>
        <v>44</v>
      </c>
    </row>
    <row r="215" spans="30:44" x14ac:dyDescent="0.3">
      <c r="AE215" s="29"/>
      <c r="AF215" s="29" t="s">
        <v>174</v>
      </c>
      <c r="AG215" s="6">
        <f>MIN('stable S-SBR'!$H$4:$H$77)</f>
        <v>1.6968011126564791E-2</v>
      </c>
    </row>
    <row r="216" spans="30:44" x14ac:dyDescent="0.3">
      <c r="AE216" s="29"/>
      <c r="AF216" s="29" t="s">
        <v>175</v>
      </c>
      <c r="AG216" s="6">
        <f>MAX('stable S-SBR'!$H$4:$H$77)</f>
        <v>0.26</v>
      </c>
    </row>
    <row r="217" spans="30:44" x14ac:dyDescent="0.3">
      <c r="AE217" s="29"/>
      <c r="AF217" s="29" t="s">
        <v>442</v>
      </c>
      <c r="AG217" s="6">
        <f>DEVSQ('stable S-SBR'!$H$4:$H$77)</f>
        <v>9.2633271421458163E-2</v>
      </c>
    </row>
    <row r="230" spans="30:44" x14ac:dyDescent="0.3">
      <c r="AD230" s="227" t="s">
        <v>420</v>
      </c>
      <c r="AE230" s="358" t="s">
        <v>467</v>
      </c>
      <c r="AF230" s="358"/>
      <c r="AG230" s="358"/>
      <c r="AH230" s="358"/>
      <c r="AI230" s="358"/>
      <c r="AJ230" s="358"/>
      <c r="AK230" s="358"/>
      <c r="AL230" s="358"/>
      <c r="AM230" s="358"/>
      <c r="AN230" s="358"/>
      <c r="AO230" s="358"/>
      <c r="AP230" s="358"/>
      <c r="AQ230" s="358"/>
      <c r="AR230" s="358"/>
    </row>
    <row r="231" spans="30:44" x14ac:dyDescent="0.3">
      <c r="AE231" s="29" t="s">
        <v>430</v>
      </c>
      <c r="AF231" s="29" t="s">
        <v>388</v>
      </c>
      <c r="AG231" s="6">
        <f>AVERAGE('stable S-SBR'!$I$4:$I$77)</f>
        <v>6.8566766403781623</v>
      </c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</row>
    <row r="232" spans="30:44" x14ac:dyDescent="0.3">
      <c r="AE232" s="29" t="s">
        <v>307</v>
      </c>
      <c r="AF232" s="29" t="s">
        <v>389</v>
      </c>
      <c r="AG232" s="6">
        <f>STDEV('stable S-SBR'!$I$4:$I$77)</f>
        <v>0.10290465796260405</v>
      </c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</row>
    <row r="233" spans="30:44" x14ac:dyDescent="0.3">
      <c r="AE233" s="29"/>
      <c r="AF233" s="29" t="s">
        <v>200</v>
      </c>
      <c r="AG233" s="22">
        <f>COUNT('stable S-SBR'!$I$4:$I$77)</f>
        <v>44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</row>
    <row r="234" spans="30:44" x14ac:dyDescent="0.3">
      <c r="AE234" s="29"/>
      <c r="AF234" s="29" t="s">
        <v>174</v>
      </c>
      <c r="AG234" s="6">
        <f>MIN('stable S-SBR'!$I$4:$I$77)</f>
        <v>6.7837522553782064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</row>
    <row r="235" spans="30:44" x14ac:dyDescent="0.3">
      <c r="AE235" s="29"/>
      <c r="AF235" s="29" t="s">
        <v>175</v>
      </c>
      <c r="AG235" s="6">
        <f>MAX('stable S-SBR'!$I$4:$I$77)</f>
        <v>7.2713740458015463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</row>
    <row r="236" spans="30:44" x14ac:dyDescent="0.3">
      <c r="AE236" s="29"/>
      <c r="AF236" s="29" t="s">
        <v>442</v>
      </c>
      <c r="AG236" s="6">
        <f>DEVSQ('stable S-SBR'!$I$4:$I$77)</f>
        <v>0.45534285110722272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</row>
    <row r="237" spans="30:44" x14ac:dyDescent="0.3"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</row>
    <row r="238" spans="30:44" x14ac:dyDescent="0.3"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</row>
    <row r="239" spans="30:44" x14ac:dyDescent="0.3"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</row>
    <row r="240" spans="30:44" x14ac:dyDescent="0.3"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</row>
    <row r="241" spans="30:44" x14ac:dyDescent="0.3"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</row>
    <row r="242" spans="30:44" x14ac:dyDescent="0.3"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</row>
    <row r="243" spans="30:44" x14ac:dyDescent="0.3"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</row>
    <row r="244" spans="30:44" x14ac:dyDescent="0.3"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</row>
    <row r="245" spans="30:44" x14ac:dyDescent="0.3"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</row>
    <row r="246" spans="30:44" x14ac:dyDescent="0.3"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</row>
    <row r="247" spans="30:44" x14ac:dyDescent="0.3"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</row>
    <row r="248" spans="30:44" x14ac:dyDescent="0.3"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</row>
    <row r="249" spans="30:44" x14ac:dyDescent="0.3">
      <c r="AD249" s="227" t="s">
        <v>479</v>
      </c>
      <c r="AE249" s="358" t="s">
        <v>472</v>
      </c>
      <c r="AF249" s="358"/>
      <c r="AG249" s="358"/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</row>
    <row r="250" spans="30:44" x14ac:dyDescent="0.3">
      <c r="AE250" s="29" t="s">
        <v>430</v>
      </c>
      <c r="AF250" s="29" t="s">
        <v>388</v>
      </c>
      <c r="AG250" s="20">
        <f>AVERAGE('stable S-SBR'!$AE$4:$AE$77)</f>
        <v>2.7568284897270548E-2</v>
      </c>
      <c r="AH250" s="29">
        <f>AG250*1000</f>
        <v>27.568284897270548</v>
      </c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</row>
    <row r="251" spans="30:44" x14ac:dyDescent="0.3">
      <c r="AE251" s="29" t="s">
        <v>307</v>
      </c>
      <c r="AF251" s="29" t="s">
        <v>389</v>
      </c>
      <c r="AG251" s="20">
        <f>STDEV('stable S-SBR'!$AE$4:$AE$77)</f>
        <v>2.2458984441508355E-2</v>
      </c>
      <c r="AH251" s="29">
        <f t="shared" ref="AH251:AH255" si="22">AG251*1000</f>
        <v>22.458984441508356</v>
      </c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</row>
    <row r="252" spans="30:44" x14ac:dyDescent="0.3">
      <c r="AE252" s="29"/>
      <c r="AF252" s="29" t="s">
        <v>200</v>
      </c>
      <c r="AG252" s="20">
        <f>COUNT('stable S-SBR'!$AE$4:$AE$77)</f>
        <v>44</v>
      </c>
      <c r="AH252" s="29">
        <f t="shared" si="22"/>
        <v>44000</v>
      </c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</row>
    <row r="253" spans="30:44" x14ac:dyDescent="0.3">
      <c r="AE253" s="29"/>
      <c r="AF253" s="29" t="s">
        <v>174</v>
      </c>
      <c r="AG253" s="20">
        <f>MIN('stable S-SBR'!$AE$4:$AE$77)</f>
        <v>9.0638850341756588E-6</v>
      </c>
      <c r="AH253" s="29">
        <f t="shared" si="22"/>
        <v>9.0638850341756595E-3</v>
      </c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</row>
    <row r="254" spans="30:44" x14ac:dyDescent="0.3">
      <c r="AE254" s="29"/>
      <c r="AF254" s="29" t="s">
        <v>175</v>
      </c>
      <c r="AG254" s="20">
        <f>MAX('stable S-SBR'!$AE$4:$AE$77)</f>
        <v>6.7423989043898458E-2</v>
      </c>
      <c r="AH254" s="29">
        <f t="shared" si="22"/>
        <v>67.423989043898459</v>
      </c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</row>
    <row r="255" spans="30:44" x14ac:dyDescent="0.3">
      <c r="AE255" s="29"/>
      <c r="AF255" s="29" t="s">
        <v>442</v>
      </c>
      <c r="AG255" s="20">
        <f>DEVSQ('stable S-SBR'!$AE$4:$AE$77)</f>
        <v>2.1689457232188306E-2</v>
      </c>
      <c r="AH255" s="29">
        <f t="shared" si="22"/>
        <v>21.689457232188307</v>
      </c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</row>
    <row r="256" spans="30:44" x14ac:dyDescent="0.3"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</row>
    <row r="257" spans="30:44" x14ac:dyDescent="0.3"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</row>
    <row r="258" spans="30:44" x14ac:dyDescent="0.3"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</row>
    <row r="259" spans="30:44" x14ac:dyDescent="0.3"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</row>
    <row r="260" spans="30:44" x14ac:dyDescent="0.3"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</row>
    <row r="261" spans="30:44" x14ac:dyDescent="0.3"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</row>
    <row r="262" spans="30:44" x14ac:dyDescent="0.3"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</row>
    <row r="263" spans="30:44" x14ac:dyDescent="0.3"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</row>
    <row r="264" spans="30:44" x14ac:dyDescent="0.3"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</row>
    <row r="265" spans="30:44" x14ac:dyDescent="0.3"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</row>
    <row r="266" spans="30:44" x14ac:dyDescent="0.3"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</row>
    <row r="267" spans="30:44" x14ac:dyDescent="0.3"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</row>
    <row r="268" spans="30:44" x14ac:dyDescent="0.3">
      <c r="AD268" s="227" t="s">
        <v>480</v>
      </c>
      <c r="AE268" s="358" t="s">
        <v>471</v>
      </c>
      <c r="AF268" s="358"/>
      <c r="AG268" s="358"/>
      <c r="AH268" s="358"/>
      <c r="AI268" s="358"/>
      <c r="AJ268" s="358"/>
      <c r="AK268" s="358"/>
      <c r="AL268" s="358"/>
      <c r="AM268" s="358"/>
      <c r="AN268" s="358"/>
      <c r="AO268" s="358"/>
      <c r="AP268" s="358"/>
      <c r="AQ268" s="358"/>
      <c r="AR268" s="358"/>
    </row>
    <row r="269" spans="30:44" x14ac:dyDescent="0.3">
      <c r="AE269" s="29" t="s">
        <v>430</v>
      </c>
      <c r="AF269" s="29" t="s">
        <v>388</v>
      </c>
      <c r="AG269" s="6">
        <f>AVERAGE('stable S-SBR'!$AF$4:$AF$77)</f>
        <v>0.82275696771604423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</row>
    <row r="270" spans="30:44" x14ac:dyDescent="0.3">
      <c r="AE270" s="29" t="s">
        <v>307</v>
      </c>
      <c r="AF270" s="29" t="s">
        <v>389</v>
      </c>
      <c r="AG270" s="6">
        <f>STDEV('stable S-SBR'!$AF$4:$AF$77)</f>
        <v>0.60667474136432764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</row>
    <row r="271" spans="30:44" x14ac:dyDescent="0.3">
      <c r="AE271" s="29"/>
      <c r="AF271" s="29" t="s">
        <v>200</v>
      </c>
      <c r="AG271" s="22">
        <f>COUNT('stable S-SBR'!$AF$4:$AF$77)</f>
        <v>44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</row>
    <row r="272" spans="30:44" x14ac:dyDescent="0.3">
      <c r="AE272" s="29"/>
      <c r="AF272" s="29" t="s">
        <v>174</v>
      </c>
      <c r="AG272" s="6">
        <f>MIN('stable S-SBR'!$AF$4:$AF$77)</f>
        <v>0.3573231758465949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</row>
    <row r="273" spans="30:44" x14ac:dyDescent="0.3">
      <c r="AE273" s="29"/>
      <c r="AF273" s="29" t="s">
        <v>175</v>
      </c>
      <c r="AG273" s="6">
        <f>MAX('stable S-SBR'!$AF$4:$AF$77)</f>
        <v>3.7206332871627712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</row>
    <row r="274" spans="30:44" x14ac:dyDescent="0.3">
      <c r="AE274" s="29"/>
      <c r="AF274" s="29" t="s">
        <v>442</v>
      </c>
      <c r="AG274" s="6">
        <f>DEVSQ('stable S-SBR'!$AF$4:$AF$77)</f>
        <v>15.826332397807379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</row>
    <row r="275" spans="30:44" x14ac:dyDescent="0.3"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</row>
    <row r="276" spans="30:44" x14ac:dyDescent="0.3"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</row>
    <row r="277" spans="30:44" x14ac:dyDescent="0.3"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</row>
    <row r="278" spans="30:44" x14ac:dyDescent="0.3"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</row>
    <row r="279" spans="30:44" x14ac:dyDescent="0.3"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</row>
    <row r="280" spans="30:44" x14ac:dyDescent="0.3"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</row>
    <row r="281" spans="30:44" x14ac:dyDescent="0.3"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</row>
    <row r="282" spans="30:44" x14ac:dyDescent="0.3"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</row>
    <row r="283" spans="30:44" x14ac:dyDescent="0.3">
      <c r="AD283" s="227" t="s">
        <v>490</v>
      </c>
      <c r="AE283" s="358" t="s">
        <v>522</v>
      </c>
      <c r="AF283" s="358"/>
      <c r="AG283" s="358"/>
      <c r="AH283" s="358"/>
      <c r="AI283" s="358"/>
      <c r="AJ283" s="358"/>
      <c r="AK283" s="358"/>
      <c r="AL283" s="358"/>
      <c r="AM283" s="358"/>
      <c r="AN283" s="358"/>
      <c r="AO283" s="358"/>
      <c r="AP283" s="358"/>
      <c r="AQ283" s="358"/>
      <c r="AR283" s="358"/>
    </row>
    <row r="284" spans="30:44" x14ac:dyDescent="0.3">
      <c r="AE284" s="29" t="s">
        <v>430</v>
      </c>
      <c r="AF284" s="29" t="s">
        <v>388</v>
      </c>
      <c r="AG284" s="20">
        <f>AVERAGE('stable S-SBR'!$AL$4:$AL$77)</f>
        <v>0.68310635935568176</v>
      </c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</row>
    <row r="285" spans="30:44" x14ac:dyDescent="0.3">
      <c r="AE285" s="29" t="s">
        <v>307</v>
      </c>
      <c r="AF285" s="29" t="s">
        <v>389</v>
      </c>
      <c r="AG285" s="20">
        <f>STDEV('stable S-SBR'!$AL$4:$AL$77)</f>
        <v>0.2668022417698121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</row>
    <row r="286" spans="30:44" x14ac:dyDescent="0.3">
      <c r="AE286" s="29"/>
      <c r="AF286" s="29" t="s">
        <v>200</v>
      </c>
      <c r="AG286" s="20">
        <f>COUNT('stable S-SBR'!$AL$4:$AL$77)</f>
        <v>44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</row>
    <row r="287" spans="30:44" x14ac:dyDescent="0.3">
      <c r="AE287" s="29"/>
      <c r="AF287" s="29" t="s">
        <v>174</v>
      </c>
      <c r="AG287" s="20">
        <f>MIN('stable S-SBR'!$AL$4:$AL$77)</f>
        <v>2.0565350000000003E-2</v>
      </c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</row>
    <row r="288" spans="30:44" x14ac:dyDescent="0.3">
      <c r="AE288" s="29"/>
      <c r="AF288" s="29" t="s">
        <v>175</v>
      </c>
      <c r="AG288" s="20">
        <f>MAX('stable S-SBR'!$AL$4:$AL$77)</f>
        <v>1.1074062</v>
      </c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</row>
    <row r="289" spans="30:44" x14ac:dyDescent="0.3">
      <c r="AE289" s="29"/>
      <c r="AF289" s="29" t="s">
        <v>442</v>
      </c>
      <c r="AG289" s="20">
        <f>DEVSQ('stable S-SBR'!$AL$4:$AL$77)</f>
        <v>3.0608877571760789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</row>
    <row r="290" spans="30:44" x14ac:dyDescent="0.3">
      <c r="AD290" s="227" t="s">
        <v>468</v>
      </c>
      <c r="AE290" s="358" t="s">
        <v>584</v>
      </c>
      <c r="AF290" s="358"/>
      <c r="AG290" s="358"/>
      <c r="AH290" s="358"/>
      <c r="AI290" s="358"/>
      <c r="AJ290" s="358"/>
      <c r="AK290" s="358"/>
      <c r="AL290" s="358"/>
      <c r="AM290" s="358"/>
      <c r="AN290" s="358"/>
      <c r="AO290" s="358"/>
      <c r="AP290" s="358"/>
      <c r="AQ290" s="358"/>
      <c r="AR290" s="358"/>
    </row>
    <row r="291" spans="30:44" x14ac:dyDescent="0.3">
      <c r="AE291" s="29" t="s">
        <v>430</v>
      </c>
      <c r="AF291" s="29" t="s">
        <v>388</v>
      </c>
      <c r="AG291" s="20">
        <f>AVERAGE('stable S-SBR'!$AM$4:$AM$77)</f>
        <v>0.58021223408750011</v>
      </c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</row>
    <row r="292" spans="30:44" x14ac:dyDescent="0.3">
      <c r="AE292" s="29" t="s">
        <v>307</v>
      </c>
      <c r="AF292" s="29" t="s">
        <v>389</v>
      </c>
      <c r="AG292" s="20">
        <f>STDEV('stable S-SBR'!$AM$4:$AM$77)</f>
        <v>0.2387754974321451</v>
      </c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</row>
    <row r="293" spans="30:44" x14ac:dyDescent="0.3">
      <c r="AE293" s="29"/>
      <c r="AF293" s="29" t="s">
        <v>200</v>
      </c>
      <c r="AG293" s="20">
        <f>COUNT('stable S-SBR'!$AM$4:$AM$77)</f>
        <v>44</v>
      </c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</row>
    <row r="294" spans="30:44" x14ac:dyDescent="0.3">
      <c r="AE294" s="29"/>
      <c r="AF294" s="29" t="s">
        <v>174</v>
      </c>
      <c r="AG294" s="20">
        <f>MIN('stable S-SBR'!$AM$4:$AM$77)</f>
        <v>1.8415870000000004E-2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</row>
    <row r="295" spans="30:44" x14ac:dyDescent="0.3">
      <c r="AE295" s="29"/>
      <c r="AF295" s="29" t="s">
        <v>175</v>
      </c>
      <c r="AG295" s="20">
        <f>MAX('stable S-SBR'!$AM$4:$AM$77)</f>
        <v>0.96334056000000001</v>
      </c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</row>
    <row r="296" spans="30:44" x14ac:dyDescent="0.3">
      <c r="AE296" s="29"/>
      <c r="AF296" s="29" t="s">
        <v>442</v>
      </c>
      <c r="AG296" s="20">
        <f>DEVSQ('stable S-SBR'!$AM$4:$AM$77)</f>
        <v>2.4515907414806457</v>
      </c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</row>
    <row r="297" spans="30:44" x14ac:dyDescent="0.3"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</row>
    <row r="298" spans="30:44" x14ac:dyDescent="0.3">
      <c r="AD298" s="227" t="s">
        <v>486</v>
      </c>
      <c r="AE298" s="358" t="s">
        <v>523</v>
      </c>
      <c r="AF298" s="358"/>
      <c r="AG298" s="358"/>
      <c r="AH298" s="358"/>
      <c r="AI298" s="358"/>
      <c r="AJ298" s="358"/>
      <c r="AK298" s="358"/>
      <c r="AL298" s="358"/>
      <c r="AM298" s="358"/>
      <c r="AN298" s="358"/>
      <c r="AO298" s="358"/>
      <c r="AP298" s="358"/>
      <c r="AQ298" s="358"/>
      <c r="AR298" s="358"/>
    </row>
    <row r="299" spans="30:44" x14ac:dyDescent="0.3">
      <c r="AE299" s="29" t="s">
        <v>430</v>
      </c>
      <c r="AF299" s="29" t="s">
        <v>388</v>
      </c>
      <c r="AG299" s="20">
        <f>AVERAGE('stable S-SBR'!$L$4:$L$77)</f>
        <v>3633.03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</row>
    <row r="300" spans="30:44" x14ac:dyDescent="0.3">
      <c r="AE300" s="29" t="s">
        <v>307</v>
      </c>
      <c r="AF300" s="29" t="s">
        <v>389</v>
      </c>
      <c r="AG300" s="20">
        <f>STDEV('stable S-SBR'!$L$4:$L$77)</f>
        <v>1057.4384128389545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</row>
    <row r="301" spans="30:44" x14ac:dyDescent="0.3">
      <c r="AE301" s="29"/>
      <c r="AF301" s="29" t="s">
        <v>200</v>
      </c>
      <c r="AG301" s="20">
        <f>COUNT('stable S-SBR'!$L$4:$L$77)</f>
        <v>20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</row>
    <row r="302" spans="30:44" x14ac:dyDescent="0.3">
      <c r="AE302" s="29"/>
      <c r="AF302" s="29" t="s">
        <v>174</v>
      </c>
      <c r="AG302" s="20">
        <f>MIN('stable S-SBR'!$L$4:$L$77)</f>
        <v>1890</v>
      </c>
    </row>
    <row r="303" spans="30:44" x14ac:dyDescent="0.3">
      <c r="AE303" s="29"/>
      <c r="AF303" s="29" t="s">
        <v>175</v>
      </c>
      <c r="AG303" s="20">
        <f>MAX('stable S-SBR'!$L$4:$L$77)</f>
        <v>6230</v>
      </c>
    </row>
    <row r="304" spans="30:44" x14ac:dyDescent="0.3">
      <c r="AE304" s="29"/>
      <c r="AF304" s="29" t="s">
        <v>442</v>
      </c>
      <c r="AG304" s="22">
        <f>DEVSQ('stable S-SBR'!$L$4:$L$77)</f>
        <v>21245343.942000002</v>
      </c>
    </row>
    <row r="308" spans="30:44" x14ac:dyDescent="0.3">
      <c r="AD308" s="227" t="s">
        <v>585</v>
      </c>
      <c r="AE308" s="358" t="s">
        <v>584</v>
      </c>
      <c r="AF308" s="358"/>
      <c r="AG308" s="358"/>
      <c r="AH308" s="358"/>
      <c r="AI308" s="358"/>
      <c r="AJ308" s="358"/>
      <c r="AK308" s="358"/>
      <c r="AL308" s="358"/>
      <c r="AM308" s="358"/>
      <c r="AN308" s="358"/>
      <c r="AO308" s="358"/>
      <c r="AP308" s="358"/>
      <c r="AQ308" s="358"/>
      <c r="AR308" s="358"/>
    </row>
    <row r="309" spans="30:44" x14ac:dyDescent="0.3">
      <c r="AE309" s="29" t="s">
        <v>430</v>
      </c>
      <c r="AF309" s="29" t="s">
        <v>388</v>
      </c>
      <c r="AG309" s="20">
        <f>AVERAGE('stable S-SBR'!$AK$4:$AK$77)</f>
        <v>0.59518272957954566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</row>
    <row r="310" spans="30:44" x14ac:dyDescent="0.3">
      <c r="AE310" s="29" t="s">
        <v>307</v>
      </c>
      <c r="AF310" s="29" t="s">
        <v>389</v>
      </c>
      <c r="AG310" s="20">
        <f>STDEV('stable S-SBR'!$AK$4:$AK$77)</f>
        <v>0.24019656831061839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</row>
    <row r="311" spans="30:44" x14ac:dyDescent="0.3">
      <c r="AE311" s="29"/>
      <c r="AF311" s="29" t="s">
        <v>200</v>
      </c>
      <c r="AG311" s="20">
        <f>COUNT('stable S-SBR'!$AK$4:$AK$77)</f>
        <v>44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</row>
    <row r="312" spans="30:44" x14ac:dyDescent="0.3">
      <c r="AE312" s="29"/>
      <c r="AF312" s="29" t="s">
        <v>174</v>
      </c>
      <c r="AG312" s="20">
        <f>MIN('stable S-SBR'!$AK$4:$AK$77)</f>
        <v>1.871022E-2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</row>
    <row r="313" spans="30:44" x14ac:dyDescent="0.3">
      <c r="AE313" s="29"/>
      <c r="AF313" s="29" t="s">
        <v>175</v>
      </c>
      <c r="AG313" s="20">
        <f>MAX('stable S-SBR'!$AK$4:$AK$77)</f>
        <v>0.98027496000000003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</row>
    <row r="314" spans="30:44" x14ac:dyDescent="0.3">
      <c r="AE314" s="29"/>
      <c r="AF314" s="29" t="s">
        <v>442</v>
      </c>
      <c r="AG314" s="22">
        <f>DEVSQ('stable S-SBR'!$AK$4:$AK$77)</f>
        <v>2.4808588314125002</v>
      </c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</row>
    <row r="318" spans="30:44" x14ac:dyDescent="0.3">
      <c r="AD318" s="227" t="s">
        <v>473</v>
      </c>
      <c r="AE318" s="358" t="s">
        <v>583</v>
      </c>
      <c r="AF318" s="358"/>
      <c r="AG318" s="358"/>
      <c r="AH318" s="358"/>
      <c r="AI318" s="358"/>
      <c r="AJ318" s="358"/>
      <c r="AK318" s="358"/>
      <c r="AL318" s="358"/>
      <c r="AM318" s="358"/>
      <c r="AN318" s="358"/>
      <c r="AO318" s="358"/>
      <c r="AP318" s="358"/>
      <c r="AQ318" s="358"/>
      <c r="AR318" s="358"/>
    </row>
    <row r="319" spans="30:44" x14ac:dyDescent="0.3">
      <c r="AE319" s="29" t="s">
        <v>430</v>
      </c>
      <c r="AF319" s="29" t="s">
        <v>388</v>
      </c>
      <c r="AG319" s="89">
        <f>AVERAGE('stable S-SBR'!$AO$4:$AO$77)</f>
        <v>0.8453314880335242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</row>
    <row r="320" spans="30:44" x14ac:dyDescent="0.3">
      <c r="AE320" s="29" t="s">
        <v>307</v>
      </c>
      <c r="AF320" s="29" t="s">
        <v>389</v>
      </c>
      <c r="AG320" s="89">
        <f>STDEV('stable S-SBR'!$AO$4:$AO$77)</f>
        <v>6.1323655044059393E-2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</row>
    <row r="321" spans="30:44" x14ac:dyDescent="0.3">
      <c r="AE321" s="29"/>
      <c r="AF321" s="29" t="s">
        <v>200</v>
      </c>
      <c r="AG321" s="89">
        <f>COUNT('stable S-SBR'!$AO$4:$AO$77)</f>
        <v>44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</row>
    <row r="322" spans="30:44" x14ac:dyDescent="0.3">
      <c r="AE322" s="29"/>
      <c r="AF322" s="29" t="s">
        <v>174</v>
      </c>
      <c r="AG322" s="89">
        <f>MIN('stable S-SBR'!$AO$4:$AO$77)</f>
        <v>0.48073542686113357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</row>
    <row r="323" spans="30:44" x14ac:dyDescent="0.3">
      <c r="AE323" s="29"/>
      <c r="AF323" s="29" t="s">
        <v>175</v>
      </c>
      <c r="AG323" s="89">
        <f>MAX('stable S-SBR'!$AO$4:$AO$77)</f>
        <v>0.90772829509671626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spans="30:44" x14ac:dyDescent="0.3">
      <c r="AE324" s="29"/>
      <c r="AF324" s="29" t="s">
        <v>442</v>
      </c>
      <c r="AG324" s="89">
        <f>DEVSQ('stable S-SBR'!$AO$4:$AO$77)</f>
        <v>0.16170539872240003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6" spans="30:44" x14ac:dyDescent="0.3">
      <c r="AD326" s="227" t="s">
        <v>481</v>
      </c>
      <c r="AE326" s="358" t="s">
        <v>601</v>
      </c>
      <c r="AF326" s="358"/>
      <c r="AG326" s="358"/>
      <c r="AH326" s="358"/>
      <c r="AI326" s="358"/>
      <c r="AJ326" s="358"/>
      <c r="AK326" s="358"/>
      <c r="AL326" s="358"/>
      <c r="AM326" s="358"/>
      <c r="AN326" s="358"/>
      <c r="AO326" s="358"/>
      <c r="AP326" s="358"/>
      <c r="AQ326" s="358"/>
      <c r="AR326" s="358"/>
    </row>
    <row r="327" spans="30:44" x14ac:dyDescent="0.3">
      <c r="AE327" s="29" t="s">
        <v>430</v>
      </c>
      <c r="AF327" s="29" t="s">
        <v>388</v>
      </c>
      <c r="AG327" s="20">
        <f>AVERAGE('stable S-SBR'!$AP$4:$AP$77)</f>
        <v>4.3457142857142861E-2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spans="30:44" x14ac:dyDescent="0.3">
      <c r="AE328" s="29" t="s">
        <v>307</v>
      </c>
      <c r="AF328" s="29" t="s">
        <v>389</v>
      </c>
      <c r="AG328" s="20">
        <f>STDEV('stable S-SBR'!$AP$4:$AP$77)</f>
        <v>1.6548802287261064E-2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spans="30:44" x14ac:dyDescent="0.3">
      <c r="AE329" s="29"/>
      <c r="AF329" s="29" t="s">
        <v>200</v>
      </c>
      <c r="AG329" s="20">
        <f>COUNT('stable S-SBR'!$AP$4:$AP$77)</f>
        <v>7</v>
      </c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spans="30:44" x14ac:dyDescent="0.3">
      <c r="AE330" s="29"/>
      <c r="AF330" s="29" t="s">
        <v>174</v>
      </c>
      <c r="AG330" s="20">
        <f>MIN('stable S-SBR'!$AP$4:$AP$77)</f>
        <v>2.1000000000000001E-2</v>
      </c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spans="30:44" x14ac:dyDescent="0.3">
      <c r="AE331" s="29"/>
      <c r="AF331" s="29" t="s">
        <v>175</v>
      </c>
      <c r="AG331" s="20">
        <f>MAX('stable S-SBR'!$AP$4:$AP$77)</f>
        <v>6.8000000000000005E-2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spans="30:44" x14ac:dyDescent="0.3">
      <c r="AE332" s="29"/>
      <c r="AF332" s="29" t="s">
        <v>442</v>
      </c>
      <c r="AG332" s="22">
        <f>DEVSQ('stable S-SBR'!$AP$4:$AP$77)</f>
        <v>1.6431771428571432E-3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spans="30:44" x14ac:dyDescent="0.3">
      <c r="AD333" s="227" t="s">
        <v>586</v>
      </c>
      <c r="AE333" s="358" t="s">
        <v>607</v>
      </c>
      <c r="AF333" s="358"/>
      <c r="AG333" s="358"/>
      <c r="AH333" s="358"/>
      <c r="AI333" s="358"/>
      <c r="AJ333" s="358"/>
      <c r="AK333" s="358"/>
      <c r="AL333" s="358"/>
      <c r="AM333" s="358"/>
      <c r="AN333" s="358"/>
      <c r="AO333" s="358"/>
      <c r="AP333" s="358"/>
      <c r="AQ333" s="358"/>
      <c r="AR333" s="358"/>
    </row>
    <row r="334" spans="30:44" x14ac:dyDescent="0.3">
      <c r="AE334" s="29" t="s">
        <v>430</v>
      </c>
      <c r="AF334" s="29" t="s">
        <v>388</v>
      </c>
      <c r="AG334" s="89">
        <f>AVERAGE('stable S-SBR'!$AN$4:$AN$77)</f>
        <v>0.87266191228428058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spans="30:44" x14ac:dyDescent="0.3">
      <c r="AE335" s="29" t="s">
        <v>307</v>
      </c>
      <c r="AF335" s="29" t="s">
        <v>389</v>
      </c>
      <c r="AG335" s="89">
        <f>STDEV('stable S-SBR'!$AN$4:$AN$77)</f>
        <v>6.3236643510872131E-2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spans="30:44" x14ac:dyDescent="0.3">
      <c r="AE336" s="29"/>
      <c r="AF336" s="29" t="s">
        <v>200</v>
      </c>
      <c r="AG336" s="89">
        <f>COUNT('stable S-SBR'!$AN$4:$AN$77)</f>
        <v>44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spans="30:44" x14ac:dyDescent="0.3">
      <c r="AE337" s="29"/>
      <c r="AF337" s="29" t="s">
        <v>174</v>
      </c>
      <c r="AG337" s="89">
        <f>MIN('stable S-SBR'!$AN$4:$AN$77)</f>
        <v>0.47978026572516952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spans="30:44" x14ac:dyDescent="0.3">
      <c r="AE338" s="29"/>
      <c r="AF338" s="29" t="s">
        <v>175</v>
      </c>
      <c r="AG338" s="89">
        <f>MAX('stable S-SBR'!$AN$4:$AN$77)</f>
        <v>0.91505613664715479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spans="30:44" x14ac:dyDescent="0.3">
      <c r="AE339" s="29"/>
      <c r="AF339" s="29" t="s">
        <v>442</v>
      </c>
      <c r="AG339" s="89">
        <f>DEVSQ('stable S-SBR'!$AN$4:$AN$77)</f>
        <v>0.17195154254840847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1" spans="30:44" x14ac:dyDescent="0.3">
      <c r="AD341" s="227" t="s">
        <v>473</v>
      </c>
      <c r="AE341" s="358" t="s">
        <v>583</v>
      </c>
      <c r="AF341" s="358"/>
      <c r="AG341" s="358"/>
      <c r="AH341" s="358"/>
      <c r="AI341" s="358"/>
      <c r="AJ341" s="358"/>
      <c r="AK341" s="358"/>
      <c r="AL341" s="358"/>
      <c r="AM341" s="358"/>
      <c r="AN341" s="358"/>
      <c r="AO341" s="358"/>
      <c r="AP341" s="358"/>
      <c r="AQ341" s="358"/>
      <c r="AR341" s="358"/>
    </row>
    <row r="342" spans="30:44" x14ac:dyDescent="0.3">
      <c r="AE342" s="29" t="s">
        <v>430</v>
      </c>
      <c r="AF342" s="29" t="s">
        <v>388</v>
      </c>
      <c r="AG342" s="20">
        <f>AVERAGE('stable S-SBR'!$AO$4:$AO$77)</f>
        <v>0.8453314880335242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spans="30:44" x14ac:dyDescent="0.3">
      <c r="AE343" s="29" t="s">
        <v>307</v>
      </c>
      <c r="AF343" s="29" t="s">
        <v>389</v>
      </c>
      <c r="AG343" s="20">
        <f>STDEV('stable S-SBR'!$AO$4:$AO$77)</f>
        <v>6.1323655044059393E-2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spans="30:44" x14ac:dyDescent="0.3">
      <c r="AE344" s="29"/>
      <c r="AF344" s="29" t="s">
        <v>200</v>
      </c>
      <c r="AG344" s="20">
        <f>COUNT('stable S-SBR'!$AO$4:$AO$77)</f>
        <v>44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spans="30:44" x14ac:dyDescent="0.3">
      <c r="AE345" s="29"/>
      <c r="AF345" s="29" t="s">
        <v>174</v>
      </c>
      <c r="AG345" s="20">
        <f>MIN('stable S-SBR'!$AO$4:$AO$77)</f>
        <v>0.48073542686113357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spans="30:44" x14ac:dyDescent="0.3">
      <c r="AE346" s="29"/>
      <c r="AF346" s="29" t="s">
        <v>175</v>
      </c>
      <c r="AG346" s="20">
        <f>MAX('stable S-SBR'!$AO$4:$AO$77)</f>
        <v>0.90772829509671626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spans="30:44" x14ac:dyDescent="0.3">
      <c r="AE347" s="29"/>
      <c r="AF347" s="29" t="s">
        <v>442</v>
      </c>
      <c r="AG347" s="22">
        <f>DEVSQ('stable S-SBR'!$AO$4:$AO$77)</f>
        <v>0.16170539872240003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</sheetData>
  <mergeCells count="37">
    <mergeCell ref="AE333:AR333"/>
    <mergeCell ref="AE290:AR290"/>
    <mergeCell ref="AE341:AR341"/>
    <mergeCell ref="AE326:AR326"/>
    <mergeCell ref="AE308:AR308"/>
    <mergeCell ref="AE318:AR318"/>
    <mergeCell ref="AE97:AR97"/>
    <mergeCell ref="AE116:AR116"/>
    <mergeCell ref="AE135:AR135"/>
    <mergeCell ref="AE154:AR154"/>
    <mergeCell ref="AE268:AR268"/>
    <mergeCell ref="AE173:AR173"/>
    <mergeCell ref="AE192:AR192"/>
    <mergeCell ref="AE211:AR211"/>
    <mergeCell ref="AE230:AR230"/>
    <mergeCell ref="AE249:AR249"/>
    <mergeCell ref="AE283:AR283"/>
    <mergeCell ref="AE298:AR298"/>
    <mergeCell ref="A1:N1"/>
    <mergeCell ref="P1:AC1"/>
    <mergeCell ref="A2:N2"/>
    <mergeCell ref="P2:AC2"/>
    <mergeCell ref="P21:AC21"/>
    <mergeCell ref="AE1:AR1"/>
    <mergeCell ref="P173:AC173"/>
    <mergeCell ref="P59:AC59"/>
    <mergeCell ref="P78:AC78"/>
    <mergeCell ref="P97:AC97"/>
    <mergeCell ref="P116:AC116"/>
    <mergeCell ref="P135:AC135"/>
    <mergeCell ref="P154:AC154"/>
    <mergeCell ref="P40:AC40"/>
    <mergeCell ref="AE2:AR2"/>
    <mergeCell ref="AE21:AR21"/>
    <mergeCell ref="AE40:AR40"/>
    <mergeCell ref="AE59:AR59"/>
    <mergeCell ref="AE78:AR7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79998168889431442"/>
  </sheetPr>
  <dimension ref="A1:AS345"/>
  <sheetViews>
    <sheetView topLeftCell="W315" workbookViewId="0">
      <selection activeCell="AE315" sqref="AE315:AR315"/>
    </sheetView>
  </sheetViews>
  <sheetFormatPr defaultRowHeight="14.4" x14ac:dyDescent="0.3"/>
  <cols>
    <col min="15" max="15" width="8.88671875" style="229"/>
    <col min="30" max="30" width="8.88671875" style="227"/>
    <col min="33" max="33" width="10.5546875" bestFit="1" customWidth="1"/>
    <col min="45" max="45" width="8.88671875" style="224"/>
  </cols>
  <sheetData>
    <row r="1" spans="1:44" ht="18" thickBot="1" x14ac:dyDescent="0.4">
      <c r="A1" s="359" t="s">
        <v>202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228" t="s">
        <v>413</v>
      </c>
      <c r="P1" s="360" t="s">
        <v>414</v>
      </c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226" t="s">
        <v>413</v>
      </c>
      <c r="AE1" s="360" t="s">
        <v>456</v>
      </c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</row>
    <row r="2" spans="1:44" ht="15" thickTop="1" x14ac:dyDescent="0.3">
      <c r="A2" s="361" t="s">
        <v>386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229" t="s">
        <v>92</v>
      </c>
      <c r="P2" s="357" t="s">
        <v>428</v>
      </c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227" t="s">
        <v>481</v>
      </c>
      <c r="AE2" s="357" t="s">
        <v>455</v>
      </c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</row>
    <row r="3" spans="1:44" x14ac:dyDescent="0.3">
      <c r="A3" s="29" t="s">
        <v>390</v>
      </c>
      <c r="B3" s="29" t="s">
        <v>388</v>
      </c>
      <c r="C3" s="6">
        <f>AVERAGE('1-Media'!$AO$4:$AO$87)</f>
        <v>0.32639158903875826</v>
      </c>
      <c r="D3" s="29"/>
      <c r="E3" s="29" t="s">
        <v>393</v>
      </c>
      <c r="F3" s="29"/>
      <c r="G3" s="29"/>
      <c r="H3" s="29"/>
      <c r="I3" s="29"/>
      <c r="J3" s="29"/>
      <c r="K3" s="29"/>
      <c r="L3" s="29"/>
      <c r="M3" s="29"/>
      <c r="N3" s="29"/>
      <c r="P3" s="29" t="s">
        <v>390</v>
      </c>
      <c r="Q3" s="29" t="s">
        <v>388</v>
      </c>
      <c r="R3" s="6">
        <f>AVERAGE('1-Media'!$H$4:$H$87)</f>
        <v>29.718997516588331</v>
      </c>
      <c r="S3" s="29"/>
      <c r="T3" s="29" t="s">
        <v>393</v>
      </c>
      <c r="U3" s="29"/>
      <c r="V3" s="29"/>
      <c r="W3" s="29"/>
      <c r="X3" s="29"/>
      <c r="Y3" s="29"/>
      <c r="Z3" s="29"/>
      <c r="AA3" s="29"/>
      <c r="AB3" s="29"/>
      <c r="AC3" s="29"/>
      <c r="AE3" s="29" t="s">
        <v>390</v>
      </c>
      <c r="AF3" s="29" t="s">
        <v>388</v>
      </c>
      <c r="AG3" s="6">
        <f>AVERAGE('stable MEDIA'!$AP$4:$AP$87)</f>
        <v>0.17148299998996946</v>
      </c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</row>
    <row r="4" spans="1:44" x14ac:dyDescent="0.3">
      <c r="A4" s="29" t="s">
        <v>307</v>
      </c>
      <c r="B4" s="29" t="s">
        <v>389</v>
      </c>
      <c r="C4" s="6">
        <f>STDEV('1-Media'!$AO$4:$AO$87)</f>
        <v>0.26274203799836415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P4" s="29" t="s">
        <v>307</v>
      </c>
      <c r="Q4" s="29" t="s">
        <v>389</v>
      </c>
      <c r="R4" s="6">
        <f>STDEV('1-Media'!$H$4:$H$87)</f>
        <v>1.9024898374352976</v>
      </c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E4" s="29" t="s">
        <v>307</v>
      </c>
      <c r="AF4" s="29" t="s">
        <v>389</v>
      </c>
      <c r="AG4" s="6">
        <f>STDEV('stable MEDIA'!$AP$4:$AP$87)</f>
        <v>0.12934805526137749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</row>
    <row r="5" spans="1:44" ht="15" thickBot="1" x14ac:dyDescent="0.35">
      <c r="A5" s="29"/>
      <c r="B5" s="29" t="s">
        <v>200</v>
      </c>
      <c r="C5" s="22">
        <f>COUNT('1-Media'!$AO$4:$AO$87)</f>
        <v>50</v>
      </c>
      <c r="D5" s="29"/>
      <c r="E5" s="29" t="s">
        <v>394</v>
      </c>
      <c r="F5" s="29"/>
      <c r="G5" s="29"/>
      <c r="H5" s="29" t="s">
        <v>395</v>
      </c>
      <c r="I5" s="6">
        <v>0</v>
      </c>
      <c r="J5" s="29"/>
      <c r="K5" s="29"/>
      <c r="L5" s="29"/>
      <c r="M5" s="29"/>
      <c r="N5" s="29"/>
      <c r="P5" s="29"/>
      <c r="Q5" s="29" t="s">
        <v>200</v>
      </c>
      <c r="R5" s="22">
        <f>COUNT('1-Media'!$H$4:$H$87)</f>
        <v>51</v>
      </c>
      <c r="S5" s="29"/>
      <c r="T5" s="29" t="s">
        <v>394</v>
      </c>
      <c r="U5" s="29"/>
      <c r="V5" s="29"/>
      <c r="W5" s="29" t="s">
        <v>395</v>
      </c>
      <c r="X5" s="6">
        <v>0</v>
      </c>
      <c r="Y5" s="29"/>
      <c r="Z5" s="29"/>
      <c r="AA5" s="29"/>
      <c r="AB5" s="29"/>
      <c r="AC5" s="29"/>
      <c r="AE5" s="29"/>
      <c r="AF5" s="29" t="s">
        <v>200</v>
      </c>
      <c r="AG5" s="22">
        <f>COUNT('stable MEDIA'!$AP$4:$AP$87)</f>
        <v>42</v>
      </c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</row>
    <row r="6" spans="1:44" ht="15" thickTop="1" x14ac:dyDescent="0.3">
      <c r="A6" s="29"/>
      <c r="B6" s="29" t="s">
        <v>174</v>
      </c>
      <c r="C6" s="6">
        <f>MIN('1-Media'!$AO$4:$AO$87)</f>
        <v>2.6924477830995913E-2</v>
      </c>
      <c r="D6" s="29"/>
      <c r="E6" s="191" t="s">
        <v>396</v>
      </c>
      <c r="F6" s="191" t="s">
        <v>290</v>
      </c>
      <c r="G6" s="191" t="s">
        <v>292</v>
      </c>
      <c r="H6" s="191" t="s">
        <v>293</v>
      </c>
      <c r="I6" s="191" t="s">
        <v>397</v>
      </c>
      <c r="J6" s="29"/>
      <c r="K6" s="29"/>
      <c r="L6" s="29"/>
      <c r="M6" s="29"/>
      <c r="N6" s="29"/>
      <c r="P6" s="29"/>
      <c r="Q6" s="29" t="s">
        <v>174</v>
      </c>
      <c r="R6" s="6">
        <f>MIN('1-Media'!$H$4:$H$87)</f>
        <v>20.258395487961774</v>
      </c>
      <c r="S6" s="29"/>
      <c r="T6" s="191" t="s">
        <v>396</v>
      </c>
      <c r="U6" s="191" t="s">
        <v>290</v>
      </c>
      <c r="V6" s="191" t="s">
        <v>292</v>
      </c>
      <c r="W6" s="191" t="s">
        <v>293</v>
      </c>
      <c r="X6" s="191" t="s">
        <v>397</v>
      </c>
      <c r="Y6" s="29"/>
      <c r="Z6" s="29"/>
      <c r="AA6" s="29"/>
      <c r="AB6" s="29"/>
      <c r="AC6" s="29"/>
      <c r="AE6" s="29"/>
      <c r="AF6" s="29" t="s">
        <v>174</v>
      </c>
      <c r="AG6" s="6">
        <f>MIN('stable MEDIA'!$AP$4:$AP$87)</f>
        <v>9.7368897742817484E-3</v>
      </c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</row>
    <row r="7" spans="1:44" x14ac:dyDescent="0.3">
      <c r="A7" s="29"/>
      <c r="B7" s="29" t="s">
        <v>175</v>
      </c>
      <c r="C7" s="6">
        <f>MAX('1-Media'!$AO$4:$AO$87)</f>
        <v>1.10530162245699</v>
      </c>
      <c r="D7" s="29"/>
      <c r="E7" s="29" t="str">
        <f>A10</f>
        <v>Period 1</v>
      </c>
      <c r="F7" s="22">
        <f>C11</f>
        <v>30</v>
      </c>
      <c r="G7" s="6">
        <f>C9</f>
        <v>0.34438752194515698</v>
      </c>
      <c r="H7" s="20">
        <f>C4^2</f>
        <v>6.9033378531533837E-2</v>
      </c>
      <c r="I7" s="29"/>
      <c r="J7" s="29"/>
      <c r="K7" s="29"/>
      <c r="L7" s="29"/>
      <c r="M7" s="29"/>
      <c r="N7" s="29"/>
      <c r="P7" s="29"/>
      <c r="Q7" s="29" t="s">
        <v>175</v>
      </c>
      <c r="R7" s="6">
        <f>MAX('1-Media'!$H$4:$H$87)</f>
        <v>32.51722166001155</v>
      </c>
      <c r="S7" s="29"/>
      <c r="T7" s="29" t="str">
        <f>P9</f>
        <v>Period 1</v>
      </c>
      <c r="U7" s="22">
        <f>R10</f>
        <v>22</v>
      </c>
      <c r="V7" s="6">
        <f>R8</f>
        <v>29.037493403120184</v>
      </c>
      <c r="W7" s="20">
        <f>R4^2</f>
        <v>3.6194675815445851</v>
      </c>
      <c r="X7" s="29"/>
      <c r="Y7" s="29"/>
      <c r="Z7" s="29"/>
      <c r="AA7" s="29"/>
      <c r="AB7" s="29"/>
      <c r="AC7" s="29"/>
      <c r="AE7" s="29"/>
      <c r="AF7" s="29" t="s">
        <v>175</v>
      </c>
      <c r="AG7" s="6">
        <f>MAX('stable MEDIA'!$AP$4:$AP$87)</f>
        <v>0.47486084158016739</v>
      </c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</row>
    <row r="8" spans="1:44" x14ac:dyDescent="0.3">
      <c r="B8" t="s">
        <v>442</v>
      </c>
      <c r="C8" s="6">
        <f>DEVSQ('1-Media'!$AO$4:$AO$87)</f>
        <v>3.3826355480451613</v>
      </c>
      <c r="D8" s="29"/>
      <c r="E8" s="29" t="str">
        <f>A16</f>
        <v>Period 2</v>
      </c>
      <c r="F8" s="22">
        <f>C17</f>
        <v>21</v>
      </c>
      <c r="G8" s="20">
        <f>C15</f>
        <v>0.30321002962802029</v>
      </c>
      <c r="H8" s="20">
        <f>C16^2</f>
        <v>6.6791486641397529E-2</v>
      </c>
      <c r="I8" s="29"/>
      <c r="J8" s="29"/>
      <c r="K8" s="29"/>
      <c r="L8" s="29"/>
      <c r="M8" s="29"/>
      <c r="N8" s="29"/>
      <c r="P8" s="29" t="s">
        <v>434</v>
      </c>
      <c r="Q8" s="29" t="s">
        <v>388</v>
      </c>
      <c r="R8" s="6">
        <f>AVERAGE('1-Media'!$H$4:$H$53)</f>
        <v>29.037493403120184</v>
      </c>
      <c r="S8" s="29"/>
      <c r="T8" s="29" t="str">
        <f>P14</f>
        <v>Period 2</v>
      </c>
      <c r="U8" s="22">
        <f>R15</f>
        <v>29</v>
      </c>
      <c r="V8" s="20">
        <f>R13</f>
        <v>30.236000637150372</v>
      </c>
      <c r="W8" s="20">
        <f>R14^2</f>
        <v>1.4580413178283611</v>
      </c>
      <c r="X8" s="29"/>
      <c r="Y8" s="29"/>
      <c r="Z8" s="29"/>
      <c r="AA8" s="29"/>
      <c r="AB8" s="29"/>
      <c r="AC8" s="29"/>
      <c r="AE8" s="29"/>
      <c r="AF8" s="29" t="s">
        <v>442</v>
      </c>
      <c r="AG8" s="6">
        <f>DEVSQ('stable MEDIA'!$AP$4:$AP$87)</f>
        <v>0.68596769539591529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</row>
    <row r="9" spans="1:44" x14ac:dyDescent="0.3">
      <c r="A9" s="29" t="s">
        <v>434</v>
      </c>
      <c r="B9" s="29" t="s">
        <v>388</v>
      </c>
      <c r="C9" s="6">
        <f>AVERAGE('1-Media'!$AO$4:$AO$63)</f>
        <v>0.34438752194515698</v>
      </c>
      <c r="D9" s="29"/>
      <c r="E9" s="8" t="s">
        <v>398</v>
      </c>
      <c r="F9" s="8"/>
      <c r="G9" s="8"/>
      <c r="H9" s="8">
        <f>((F7-1)*H7+(F8-1)*H8)/(F7+F8-2)</f>
        <v>6.8118320617192488E-2</v>
      </c>
      <c r="I9" s="8">
        <f>ABS(G7-G8-I5)/SQRT(H9)</f>
        <v>0.1577712726129796</v>
      </c>
      <c r="J9" s="29"/>
      <c r="K9" s="29"/>
      <c r="L9" s="29"/>
      <c r="M9" s="29"/>
      <c r="N9" s="29"/>
      <c r="P9" s="29" t="s">
        <v>411</v>
      </c>
      <c r="Q9" s="29" t="s">
        <v>389</v>
      </c>
      <c r="R9" s="6">
        <f>STDEV('1-Media'!$H$4:$H$53)</f>
        <v>2.4120618996020764</v>
      </c>
      <c r="S9" s="29"/>
      <c r="T9" s="8" t="s">
        <v>398</v>
      </c>
      <c r="U9" s="8"/>
      <c r="V9" s="8"/>
      <c r="W9" s="8">
        <f>((U7-1)*W7+(U8-1)*W8)/(U7+U8-2)</f>
        <v>2.3843668594210286</v>
      </c>
      <c r="X9" s="8">
        <f>ABS(V7-V8-X5)/SQRT(W9)</f>
        <v>0.77616511847224645</v>
      </c>
      <c r="Y9" s="29"/>
      <c r="Z9" s="29"/>
      <c r="AA9" s="29"/>
      <c r="AB9" s="29"/>
      <c r="AC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</row>
    <row r="10" spans="1:44" x14ac:dyDescent="0.3">
      <c r="A10" s="29" t="s">
        <v>411</v>
      </c>
      <c r="B10" s="29" t="s">
        <v>389</v>
      </c>
      <c r="C10" s="6">
        <f>STDEV('1-Media'!$AO$4:$AO$63)</f>
        <v>0.26448525467023043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P10" s="29"/>
      <c r="Q10" s="29" t="s">
        <v>200</v>
      </c>
      <c r="R10" s="22">
        <f>COUNT('1-Media'!$H$4:$H$53)</f>
        <v>22</v>
      </c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</row>
    <row r="11" spans="1:44" ht="15" thickBot="1" x14ac:dyDescent="0.35">
      <c r="A11" s="29"/>
      <c r="B11" s="29" t="s">
        <v>200</v>
      </c>
      <c r="C11" s="22">
        <f>COUNT('1-Media'!$AO$4:$AO$63)</f>
        <v>30</v>
      </c>
      <c r="D11" s="29"/>
      <c r="E11" s="29" t="s">
        <v>399</v>
      </c>
      <c r="F11" s="29"/>
      <c r="G11" s="29"/>
      <c r="H11" s="29"/>
      <c r="I11" s="29" t="s">
        <v>288</v>
      </c>
      <c r="J11" s="29">
        <v>0.05</v>
      </c>
      <c r="K11" s="29"/>
      <c r="L11" s="29"/>
      <c r="M11" s="29"/>
      <c r="N11" s="29"/>
      <c r="P11" s="29"/>
      <c r="Q11" s="29" t="s">
        <v>174</v>
      </c>
      <c r="R11" s="6">
        <f>MIN('1-Media'!$H$4:$H$53)</f>
        <v>20.258395487961774</v>
      </c>
      <c r="S11" s="29"/>
      <c r="T11" s="29" t="s">
        <v>399</v>
      </c>
      <c r="U11" s="29"/>
      <c r="V11" s="29"/>
      <c r="W11" s="29"/>
      <c r="X11" s="29" t="s">
        <v>288</v>
      </c>
      <c r="Y11" s="29">
        <v>0.05</v>
      </c>
      <c r="Z11" s="29"/>
      <c r="AA11" s="29"/>
      <c r="AB11" s="29"/>
      <c r="AC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</row>
    <row r="12" spans="1:44" ht="15" thickTop="1" x14ac:dyDescent="0.3">
      <c r="A12" s="29"/>
      <c r="B12" s="29" t="s">
        <v>174</v>
      </c>
      <c r="C12" s="6">
        <f>MIN('1-Media'!$AO$4:$AO$63)</f>
        <v>7.0982502543284226E-2</v>
      </c>
      <c r="D12" s="29"/>
      <c r="E12" s="191" t="s">
        <v>400</v>
      </c>
      <c r="F12" s="191" t="s">
        <v>401</v>
      </c>
      <c r="G12" s="191" t="s">
        <v>402</v>
      </c>
      <c r="H12" s="191" t="s">
        <v>205</v>
      </c>
      <c r="I12" s="191" t="s">
        <v>311</v>
      </c>
      <c r="J12" s="191" t="s">
        <v>403</v>
      </c>
      <c r="K12" s="191" t="s">
        <v>404</v>
      </c>
      <c r="L12" s="191" t="s">
        <v>405</v>
      </c>
      <c r="M12" s="191" t="s">
        <v>406</v>
      </c>
      <c r="N12" s="191" t="s">
        <v>407</v>
      </c>
      <c r="P12" s="29"/>
      <c r="Q12" s="29" t="s">
        <v>175</v>
      </c>
      <c r="R12" s="6">
        <f>MAX('1-Media'!$H$4:$H$53)</f>
        <v>32.51722166001155</v>
      </c>
      <c r="S12" s="29"/>
      <c r="T12" s="191" t="s">
        <v>400</v>
      </c>
      <c r="U12" s="191" t="s">
        <v>401</v>
      </c>
      <c r="V12" s="191" t="s">
        <v>402</v>
      </c>
      <c r="W12" s="191" t="s">
        <v>205</v>
      </c>
      <c r="X12" s="191" t="s">
        <v>311</v>
      </c>
      <c r="Y12" s="191" t="s">
        <v>403</v>
      </c>
      <c r="Z12" s="191" t="s">
        <v>404</v>
      </c>
      <c r="AA12" s="191" t="s">
        <v>405</v>
      </c>
      <c r="AB12" s="191" t="s">
        <v>406</v>
      </c>
      <c r="AC12" s="191" t="s">
        <v>407</v>
      </c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</row>
    <row r="13" spans="1:44" x14ac:dyDescent="0.3">
      <c r="A13" s="29"/>
      <c r="B13" s="29" t="s">
        <v>175</v>
      </c>
      <c r="C13" s="6">
        <f>MAX('1-Media'!$AO$4:$AO$63)</f>
        <v>1.10530162245699</v>
      </c>
      <c r="D13" s="29"/>
      <c r="E13" s="29" t="s">
        <v>408</v>
      </c>
      <c r="F13" s="29">
        <f>SQRT(H9*(1/F7+1/F8))</f>
        <v>7.4258603814234159E-2</v>
      </c>
      <c r="G13" s="29">
        <f>(ABS(G7-G8-I5))/F13</f>
        <v>0.55451476599461247</v>
      </c>
      <c r="H13" s="29">
        <f>F7+F8-2</f>
        <v>49</v>
      </c>
      <c r="I13" s="29">
        <f>TDIST(G13,H13,1)</f>
        <v>0.2908744510900001</v>
      </c>
      <c r="J13" s="29">
        <f>TINV(J11*2,H13)</f>
        <v>1.6765508926168529</v>
      </c>
      <c r="K13" s="29"/>
      <c r="L13" s="29"/>
      <c r="M13" s="183" t="str">
        <f>IF(I13&lt;J11,"yes","no")</f>
        <v>no</v>
      </c>
      <c r="N13" s="29">
        <f>SQRT(G13^2/(G13^2+H13))</f>
        <v>7.8969008007681085E-2</v>
      </c>
      <c r="P13" s="29" t="s">
        <v>435</v>
      </c>
      <c r="Q13" s="29" t="s">
        <v>388</v>
      </c>
      <c r="R13" s="6">
        <f>AVERAGE('1-Media'!$H$54:$H$87)</f>
        <v>30.236000637150372</v>
      </c>
      <c r="S13" s="29"/>
      <c r="T13" s="29" t="s">
        <v>408</v>
      </c>
      <c r="U13" s="29">
        <f>SQRT(W9*(1/U7+1/U8))</f>
        <v>0.43657743719579939</v>
      </c>
      <c r="V13" s="29">
        <f>(ABS(V7-V8-X5))/U13</f>
        <v>2.7452340224643197</v>
      </c>
      <c r="W13" s="29">
        <f>U7+U8-2</f>
        <v>49</v>
      </c>
      <c r="X13" s="29">
        <f>TDIST(V13,W13,1)</f>
        <v>4.2150068564134838E-3</v>
      </c>
      <c r="Y13" s="29">
        <f>TINV(Y11*2,W13)</f>
        <v>1.6765508926168529</v>
      </c>
      <c r="Z13" s="29"/>
      <c r="AA13" s="29"/>
      <c r="AB13" s="183" t="str">
        <f>IF(X13&lt;Y11,"yes","no")</f>
        <v>yes</v>
      </c>
      <c r="AC13" s="29">
        <f>SQRT(V13^2/(V13^2+W13))</f>
        <v>0.3651032033512952</v>
      </c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</row>
    <row r="14" spans="1:44" x14ac:dyDescent="0.3">
      <c r="B14" t="s">
        <v>442</v>
      </c>
      <c r="C14" s="6">
        <f>DEVSQ('1-Media'!$AO$4:$AO$63)</f>
        <v>2.0286210482013241</v>
      </c>
      <c r="D14" s="29"/>
      <c r="E14" s="29" t="s">
        <v>409</v>
      </c>
      <c r="F14" s="29">
        <f>F13</f>
        <v>7.4258603814234159E-2</v>
      </c>
      <c r="G14" s="29">
        <f>G13</f>
        <v>0.55451476599461247</v>
      </c>
      <c r="H14" s="29">
        <f t="shared" ref="H14" si="0">H13</f>
        <v>49</v>
      </c>
      <c r="I14" s="29">
        <f>TDIST(G14,H14,2)</f>
        <v>0.58174890218000019</v>
      </c>
      <c r="J14" s="29">
        <f>TINV(J11,H14)</f>
        <v>2.0095752371292388</v>
      </c>
      <c r="K14" s="29">
        <f>(G7-G8)-J14*F14</f>
        <v>-0.10805075905173911</v>
      </c>
      <c r="L14" s="29">
        <f>(G7-G8)+J14*F14</f>
        <v>0.19040574368601249</v>
      </c>
      <c r="M14" s="183" t="str">
        <f>IF(I14&lt;J11,"yes","no")</f>
        <v>no</v>
      </c>
      <c r="N14" s="29">
        <f>N13</f>
        <v>7.8969008007681085E-2</v>
      </c>
      <c r="P14" s="29" t="s">
        <v>412</v>
      </c>
      <c r="Q14" s="29" t="s">
        <v>389</v>
      </c>
      <c r="R14" s="6">
        <f>STDEV('1-Media'!$H$54:$H$96)</f>
        <v>1.2074938168903231</v>
      </c>
      <c r="S14" s="29"/>
      <c r="T14" s="29" t="s">
        <v>409</v>
      </c>
      <c r="U14" s="29">
        <f>U13</f>
        <v>0.43657743719579939</v>
      </c>
      <c r="V14" s="29">
        <f>V13</f>
        <v>2.7452340224643197</v>
      </c>
      <c r="W14" s="29">
        <f t="shared" ref="W14" si="1">W13</f>
        <v>49</v>
      </c>
      <c r="X14" s="29">
        <f>TDIST(V14,W14,2)</f>
        <v>8.4300137128269677E-3</v>
      </c>
      <c r="Y14" s="29">
        <f>TINV(Y11,W14)</f>
        <v>2.0095752371292388</v>
      </c>
      <c r="Z14" s="29">
        <f>(V7-V8)-Y14*U14</f>
        <v>-2.0758424409082123</v>
      </c>
      <c r="AA14" s="29">
        <f>(V7-V8)+Y14*U14</f>
        <v>-0.32117202715216442</v>
      </c>
      <c r="AB14" s="183" t="str">
        <f>IF(X14&lt;Y11,"yes","no")</f>
        <v>yes</v>
      </c>
      <c r="AC14" s="29">
        <f>AC13</f>
        <v>0.3651032033512952</v>
      </c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spans="1:44" x14ac:dyDescent="0.3">
      <c r="A15" s="29" t="s">
        <v>435</v>
      </c>
      <c r="B15" s="29" t="s">
        <v>388</v>
      </c>
      <c r="C15" s="6">
        <f>AVERAGE('1-Media'!$AO$63:$AO$87)</f>
        <v>0.30321002962802029</v>
      </c>
      <c r="D15" s="29"/>
      <c r="E15" s="8"/>
      <c r="F15" s="8"/>
      <c r="G15" s="8"/>
      <c r="H15" s="8"/>
      <c r="I15" s="8"/>
      <c r="J15" s="8"/>
      <c r="K15" s="8"/>
      <c r="L15" s="8"/>
      <c r="M15" s="8"/>
      <c r="N15" s="8"/>
      <c r="P15" s="29"/>
      <c r="Q15" s="29" t="s">
        <v>200</v>
      </c>
      <c r="R15" s="22">
        <f>COUNT('1-Media'!$H$54:$H$90)</f>
        <v>29</v>
      </c>
      <c r="S15" s="29"/>
      <c r="T15" s="8"/>
      <c r="U15" s="8"/>
      <c r="V15" s="8"/>
      <c r="W15" s="8"/>
      <c r="X15" s="8"/>
      <c r="Y15" s="8"/>
      <c r="Z15" s="8"/>
      <c r="AA15" s="8"/>
      <c r="AB15" s="8"/>
      <c r="AC15" s="8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</row>
    <row r="16" spans="1:44" ht="15" thickBot="1" x14ac:dyDescent="0.35">
      <c r="A16" s="29" t="s">
        <v>412</v>
      </c>
      <c r="B16" s="29" t="s">
        <v>389</v>
      </c>
      <c r="C16" s="6">
        <f>STDEV('1-Media'!$AO$63:$AO$96)</f>
        <v>0.25844048955494092</v>
      </c>
      <c r="D16" s="29"/>
      <c r="E16" s="29" t="s">
        <v>410</v>
      </c>
      <c r="F16" s="29"/>
      <c r="G16" s="29"/>
      <c r="H16" s="29"/>
      <c r="I16" s="29" t="s">
        <v>288</v>
      </c>
      <c r="J16" s="29">
        <f>J11</f>
        <v>0.05</v>
      </c>
      <c r="K16" s="29"/>
      <c r="L16" s="29"/>
      <c r="M16" s="29"/>
      <c r="N16" s="29"/>
      <c r="P16" s="29"/>
      <c r="Q16" s="29" t="s">
        <v>174</v>
      </c>
      <c r="R16" s="6">
        <f>MIN('1-Media'!$H$54:$H$87)</f>
        <v>25.653600126701441</v>
      </c>
      <c r="S16" s="29"/>
      <c r="T16" s="29" t="s">
        <v>410</v>
      </c>
      <c r="U16" s="29"/>
      <c r="V16" s="29"/>
      <c r="W16" s="29"/>
      <c r="X16" s="29" t="s">
        <v>288</v>
      </c>
      <c r="Y16" s="29">
        <f>Y11</f>
        <v>0.05</v>
      </c>
      <c r="Z16" s="29"/>
      <c r="AA16" s="29"/>
      <c r="AB16" s="29"/>
      <c r="AC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</row>
    <row r="17" spans="1:44" ht="15" thickTop="1" x14ac:dyDescent="0.3">
      <c r="A17" s="29"/>
      <c r="B17" s="29" t="s">
        <v>200</v>
      </c>
      <c r="C17" s="22">
        <f>COUNT('1-Media'!$AO$63:$AO$90)</f>
        <v>21</v>
      </c>
      <c r="D17" s="29"/>
      <c r="E17" s="191" t="s">
        <v>400</v>
      </c>
      <c r="F17" s="191" t="s">
        <v>401</v>
      </c>
      <c r="G17" s="191" t="s">
        <v>402</v>
      </c>
      <c r="H17" s="191" t="s">
        <v>205</v>
      </c>
      <c r="I17" s="191" t="s">
        <v>311</v>
      </c>
      <c r="J17" s="191" t="s">
        <v>403</v>
      </c>
      <c r="K17" s="191" t="s">
        <v>404</v>
      </c>
      <c r="L17" s="191" t="s">
        <v>405</v>
      </c>
      <c r="M17" s="191" t="s">
        <v>406</v>
      </c>
      <c r="N17" s="191" t="s">
        <v>407</v>
      </c>
      <c r="P17" s="29"/>
      <c r="Q17" s="29" t="s">
        <v>175</v>
      </c>
      <c r="R17" s="6">
        <f>MAX('1-Media'!$H$54:$H$87)</f>
        <v>31.159713438590838</v>
      </c>
      <c r="S17" s="29"/>
      <c r="T17" s="191" t="s">
        <v>400</v>
      </c>
      <c r="U17" s="191" t="s">
        <v>401</v>
      </c>
      <c r="V17" s="191" t="s">
        <v>402</v>
      </c>
      <c r="W17" s="191" t="s">
        <v>205</v>
      </c>
      <c r="X17" s="191" t="s">
        <v>311</v>
      </c>
      <c r="Y17" s="191" t="s">
        <v>403</v>
      </c>
      <c r="Z17" s="191" t="s">
        <v>404</v>
      </c>
      <c r="AA17" s="191" t="s">
        <v>405</v>
      </c>
      <c r="AB17" s="191" t="s">
        <v>406</v>
      </c>
      <c r="AC17" s="191" t="s">
        <v>407</v>
      </c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</row>
    <row r="18" spans="1:44" x14ac:dyDescent="0.3">
      <c r="A18" s="29"/>
      <c r="B18" s="29" t="s">
        <v>174</v>
      </c>
      <c r="C18" s="6">
        <f>MIN('1-Media'!$AO$63:$AO$87)</f>
        <v>2.6924477830995913E-2</v>
      </c>
      <c r="D18" s="29"/>
      <c r="E18" s="29" t="s">
        <v>408</v>
      </c>
      <c r="F18" s="29">
        <f>SQRT(H7/F7+H8/F8)</f>
        <v>7.4038230669306829E-2</v>
      </c>
      <c r="G18" s="29">
        <f>(ABS(G7-G8-I5))/F18</f>
        <v>0.55616526684783629</v>
      </c>
      <c r="H18" s="29">
        <f>(H7/F7+H8/F8)^2/((H7/F7)^2/(F7-1)+(H8/F8)^2/(F8-1))</f>
        <v>43.650898264745649</v>
      </c>
      <c r="I18" s="29" t="e">
        <f ca="1">[1]!T_DIST_RT(G18,H18)</f>
        <v>#NAME?</v>
      </c>
      <c r="J18" s="29" t="e">
        <f ca="1">[1]!T_INV(1-J16,H18)</f>
        <v>#NAME?</v>
      </c>
      <c r="K18" s="29"/>
      <c r="L18" s="29"/>
      <c r="M18" s="183" t="e">
        <f ca="1">IF(I18&lt;J16,"yes","no")</f>
        <v>#NAME?</v>
      </c>
      <c r="N18" s="29">
        <f>SQRT(G18^2/(G18^2+H18))</f>
        <v>8.3882998051459087E-2</v>
      </c>
      <c r="P18" s="29"/>
      <c r="Q18" s="29"/>
      <c r="R18" s="29"/>
      <c r="S18" s="29"/>
      <c r="T18" s="29" t="s">
        <v>408</v>
      </c>
      <c r="U18" s="29">
        <f>SQRT(W7/U7+W8/U8)</f>
        <v>0.46346363452620498</v>
      </c>
      <c r="V18" s="29">
        <f>(ABS(V7-V8-X5))/U18</f>
        <v>2.5859790170061827</v>
      </c>
      <c r="W18" s="29">
        <f>(W7/U7+W8/U8)^2/((W7/U7)^2/(U7-1)+(W8/U8)^2/(U8-1))</f>
        <v>33.453144529721655</v>
      </c>
      <c r="X18" s="29" t="e">
        <f ca="1">[1]!T_DIST_RT(V18,W18)</f>
        <v>#NAME?</v>
      </c>
      <c r="Y18" s="29" t="e">
        <f ca="1">[1]!T_INV(1-Y16,W18)</f>
        <v>#NAME?</v>
      </c>
      <c r="Z18" s="29"/>
      <c r="AA18" s="29"/>
      <c r="AB18" s="183" t="e">
        <f ca="1">IF(X18&lt;Y16,"yes","no")</f>
        <v>#NAME?</v>
      </c>
      <c r="AC18" s="29">
        <f>SQRT(V18^2/(V18^2+W18))</f>
        <v>0.40816332159294882</v>
      </c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</row>
    <row r="19" spans="1:44" x14ac:dyDescent="0.3">
      <c r="A19" s="29"/>
      <c r="B19" s="29" t="s">
        <v>175</v>
      </c>
      <c r="C19" s="6">
        <f>MAX('1-Media'!$AO$63:$AO$87)</f>
        <v>0.99995662423532594</v>
      </c>
      <c r="D19" s="29"/>
      <c r="E19" s="29" t="s">
        <v>409</v>
      </c>
      <c r="F19" s="29">
        <f>F18</f>
        <v>7.4038230669306829E-2</v>
      </c>
      <c r="G19" s="29">
        <f t="shared" ref="G19:H19" si="2">G18</f>
        <v>0.55616526684783629</v>
      </c>
      <c r="H19" s="29">
        <f t="shared" si="2"/>
        <v>43.650898264745649</v>
      </c>
      <c r="I19" s="29" t="e">
        <f ca="1">[1]!T_DIST_2T(G19,H19)</f>
        <v>#NAME?</v>
      </c>
      <c r="J19" s="29" t="e">
        <f ca="1">[1]!T_INV_2T(J16,H19)</f>
        <v>#NAME?</v>
      </c>
      <c r="K19" s="29" t="e">
        <f ca="1">(G7-G8)-J19*F19</f>
        <v>#NAME?</v>
      </c>
      <c r="L19" s="29" t="e">
        <f ca="1">(G7-G8)+J19*F19</f>
        <v>#NAME?</v>
      </c>
      <c r="M19" s="183" t="e">
        <f ca="1">IF(I19&lt;J16,"yes","no")</f>
        <v>#NAME?</v>
      </c>
      <c r="N19" s="29">
        <f>N18</f>
        <v>8.3882998051459087E-2</v>
      </c>
      <c r="P19" s="29"/>
      <c r="Q19" s="29"/>
      <c r="R19" s="29"/>
      <c r="S19" s="29"/>
      <c r="T19" s="29" t="s">
        <v>409</v>
      </c>
      <c r="U19" s="29">
        <f>U18</f>
        <v>0.46346363452620498</v>
      </c>
      <c r="V19" s="29">
        <f t="shared" ref="V19:W19" si="3">V18</f>
        <v>2.5859790170061827</v>
      </c>
      <c r="W19" s="29">
        <f t="shared" si="3"/>
        <v>33.453144529721655</v>
      </c>
      <c r="X19" s="29" t="e">
        <f ca="1">[1]!T_DIST_2T(V19,W19)</f>
        <v>#NAME?</v>
      </c>
      <c r="Y19" s="29" t="e">
        <f ca="1">[1]!T_INV_2T(Y16,W19)</f>
        <v>#NAME?</v>
      </c>
      <c r="Z19" s="29" t="e">
        <f ca="1">(V7-V8)-Y19*U19</f>
        <v>#NAME?</v>
      </c>
      <c r="AA19" s="29" t="e">
        <f ca="1">(V7-V8)+Y19*U19</f>
        <v>#NAME?</v>
      </c>
      <c r="AB19" s="183" t="e">
        <f ca="1">IF(X19&lt;Y16,"yes","no")</f>
        <v>#NAME?</v>
      </c>
      <c r="AC19" s="29">
        <f>AC18</f>
        <v>0.40816332159294882</v>
      </c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</row>
    <row r="20" spans="1:44" x14ac:dyDescent="0.3">
      <c r="A20" s="29"/>
      <c r="B20" s="29" t="s">
        <v>442</v>
      </c>
      <c r="C20" s="6">
        <f>DEVSQ('1-Media'!$AO$63:$AO$87)</f>
        <v>1.3358297328279505</v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</row>
    <row r="21" spans="1:44" x14ac:dyDescent="0.3">
      <c r="A21" s="29"/>
      <c r="B21" s="29"/>
      <c r="C21" s="29"/>
      <c r="D21" s="29"/>
      <c r="H21" s="29"/>
      <c r="I21" s="29"/>
      <c r="J21" s="29"/>
      <c r="K21" s="29"/>
      <c r="L21" s="29"/>
      <c r="M21" s="29"/>
      <c r="N21" s="29"/>
      <c r="O21" s="229" t="s">
        <v>44</v>
      </c>
      <c r="P21" s="362" t="s">
        <v>415</v>
      </c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227" t="s">
        <v>482</v>
      </c>
      <c r="AE21" s="358" t="s">
        <v>457</v>
      </c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</row>
    <row r="22" spans="1:44" x14ac:dyDescent="0.3">
      <c r="A22" s="29"/>
      <c r="B22" s="29"/>
      <c r="C22" s="29"/>
      <c r="D22" s="29"/>
      <c r="H22" s="29"/>
      <c r="I22" s="29"/>
      <c r="J22" s="29"/>
      <c r="K22" s="29"/>
      <c r="L22" s="29"/>
      <c r="M22" s="29"/>
      <c r="N22" s="29"/>
      <c r="P22" s="29" t="s">
        <v>390</v>
      </c>
      <c r="Q22" s="29" t="s">
        <v>388</v>
      </c>
      <c r="R22" s="6">
        <f>AVERAGE('1-Influent'!$T$4:$T$87)</f>
        <v>1.8638030205482354</v>
      </c>
      <c r="S22" s="29"/>
      <c r="T22" s="29" t="s">
        <v>393</v>
      </c>
      <c r="U22" s="29"/>
      <c r="V22" s="29"/>
      <c r="W22" s="29"/>
      <c r="X22" s="29"/>
      <c r="Y22" s="29"/>
      <c r="Z22" s="29"/>
      <c r="AA22" s="29"/>
      <c r="AB22" s="29"/>
      <c r="AC22" s="29"/>
      <c r="AE22" s="29" t="s">
        <v>390</v>
      </c>
      <c r="AF22" s="29" t="s">
        <v>388</v>
      </c>
      <c r="AG22" s="6">
        <f>AVERAGE('stable MEDIA'!$AR$4:$AR$87)</f>
        <v>0.58639445918401156</v>
      </c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</row>
    <row r="23" spans="1:44" x14ac:dyDescent="0.3">
      <c r="A23" s="29"/>
      <c r="B23" s="29"/>
      <c r="C23" s="29"/>
      <c r="D23" s="29"/>
      <c r="H23" s="29"/>
      <c r="I23" s="29"/>
      <c r="J23" s="29"/>
      <c r="K23" s="29"/>
      <c r="L23" s="29"/>
      <c r="M23" s="29"/>
      <c r="N23" s="29"/>
      <c r="P23" s="29" t="s">
        <v>307</v>
      </c>
      <c r="Q23" s="29" t="s">
        <v>389</v>
      </c>
      <c r="R23" s="6">
        <f>STDEV('1-Influent'!$T$4:$T$87)</f>
        <v>0.3382745131685852</v>
      </c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E23" s="29" t="s">
        <v>307</v>
      </c>
      <c r="AF23" s="29" t="s">
        <v>389</v>
      </c>
      <c r="AG23" s="6">
        <f>STDEV('stable MEDIA'!$AR$4:$AR$87)</f>
        <v>0.2148799127462013</v>
      </c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</row>
    <row r="24" spans="1:44" ht="15" thickBot="1" x14ac:dyDescent="0.35">
      <c r="A24" s="29"/>
      <c r="B24" s="29"/>
      <c r="C24" s="29"/>
      <c r="D24" s="29"/>
      <c r="H24" s="29"/>
      <c r="I24" s="29"/>
      <c r="J24" s="29"/>
      <c r="K24" s="29"/>
      <c r="L24" s="29"/>
      <c r="M24" s="29"/>
      <c r="N24" s="29"/>
      <c r="P24" s="29"/>
      <c r="Q24" s="29" t="s">
        <v>200</v>
      </c>
      <c r="R24" s="22">
        <f>COUNT('1-Influent'!$T$4:$T$87)</f>
        <v>66</v>
      </c>
      <c r="S24" s="29"/>
      <c r="T24" s="29" t="s">
        <v>394</v>
      </c>
      <c r="U24" s="29"/>
      <c r="V24" s="29"/>
      <c r="W24" s="29" t="s">
        <v>395</v>
      </c>
      <c r="X24" s="6">
        <v>0</v>
      </c>
      <c r="Y24" s="29"/>
      <c r="Z24" s="29"/>
      <c r="AA24" s="29"/>
      <c r="AB24" s="29"/>
      <c r="AC24" s="29"/>
      <c r="AE24" s="29"/>
      <c r="AF24" s="29" t="s">
        <v>200</v>
      </c>
      <c r="AG24" s="22">
        <f>COUNT('stable MEDIA'!$AR$4:$AR$87)</f>
        <v>42</v>
      </c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</row>
    <row r="25" spans="1:44" ht="15" thickTop="1" x14ac:dyDescent="0.3">
      <c r="A25" s="29"/>
      <c r="B25" s="29"/>
      <c r="C25" s="29"/>
      <c r="D25" s="29"/>
      <c r="H25" s="29"/>
      <c r="I25" s="29"/>
      <c r="J25" s="29"/>
      <c r="K25" s="29"/>
      <c r="L25" s="29"/>
      <c r="M25" s="29"/>
      <c r="N25" s="29"/>
      <c r="P25" s="29"/>
      <c r="Q25" s="29" t="s">
        <v>174</v>
      </c>
      <c r="R25" s="6">
        <f>MIN('1-Influent'!$T$4:$T$87)</f>
        <v>0.79175207650022228</v>
      </c>
      <c r="S25" s="29"/>
      <c r="T25" s="191" t="s">
        <v>396</v>
      </c>
      <c r="U25" s="191" t="s">
        <v>290</v>
      </c>
      <c r="V25" s="191" t="s">
        <v>292</v>
      </c>
      <c r="W25" s="191" t="s">
        <v>293</v>
      </c>
      <c r="X25" s="191" t="s">
        <v>397</v>
      </c>
      <c r="Y25" s="29"/>
      <c r="Z25" s="29"/>
      <c r="AA25" s="29"/>
      <c r="AB25" s="29"/>
      <c r="AC25" s="29"/>
      <c r="AE25" s="29"/>
      <c r="AF25" s="29" t="s">
        <v>174</v>
      </c>
      <c r="AG25" s="6">
        <f>MIN('stable MEDIA'!$AR$4:$AR$87)</f>
        <v>0.25673955369177776</v>
      </c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</row>
    <row r="26" spans="1:44" x14ac:dyDescent="0.3">
      <c r="A26" s="29"/>
      <c r="B26" s="29"/>
      <c r="C26" s="29"/>
      <c r="D26" s="29"/>
      <c r="H26" s="29"/>
      <c r="I26" s="29"/>
      <c r="J26" s="29"/>
      <c r="K26" s="29"/>
      <c r="L26" s="29"/>
      <c r="M26" s="29"/>
      <c r="N26" s="29"/>
      <c r="P26" s="29"/>
      <c r="Q26" s="29" t="s">
        <v>175</v>
      </c>
      <c r="R26" s="6">
        <f>MAX('1-Influent'!$T$4:$T$87)</f>
        <v>3.1483087597571551</v>
      </c>
      <c r="S26" s="29"/>
      <c r="T26" s="29" t="str">
        <f>P28</f>
        <v>Period 1</v>
      </c>
      <c r="U26" s="22">
        <f>R29</f>
        <v>32</v>
      </c>
      <c r="V26" s="6">
        <f>R27</f>
        <v>2.0147177442428683</v>
      </c>
      <c r="W26" s="20">
        <f>R23^2</f>
        <v>0.11442964625944332</v>
      </c>
      <c r="X26" s="29"/>
      <c r="Y26" s="29"/>
      <c r="Z26" s="29"/>
      <c r="AA26" s="29"/>
      <c r="AB26" s="29"/>
      <c r="AC26" s="29"/>
      <c r="AE26" s="29"/>
      <c r="AF26" s="29" t="s">
        <v>175</v>
      </c>
      <c r="AG26" s="6">
        <f>MAX('stable MEDIA'!$AR$4:$AR$87)</f>
        <v>0.96376424933300997</v>
      </c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</row>
    <row r="27" spans="1:44" x14ac:dyDescent="0.3">
      <c r="A27" s="29"/>
      <c r="B27" s="29"/>
      <c r="C27" s="29"/>
      <c r="D27" s="29"/>
      <c r="H27" s="29"/>
      <c r="I27" s="29"/>
      <c r="J27" s="29"/>
      <c r="K27" s="29"/>
      <c r="L27" s="29"/>
      <c r="M27" s="29"/>
      <c r="N27" s="29"/>
      <c r="P27" s="29" t="s">
        <v>434</v>
      </c>
      <c r="Q27" s="29" t="s">
        <v>388</v>
      </c>
      <c r="R27" s="6">
        <f>AVERAGE('1-Influent'!$T$4:$T$53)</f>
        <v>2.0147177442428683</v>
      </c>
      <c r="S27" s="29"/>
      <c r="T27" s="29" t="str">
        <f>P33</f>
        <v>Period 2</v>
      </c>
      <c r="U27" s="22">
        <f>R34</f>
        <v>37</v>
      </c>
      <c r="V27" s="20">
        <f>R32</f>
        <v>1.721765633541521</v>
      </c>
      <c r="W27" s="20">
        <f>R33^2</f>
        <v>7.7916459412031555E-2</v>
      </c>
      <c r="X27" s="29"/>
      <c r="Y27" s="29"/>
      <c r="Z27" s="29"/>
      <c r="AA27" s="29"/>
      <c r="AB27" s="29"/>
      <c r="AC27" s="29"/>
      <c r="AE27" s="29"/>
      <c r="AF27" s="29" t="s">
        <v>442</v>
      </c>
      <c r="AG27" s="6">
        <f>DEVSQ('stable MEDIA'!$AR$4:$AR$87)</f>
        <v>1.8931084529744178</v>
      </c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</row>
    <row r="28" spans="1:44" x14ac:dyDescent="0.3">
      <c r="A28" s="29"/>
      <c r="B28" s="29"/>
      <c r="C28" s="29"/>
      <c r="D28" s="29"/>
      <c r="H28" s="29"/>
      <c r="I28" s="29"/>
      <c r="J28" s="29"/>
      <c r="K28" s="29"/>
      <c r="L28" s="29"/>
      <c r="M28" s="29"/>
      <c r="N28" s="29"/>
      <c r="P28" s="29" t="s">
        <v>411</v>
      </c>
      <c r="Q28" s="29" t="s">
        <v>389</v>
      </c>
      <c r="R28" s="6">
        <f>STDEV('1-Influent'!$T$4:$T$53)</f>
        <v>0.3236910656598746</v>
      </c>
      <c r="S28" s="29"/>
      <c r="T28" s="8" t="s">
        <v>398</v>
      </c>
      <c r="U28" s="8"/>
      <c r="V28" s="8"/>
      <c r="W28" s="8">
        <f>((U26-1)*W26+(U27-1)*W27)/(U26+U27-2)</f>
        <v>9.4810620490684755E-2</v>
      </c>
      <c r="X28" s="8">
        <f>ABS(V26-V27-X24)/SQRT(W28)</f>
        <v>0.95141093136991672</v>
      </c>
      <c r="Y28" s="29"/>
      <c r="Z28" s="29"/>
      <c r="AA28" s="29"/>
      <c r="AB28" s="29"/>
      <c r="AC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</row>
    <row r="29" spans="1:44" x14ac:dyDescent="0.3">
      <c r="A29" s="29"/>
      <c r="B29" s="29"/>
      <c r="C29" s="29"/>
      <c r="D29" s="29"/>
      <c r="H29" s="29"/>
      <c r="I29" s="29"/>
      <c r="J29" s="29"/>
      <c r="K29" s="29"/>
      <c r="L29" s="29"/>
      <c r="M29" s="29"/>
      <c r="N29" s="29"/>
      <c r="P29" s="29"/>
      <c r="Q29" s="29" t="s">
        <v>200</v>
      </c>
      <c r="R29" s="22">
        <f>COUNT('1-Influent'!$T$4:$T$53)</f>
        <v>32</v>
      </c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</row>
    <row r="30" spans="1:44" ht="15" thickBot="1" x14ac:dyDescent="0.35">
      <c r="A30" s="29"/>
      <c r="B30" s="29"/>
      <c r="C30" s="29"/>
      <c r="D30" s="29"/>
      <c r="H30" s="29"/>
      <c r="I30" s="29"/>
      <c r="J30" s="29"/>
      <c r="K30" s="29"/>
      <c r="L30" s="29"/>
      <c r="M30" s="29"/>
      <c r="N30" s="29"/>
      <c r="P30" s="29"/>
      <c r="Q30" s="29" t="s">
        <v>174</v>
      </c>
      <c r="R30" s="6">
        <f>MIN('1-Influent'!$T$4:$T$53)</f>
        <v>1.694372120969357</v>
      </c>
      <c r="S30" s="29"/>
      <c r="T30" s="29" t="s">
        <v>399</v>
      </c>
      <c r="U30" s="29"/>
      <c r="V30" s="29"/>
      <c r="W30" s="29"/>
      <c r="X30" s="29" t="s">
        <v>288</v>
      </c>
      <c r="Y30" s="29">
        <v>0.05</v>
      </c>
      <c r="Z30" s="29"/>
      <c r="AA30" s="29"/>
      <c r="AB30" s="29"/>
      <c r="AC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</row>
    <row r="31" spans="1:44" ht="15" thickTop="1" x14ac:dyDescent="0.3">
      <c r="A31" s="29"/>
      <c r="B31" s="29"/>
      <c r="C31" s="29"/>
      <c r="D31" s="29"/>
      <c r="H31" s="29"/>
      <c r="I31" s="29"/>
      <c r="J31" s="29"/>
      <c r="K31" s="29"/>
      <c r="L31" s="29"/>
      <c r="M31" s="29"/>
      <c r="N31" s="29"/>
      <c r="P31" s="29"/>
      <c r="Q31" s="29" t="s">
        <v>175</v>
      </c>
      <c r="R31" s="6">
        <f>MAX('1-Influent'!$T$4:$T$53)</f>
        <v>3.1483087597571551</v>
      </c>
      <c r="S31" s="29"/>
      <c r="T31" s="191" t="s">
        <v>400</v>
      </c>
      <c r="U31" s="191" t="s">
        <v>401</v>
      </c>
      <c r="V31" s="191" t="s">
        <v>402</v>
      </c>
      <c r="W31" s="191" t="s">
        <v>205</v>
      </c>
      <c r="X31" s="191" t="s">
        <v>311</v>
      </c>
      <c r="Y31" s="191" t="s">
        <v>403</v>
      </c>
      <c r="Z31" s="191" t="s">
        <v>404</v>
      </c>
      <c r="AA31" s="191" t="s">
        <v>405</v>
      </c>
      <c r="AB31" s="191" t="s">
        <v>406</v>
      </c>
      <c r="AC31" s="191" t="s">
        <v>407</v>
      </c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</row>
    <row r="32" spans="1:44" x14ac:dyDescent="0.3">
      <c r="A32" s="29"/>
      <c r="B32" s="29"/>
      <c r="C32" s="29"/>
      <c r="D32" s="29"/>
      <c r="H32" s="29"/>
      <c r="I32" s="29"/>
      <c r="J32" s="29"/>
      <c r="K32" s="29"/>
      <c r="L32" s="29"/>
      <c r="M32" s="29"/>
      <c r="N32" s="29"/>
      <c r="P32" s="29" t="s">
        <v>435</v>
      </c>
      <c r="Q32" s="29" t="s">
        <v>388</v>
      </c>
      <c r="R32" s="6">
        <f>AVERAGE('1-Influent'!$T$54:$T$87)</f>
        <v>1.721765633541521</v>
      </c>
      <c r="S32" s="29"/>
      <c r="T32" s="29" t="s">
        <v>408</v>
      </c>
      <c r="U32" s="29">
        <f>SQRT(W28*(1/U26+1/U27))</f>
        <v>7.4332234547232853E-2</v>
      </c>
      <c r="V32" s="29">
        <f>(ABS(V26-V27-X24))/U32</f>
        <v>3.9411180423372993</v>
      </c>
      <c r="W32" s="29">
        <f>U26+U27-2</f>
        <v>67</v>
      </c>
      <c r="X32" s="29">
        <f>TDIST(V32,W32,1)</f>
        <v>9.8088577475495455E-5</v>
      </c>
      <c r="Y32" s="29">
        <f>TINV(Y30*2,W32)</f>
        <v>1.6679161141074239</v>
      </c>
      <c r="Z32" s="29"/>
      <c r="AA32" s="29"/>
      <c r="AB32" s="183" t="str">
        <f>IF(X32&lt;Y30,"yes","no")</f>
        <v>yes</v>
      </c>
      <c r="AC32" s="29">
        <f>SQRT(V32^2/(V32^2+W32))</f>
        <v>0.4338176081998194</v>
      </c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</row>
    <row r="33" spans="1:44" x14ac:dyDescent="0.3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P33" s="29" t="s">
        <v>412</v>
      </c>
      <c r="Q33" s="29" t="s">
        <v>389</v>
      </c>
      <c r="R33" s="6">
        <f>STDEV('1-Influent'!$T$54:$T$96)</f>
        <v>0.27913519916347268</v>
      </c>
      <c r="S33" s="29"/>
      <c r="T33" s="29" t="s">
        <v>409</v>
      </c>
      <c r="U33" s="29">
        <f>U32</f>
        <v>7.4332234547232853E-2</v>
      </c>
      <c r="V33" s="29">
        <f>V32</f>
        <v>3.9411180423372993</v>
      </c>
      <c r="W33" s="29">
        <f t="shared" ref="W33" si="4">W32</f>
        <v>67</v>
      </c>
      <c r="X33" s="29">
        <f>TDIST(V33,W33,2)</f>
        <v>1.9617715495099091E-4</v>
      </c>
      <c r="Y33" s="29">
        <f>TINV(Y30,W33)</f>
        <v>1.9960083540252964</v>
      </c>
      <c r="Z33" s="29">
        <f>(V26-V27)-Y33*U33</f>
        <v>0.14458434957170277</v>
      </c>
      <c r="AA33" s="29">
        <f>(V26-V27)+Y33*U33</f>
        <v>0.44131987183099186</v>
      </c>
      <c r="AB33" s="183" t="str">
        <f>IF(X33&lt;Y30,"yes","no")</f>
        <v>yes</v>
      </c>
      <c r="AC33" s="29">
        <f>AC32</f>
        <v>0.4338176081998194</v>
      </c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</row>
    <row r="34" spans="1:44" x14ac:dyDescent="0.3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P34" s="29"/>
      <c r="Q34" s="29" t="s">
        <v>200</v>
      </c>
      <c r="R34" s="22">
        <f>COUNT('1-Influent'!$T$54:$T$90)</f>
        <v>37</v>
      </c>
      <c r="S34" s="29"/>
      <c r="T34" s="8"/>
      <c r="U34" s="8"/>
      <c r="V34" s="8"/>
      <c r="W34" s="8"/>
      <c r="X34" s="8"/>
      <c r="Y34" s="8"/>
      <c r="Z34" s="8"/>
      <c r="AA34" s="8"/>
      <c r="AB34" s="8"/>
      <c r="AC34" s="8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</row>
    <row r="35" spans="1:44" ht="15" thickBot="1" x14ac:dyDescent="0.3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P35" s="29"/>
      <c r="Q35" s="29" t="s">
        <v>174</v>
      </c>
      <c r="R35" s="6">
        <f>MIN('1-Influent'!$T$54:$T$87)</f>
        <v>0.79175207650022228</v>
      </c>
      <c r="S35" s="29"/>
      <c r="T35" s="29" t="s">
        <v>410</v>
      </c>
      <c r="U35" s="29"/>
      <c r="V35" s="29"/>
      <c r="W35" s="29"/>
      <c r="X35" s="29" t="s">
        <v>288</v>
      </c>
      <c r="Y35" s="29">
        <f>Y30</f>
        <v>0.05</v>
      </c>
      <c r="Z35" s="29"/>
      <c r="AA35" s="29"/>
      <c r="AB35" s="29"/>
      <c r="AC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</row>
    <row r="36" spans="1:44" ht="15" thickTop="1" x14ac:dyDescent="0.3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P36" s="29"/>
      <c r="Q36" s="29" t="s">
        <v>175</v>
      </c>
      <c r="R36" s="6">
        <f>MAX('1-Influent'!$T$54:$T$87)</f>
        <v>2.1246840088069803</v>
      </c>
      <c r="S36" s="29"/>
      <c r="T36" s="191" t="s">
        <v>400</v>
      </c>
      <c r="U36" s="191" t="s">
        <v>401</v>
      </c>
      <c r="V36" s="191" t="s">
        <v>402</v>
      </c>
      <c r="W36" s="191" t="s">
        <v>205</v>
      </c>
      <c r="X36" s="191" t="s">
        <v>311</v>
      </c>
      <c r="Y36" s="191" t="s">
        <v>403</v>
      </c>
      <c r="Z36" s="191" t="s">
        <v>404</v>
      </c>
      <c r="AA36" s="191" t="s">
        <v>405</v>
      </c>
      <c r="AB36" s="191" t="s">
        <v>406</v>
      </c>
      <c r="AC36" s="191" t="s">
        <v>407</v>
      </c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</row>
    <row r="37" spans="1:44" x14ac:dyDescent="0.3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P37" s="29"/>
      <c r="Q37" s="29"/>
      <c r="R37" s="29"/>
      <c r="S37" s="29"/>
      <c r="T37" s="29" t="s">
        <v>408</v>
      </c>
      <c r="U37" s="29">
        <f>SQRT(W26/U26+W27/U27)</f>
        <v>7.5377560984598302E-2</v>
      </c>
      <c r="V37" s="29">
        <f>(ABS(V26-V27-X24))/U37</f>
        <v>3.8864631181314748</v>
      </c>
      <c r="W37" s="29">
        <f>(W26/U26+W27/U27)^2/((W26/U26)^2/(U26-1)+(W27/U27)^2/(U27-1))</f>
        <v>60.265200941193243</v>
      </c>
      <c r="X37" s="29" t="e">
        <f ca="1">[1]!T_DIST_RT(V37,W37)</f>
        <v>#NAME?</v>
      </c>
      <c r="Y37" s="29" t="e">
        <f ca="1">[1]!T_INV(1-Y35,W37)</f>
        <v>#NAME?</v>
      </c>
      <c r="Z37" s="29"/>
      <c r="AA37" s="29"/>
      <c r="AB37" s="183" t="e">
        <f ca="1">IF(X37&lt;Y35,"yes","no")</f>
        <v>#NAME?</v>
      </c>
      <c r="AC37" s="29">
        <f>SQRT(V37^2/(V37^2+W37))</f>
        <v>0.4476678225647488</v>
      </c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</row>
    <row r="38" spans="1:44" x14ac:dyDescent="0.3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P38" s="29"/>
      <c r="Q38" s="29"/>
      <c r="R38" s="29"/>
      <c r="S38" s="29"/>
      <c r="T38" s="29" t="s">
        <v>409</v>
      </c>
      <c r="U38" s="29">
        <f>U37</f>
        <v>7.5377560984598302E-2</v>
      </c>
      <c r="V38" s="29">
        <f t="shared" ref="V38:W38" si="5">V37</f>
        <v>3.8864631181314748</v>
      </c>
      <c r="W38" s="29">
        <f t="shared" si="5"/>
        <v>60.265200941193243</v>
      </c>
      <c r="X38" s="29" t="e">
        <f ca="1">[1]!T_DIST_2T(V38,W38)</f>
        <v>#NAME?</v>
      </c>
      <c r="Y38" s="29" t="e">
        <f ca="1">[1]!T_INV_2T(Y35,W38)</f>
        <v>#NAME?</v>
      </c>
      <c r="Z38" s="29" t="e">
        <f ca="1">(V26-V27)-Y38*U38</f>
        <v>#NAME?</v>
      </c>
      <c r="AA38" s="29" t="e">
        <f ca="1">(V26-V27)+Y38*U38</f>
        <v>#NAME?</v>
      </c>
      <c r="AB38" s="183" t="e">
        <f ca="1">IF(X38&lt;Y35,"yes","no")</f>
        <v>#NAME?</v>
      </c>
      <c r="AC38" s="29">
        <f>AC37</f>
        <v>0.4476678225647488</v>
      </c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</row>
    <row r="39" spans="1:44" x14ac:dyDescent="0.3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</row>
    <row r="40" spans="1:44" x14ac:dyDescent="0.3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29" t="s">
        <v>91</v>
      </c>
      <c r="P40" s="362" t="s">
        <v>416</v>
      </c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227" t="s">
        <v>483</v>
      </c>
      <c r="AE40" s="358" t="s">
        <v>458</v>
      </c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</row>
    <row r="41" spans="1:44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P41" s="29" t="s">
        <v>390</v>
      </c>
      <c r="Q41" s="29" t="s">
        <v>388</v>
      </c>
      <c r="R41" s="6">
        <f>AVERAGE('1-Influent'!$F$4:$F$87)</f>
        <v>2470.9772727272725</v>
      </c>
      <c r="S41" s="29"/>
      <c r="T41" s="29" t="s">
        <v>393</v>
      </c>
      <c r="U41" s="29"/>
      <c r="V41" s="29"/>
      <c r="W41" s="29"/>
      <c r="X41" s="29"/>
      <c r="Y41" s="29"/>
      <c r="Z41" s="29"/>
      <c r="AA41" s="29"/>
      <c r="AB41" s="29"/>
      <c r="AC41" s="29"/>
      <c r="AE41" s="29" t="s">
        <v>390</v>
      </c>
      <c r="AF41" s="29" t="s">
        <v>388</v>
      </c>
      <c r="AG41" s="6">
        <f>AVERAGE('stable MEDIA'!$V$4:$V$87)</f>
        <v>513.34196078431376</v>
      </c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</row>
    <row r="42" spans="1:44" x14ac:dyDescent="0.3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P42" s="29" t="s">
        <v>307</v>
      </c>
      <c r="Q42" s="29" t="s">
        <v>389</v>
      </c>
      <c r="R42" s="6">
        <f>STDEV('1-Influent'!$F$4:$F$87)</f>
        <v>528.00060046453416</v>
      </c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E42" s="29" t="s">
        <v>307</v>
      </c>
      <c r="AF42" s="29" t="s">
        <v>389</v>
      </c>
      <c r="AG42" s="6">
        <f>STDEV('stable MEDIA'!$V$4:$V$87)</f>
        <v>293.79630272703986</v>
      </c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</row>
    <row r="43" spans="1:44" ht="15" thickBot="1" x14ac:dyDescent="0.3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P43" s="29"/>
      <c r="Q43" s="29" t="s">
        <v>200</v>
      </c>
      <c r="R43" s="22">
        <f>COUNT('1-Influent'!$F$4:$F$87)</f>
        <v>66</v>
      </c>
      <c r="S43" s="29"/>
      <c r="T43" s="29" t="s">
        <v>394</v>
      </c>
      <c r="U43" s="29"/>
      <c r="V43" s="29"/>
      <c r="W43" s="29" t="s">
        <v>395</v>
      </c>
      <c r="X43" s="6">
        <v>0</v>
      </c>
      <c r="Y43" s="29"/>
      <c r="Z43" s="29"/>
      <c r="AA43" s="29"/>
      <c r="AB43" s="29"/>
      <c r="AC43" s="29"/>
      <c r="AE43" s="29"/>
      <c r="AF43" s="29" t="s">
        <v>200</v>
      </c>
      <c r="AG43" s="22">
        <f>COUNT('stable MEDIA'!$V$4:$V$87)</f>
        <v>51</v>
      </c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</row>
    <row r="44" spans="1:44" ht="15" thickTop="1" x14ac:dyDescent="0.3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P44" s="29"/>
      <c r="Q44" s="29" t="s">
        <v>174</v>
      </c>
      <c r="R44" s="6">
        <f>MIN('1-Influent'!$F$4:$F$87)</f>
        <v>954</v>
      </c>
      <c r="S44" s="29"/>
      <c r="T44" s="191" t="s">
        <v>396</v>
      </c>
      <c r="U44" s="191" t="s">
        <v>290</v>
      </c>
      <c r="V44" s="191" t="s">
        <v>292</v>
      </c>
      <c r="W44" s="191" t="s">
        <v>293</v>
      </c>
      <c r="X44" s="191" t="s">
        <v>397</v>
      </c>
      <c r="Y44" s="29"/>
      <c r="Z44" s="29"/>
      <c r="AA44" s="29"/>
      <c r="AB44" s="29"/>
      <c r="AC44" s="29"/>
      <c r="AE44" s="29"/>
      <c r="AF44" s="29" t="s">
        <v>174</v>
      </c>
      <c r="AG44" s="6">
        <f>MIN('stable MEDIA'!$V$4:$V$87)</f>
        <v>19.329999999999998</v>
      </c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</row>
    <row r="45" spans="1:44" x14ac:dyDescent="0.3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P45" s="29"/>
      <c r="Q45" s="29" t="s">
        <v>175</v>
      </c>
      <c r="R45" s="6">
        <f>MAX('1-Influent'!$F$4:$F$87)</f>
        <v>4356</v>
      </c>
      <c r="S45" s="29"/>
      <c r="T45" s="29" t="str">
        <f>P47</f>
        <v>Period 1</v>
      </c>
      <c r="U45" s="22">
        <f>R48</f>
        <v>32</v>
      </c>
      <c r="V45" s="6">
        <f>R46</f>
        <v>2768.484375</v>
      </c>
      <c r="W45" s="20">
        <f>R42^2</f>
        <v>278784.63409090863</v>
      </c>
      <c r="X45" s="29"/>
      <c r="Y45" s="29"/>
      <c r="Z45" s="29"/>
      <c r="AA45" s="29"/>
      <c r="AB45" s="29"/>
      <c r="AC45" s="29"/>
      <c r="AE45" s="29"/>
      <c r="AF45" s="29" t="s">
        <v>175</v>
      </c>
      <c r="AG45" s="6">
        <f>MAX('stable MEDIA'!$V$4:$V$87)</f>
        <v>1063.8</v>
      </c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</row>
    <row r="46" spans="1:44" x14ac:dyDescent="0.3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P46" s="29" t="s">
        <v>434</v>
      </c>
      <c r="Q46" s="29" t="s">
        <v>388</v>
      </c>
      <c r="R46" s="6">
        <f>AVERAGE('1-Influent'!$F$4:$F$53)</f>
        <v>2768.484375</v>
      </c>
      <c r="S46" s="29"/>
      <c r="T46" s="29" t="str">
        <f>P52</f>
        <v>Period 2</v>
      </c>
      <c r="U46" s="22">
        <f>R53</f>
        <v>37</v>
      </c>
      <c r="V46" s="20">
        <f>R51</f>
        <v>2190.9705882352941</v>
      </c>
      <c r="W46" s="20">
        <f>R52^2</f>
        <v>149688.20769230754</v>
      </c>
      <c r="X46" s="29"/>
      <c r="Y46" s="29"/>
      <c r="Z46" s="29"/>
      <c r="AA46" s="29"/>
      <c r="AB46" s="29"/>
      <c r="AC46" s="29"/>
      <c r="AE46" s="29"/>
      <c r="AF46" s="29" t="s">
        <v>442</v>
      </c>
      <c r="AG46" s="6">
        <f>DEVSQ('stable MEDIA'!$V$4:$V$87)</f>
        <v>4315813.3748039212</v>
      </c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</row>
    <row r="47" spans="1:44" x14ac:dyDescent="0.3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P47" s="29" t="s">
        <v>411</v>
      </c>
      <c r="Q47" s="29" t="s">
        <v>389</v>
      </c>
      <c r="R47" s="6">
        <f>STDEV('1-Influent'!$F$4:$F$53)</f>
        <v>484.21005646335141</v>
      </c>
      <c r="S47" s="29"/>
      <c r="T47" s="8" t="s">
        <v>398</v>
      </c>
      <c r="U47" s="8"/>
      <c r="V47" s="8"/>
      <c r="W47" s="8">
        <f>((U45-1)*W45+(U46-1)*W46)/(U45+U46-2)</f>
        <v>209419.39005583938</v>
      </c>
      <c r="X47" s="8">
        <f>ABS(V45-V46-X43)/SQRT(W47)</f>
        <v>1.2619841815968369</v>
      </c>
      <c r="Y47" s="29"/>
      <c r="Z47" s="29"/>
      <c r="AA47" s="29"/>
      <c r="AB47" s="29"/>
      <c r="AC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</row>
    <row r="48" spans="1:44" x14ac:dyDescent="0.3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P48" s="29"/>
      <c r="Q48" s="29" t="s">
        <v>200</v>
      </c>
      <c r="R48" s="22">
        <f>COUNT('1-Influent'!$F$4:$F$53)</f>
        <v>32</v>
      </c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</row>
    <row r="49" spans="1:44" ht="15" thickBot="1" x14ac:dyDescent="0.3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P49" s="29"/>
      <c r="Q49" s="29" t="s">
        <v>174</v>
      </c>
      <c r="R49" s="6">
        <f>MIN('1-Influent'!$F$4:$F$53)</f>
        <v>2065.5</v>
      </c>
      <c r="S49" s="29"/>
      <c r="T49" s="29" t="s">
        <v>399</v>
      </c>
      <c r="U49" s="29"/>
      <c r="V49" s="29"/>
      <c r="W49" s="29"/>
      <c r="X49" s="29" t="s">
        <v>288</v>
      </c>
      <c r="Y49" s="29">
        <v>0.05</v>
      </c>
      <c r="Z49" s="29"/>
      <c r="AA49" s="29"/>
      <c r="AB49" s="29"/>
      <c r="AC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</row>
    <row r="50" spans="1:44" ht="15" thickTop="1" x14ac:dyDescent="0.3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P50" s="29"/>
      <c r="Q50" s="29" t="s">
        <v>175</v>
      </c>
      <c r="R50" s="6">
        <f>MAX('1-Influent'!$F$4:$F$53)</f>
        <v>4356</v>
      </c>
      <c r="S50" s="29"/>
      <c r="T50" s="191" t="s">
        <v>400</v>
      </c>
      <c r="U50" s="191" t="s">
        <v>401</v>
      </c>
      <c r="V50" s="191" t="s">
        <v>402</v>
      </c>
      <c r="W50" s="191" t="s">
        <v>205</v>
      </c>
      <c r="X50" s="191" t="s">
        <v>311</v>
      </c>
      <c r="Y50" s="191" t="s">
        <v>403</v>
      </c>
      <c r="Z50" s="191" t="s">
        <v>404</v>
      </c>
      <c r="AA50" s="191" t="s">
        <v>405</v>
      </c>
      <c r="AB50" s="191" t="s">
        <v>406</v>
      </c>
      <c r="AC50" s="191" t="s">
        <v>407</v>
      </c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</row>
    <row r="51" spans="1:44" x14ac:dyDescent="0.3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P51" s="29" t="s">
        <v>435</v>
      </c>
      <c r="Q51" s="29" t="s">
        <v>388</v>
      </c>
      <c r="R51" s="6">
        <f>AVERAGE('1-Influent'!$F$54:$F$87)</f>
        <v>2190.9705882352941</v>
      </c>
      <c r="S51" s="29"/>
      <c r="T51" s="29" t="s">
        <v>408</v>
      </c>
      <c r="U51" s="29">
        <f>SQRT(W47*(1/U45+1/U46))</f>
        <v>110.47325221187103</v>
      </c>
      <c r="V51" s="29">
        <f>(ABS(V45-V46-X43))/U51</f>
        <v>5.2276345196855578</v>
      </c>
      <c r="W51" s="29">
        <f>U45+U46-2</f>
        <v>67</v>
      </c>
      <c r="X51" s="29">
        <f>TDIST(V51,W51,1)</f>
        <v>9.2045427822301146E-7</v>
      </c>
      <c r="Y51" s="29">
        <f>TINV(Y49*2,W51)</f>
        <v>1.6679161141074239</v>
      </c>
      <c r="Z51" s="29"/>
      <c r="AA51" s="29"/>
      <c r="AB51" s="183" t="str">
        <f>IF(X51&lt;Y49,"yes","no")</f>
        <v>yes</v>
      </c>
      <c r="AC51" s="29">
        <f>SQRT(V51^2/(V51^2+W51))</f>
        <v>0.53825060844243677</v>
      </c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</row>
    <row r="52" spans="1:44" x14ac:dyDescent="0.3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P52" s="29" t="s">
        <v>412</v>
      </c>
      <c r="Q52" s="29" t="s">
        <v>389</v>
      </c>
      <c r="R52" s="6">
        <f>STDEV('1-Influent'!$F$54:$F$96)</f>
        <v>386.89560309249771</v>
      </c>
      <c r="S52" s="29"/>
      <c r="T52" s="29" t="s">
        <v>409</v>
      </c>
      <c r="U52" s="29">
        <f>U51</f>
        <v>110.47325221187103</v>
      </c>
      <c r="V52" s="29">
        <f>V51</f>
        <v>5.2276345196855578</v>
      </c>
      <c r="W52" s="29">
        <f t="shared" ref="W52" si="6">W51</f>
        <v>67</v>
      </c>
      <c r="X52" s="29">
        <f>TDIST(V52,W52,2)</f>
        <v>1.8409085564460229E-6</v>
      </c>
      <c r="Y52" s="29">
        <f>TINV(Y49,W52)</f>
        <v>1.9960083540252964</v>
      </c>
      <c r="Z52" s="29">
        <f>(V45-V46)-Y52*U52</f>
        <v>357.00825245346772</v>
      </c>
      <c r="AA52" s="29">
        <f>(V45-V46)+Y52*U52</f>
        <v>798.01932107594394</v>
      </c>
      <c r="AB52" s="183" t="str">
        <f>IF(X52&lt;Y49,"yes","no")</f>
        <v>yes</v>
      </c>
      <c r="AC52" s="29">
        <f>AC51</f>
        <v>0.53825060844243677</v>
      </c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</row>
    <row r="53" spans="1:44" x14ac:dyDescent="0.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P53" s="29"/>
      <c r="Q53" s="29" t="s">
        <v>200</v>
      </c>
      <c r="R53" s="22">
        <f>COUNT('1-Influent'!$F$54:$F$90)</f>
        <v>37</v>
      </c>
      <c r="S53" s="29"/>
      <c r="T53" s="8"/>
      <c r="U53" s="8"/>
      <c r="V53" s="8"/>
      <c r="W53" s="8"/>
      <c r="X53" s="8"/>
      <c r="Y53" s="8"/>
      <c r="Z53" s="8"/>
      <c r="AA53" s="8"/>
      <c r="AB53" s="8"/>
      <c r="AC53" s="8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</row>
    <row r="54" spans="1:44" ht="15" thickBot="1" x14ac:dyDescent="0.3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P54" s="29"/>
      <c r="Q54" s="29" t="s">
        <v>174</v>
      </c>
      <c r="R54" s="6">
        <f>MIN('1-Influent'!$F$54:$F$87)</f>
        <v>954</v>
      </c>
      <c r="S54" s="29"/>
      <c r="T54" s="29" t="s">
        <v>410</v>
      </c>
      <c r="U54" s="29"/>
      <c r="V54" s="29"/>
      <c r="W54" s="29"/>
      <c r="X54" s="29" t="s">
        <v>288</v>
      </c>
      <c r="Y54" s="29">
        <f>Y49</f>
        <v>0.05</v>
      </c>
      <c r="Z54" s="29"/>
      <c r="AA54" s="29"/>
      <c r="AB54" s="29"/>
      <c r="AC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</row>
    <row r="55" spans="1:44" ht="15" thickTop="1" x14ac:dyDescent="0.3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P55" s="29"/>
      <c r="Q55" s="29" t="s">
        <v>175</v>
      </c>
      <c r="R55" s="6">
        <f>MAX('1-Influent'!$F$54:$F$87)</f>
        <v>2704.5</v>
      </c>
      <c r="S55" s="29"/>
      <c r="T55" s="191" t="s">
        <v>400</v>
      </c>
      <c r="U55" s="191" t="s">
        <v>401</v>
      </c>
      <c r="V55" s="191" t="s">
        <v>402</v>
      </c>
      <c r="W55" s="191" t="s">
        <v>205</v>
      </c>
      <c r="X55" s="191" t="s">
        <v>311</v>
      </c>
      <c r="Y55" s="191" t="s">
        <v>403</v>
      </c>
      <c r="Z55" s="191" t="s">
        <v>404</v>
      </c>
      <c r="AA55" s="191" t="s">
        <v>405</v>
      </c>
      <c r="AB55" s="191" t="s">
        <v>406</v>
      </c>
      <c r="AC55" s="191" t="s">
        <v>407</v>
      </c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</row>
    <row r="56" spans="1:44" x14ac:dyDescent="0.3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P56" s="29"/>
      <c r="Q56" s="29"/>
      <c r="R56" s="29"/>
      <c r="S56" s="29"/>
      <c r="T56" s="29" t="s">
        <v>408</v>
      </c>
      <c r="U56" s="29">
        <f>SQRT(W45/U45+W46/U46)</f>
        <v>112.94975453832613</v>
      </c>
      <c r="V56" s="29">
        <f>(ABS(V45-V46-X43))/U56</f>
        <v>5.1130149784322354</v>
      </c>
      <c r="W56" s="29">
        <f>(W45/U45+W46/U46)^2/((W45/U45)^2/(U45-1)+(W46/U46)^2/(U46-1))</f>
        <v>56.065184797840438</v>
      </c>
      <c r="X56" s="29" t="e">
        <f ca="1">[1]!T_DIST_RT(V56,W56)</f>
        <v>#NAME?</v>
      </c>
      <c r="Y56" s="29" t="e">
        <f ca="1">[1]!T_INV(1-Y54,W56)</f>
        <v>#NAME?</v>
      </c>
      <c r="Z56" s="29"/>
      <c r="AA56" s="29"/>
      <c r="AB56" s="183" t="e">
        <f ca="1">IF(X56&lt;Y54,"yes","no")</f>
        <v>#NAME?</v>
      </c>
      <c r="AC56" s="29">
        <f>SQRT(V56^2/(V56^2+W56))</f>
        <v>0.56392291323872445</v>
      </c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</row>
    <row r="57" spans="1:44" x14ac:dyDescent="0.3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P57" s="29"/>
      <c r="Q57" s="29"/>
      <c r="R57" s="29"/>
      <c r="S57" s="29"/>
      <c r="T57" s="29" t="s">
        <v>409</v>
      </c>
      <c r="U57" s="29">
        <f>U56</f>
        <v>112.94975453832613</v>
      </c>
      <c r="V57" s="29">
        <f t="shared" ref="V57:W57" si="7">V56</f>
        <v>5.1130149784322354</v>
      </c>
      <c r="W57" s="29">
        <f t="shared" si="7"/>
        <v>56.065184797840438</v>
      </c>
      <c r="X57" s="29" t="e">
        <f ca="1">[1]!T_DIST_2T(V57,W57)</f>
        <v>#NAME?</v>
      </c>
      <c r="Y57" s="29" t="e">
        <f ca="1">[1]!T_INV_2T(Y54,W57)</f>
        <v>#NAME?</v>
      </c>
      <c r="Z57" s="29" t="e">
        <f ca="1">(V45-V46)-Y57*U57</f>
        <v>#NAME?</v>
      </c>
      <c r="AA57" s="29" t="e">
        <f ca="1">(V45-V46)+Y57*U57</f>
        <v>#NAME?</v>
      </c>
      <c r="AB57" s="183" t="e">
        <f ca="1">IF(X57&lt;Y54,"yes","no")</f>
        <v>#NAME?</v>
      </c>
      <c r="AC57" s="29">
        <f>AC56</f>
        <v>0.56392291323872445</v>
      </c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</row>
    <row r="58" spans="1:44" x14ac:dyDescent="0.3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</row>
    <row r="59" spans="1:44" x14ac:dyDescent="0.3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29" t="s">
        <v>420</v>
      </c>
      <c r="P59" s="362" t="s">
        <v>417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227" t="s">
        <v>484</v>
      </c>
      <c r="AE59" s="358" t="s">
        <v>459</v>
      </c>
      <c r="AF59" s="358"/>
      <c r="AG59" s="358"/>
      <c r="AH59" s="358"/>
      <c r="AI59" s="358"/>
      <c r="AJ59" s="358"/>
      <c r="AK59" s="358"/>
      <c r="AL59" s="358"/>
      <c r="AM59" s="358"/>
      <c r="AN59" s="358"/>
      <c r="AO59" s="358"/>
      <c r="AP59" s="358"/>
      <c r="AQ59" s="358"/>
      <c r="AR59" s="358"/>
    </row>
    <row r="60" spans="1:44" x14ac:dyDescent="0.3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P60" s="29" t="s">
        <v>390</v>
      </c>
      <c r="Q60" s="29" t="s">
        <v>388</v>
      </c>
      <c r="R60" s="6">
        <f>AVERAGE('1-Influent'!$I$4:$I$87)</f>
        <v>334.32121212121206</v>
      </c>
      <c r="S60" s="29"/>
      <c r="T60" s="29" t="s">
        <v>393</v>
      </c>
      <c r="U60" s="29"/>
      <c r="V60" s="29"/>
      <c r="W60" s="29"/>
      <c r="X60" s="29"/>
      <c r="Y60" s="29"/>
      <c r="Z60" s="29"/>
      <c r="AA60" s="29"/>
      <c r="AB60" s="29"/>
      <c r="AC60" s="29"/>
      <c r="AE60" s="29" t="s">
        <v>390</v>
      </c>
      <c r="AF60" s="29" t="s">
        <v>388</v>
      </c>
      <c r="AG60" s="6">
        <f>AVERAGE('stable MEDIA'!$W$4:$W$87)</f>
        <v>34.577547619047628</v>
      </c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</row>
    <row r="61" spans="1:44" x14ac:dyDescent="0.3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P61" s="29" t="s">
        <v>307</v>
      </c>
      <c r="Q61" s="29" t="s">
        <v>389</v>
      </c>
      <c r="R61" s="6">
        <f>STDEV('1-Influent'!$I$4:$I$87)</f>
        <v>257.9868425477141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E61" s="29" t="s">
        <v>307</v>
      </c>
      <c r="AF61" s="29" t="s">
        <v>389</v>
      </c>
      <c r="AG61" s="6">
        <f>STDEV('stable MEDIA'!$W$4:$W$87)</f>
        <v>45.94137187084997</v>
      </c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</row>
    <row r="62" spans="1:44" ht="15" thickBot="1" x14ac:dyDescent="0.3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P62" s="29"/>
      <c r="Q62" s="29" t="s">
        <v>200</v>
      </c>
      <c r="R62" s="22">
        <f>COUNT('1-Influent'!$I$4:$I$87)</f>
        <v>66</v>
      </c>
      <c r="S62" s="29"/>
      <c r="T62" s="29" t="s">
        <v>394</v>
      </c>
      <c r="U62" s="29"/>
      <c r="V62" s="29"/>
      <c r="W62" s="29" t="s">
        <v>395</v>
      </c>
      <c r="X62" s="6">
        <v>0</v>
      </c>
      <c r="Y62" s="29"/>
      <c r="Z62" s="29"/>
      <c r="AA62" s="29"/>
      <c r="AB62" s="29"/>
      <c r="AC62" s="29"/>
      <c r="AE62" s="29"/>
      <c r="AF62" s="29" t="s">
        <v>200</v>
      </c>
      <c r="AG62" s="22">
        <f>COUNT('stable MEDIA'!$W$4:$W$87)</f>
        <v>42</v>
      </c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</row>
    <row r="63" spans="1:44" ht="15" thickTop="1" x14ac:dyDescent="0.3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P63" s="29"/>
      <c r="Q63" s="29" t="s">
        <v>174</v>
      </c>
      <c r="R63" s="6">
        <f>MIN('1-Influent'!$I$4:$I$87)</f>
        <v>88</v>
      </c>
      <c r="S63" s="29"/>
      <c r="T63" s="191" t="s">
        <v>396</v>
      </c>
      <c r="U63" s="191" t="s">
        <v>290</v>
      </c>
      <c r="V63" s="191" t="s">
        <v>292</v>
      </c>
      <c r="W63" s="191" t="s">
        <v>293</v>
      </c>
      <c r="X63" s="191" t="s">
        <v>397</v>
      </c>
      <c r="Y63" s="29"/>
      <c r="Z63" s="29"/>
      <c r="AA63" s="29"/>
      <c r="AB63" s="29"/>
      <c r="AC63" s="29"/>
      <c r="AE63" s="29"/>
      <c r="AF63" s="29" t="s">
        <v>174</v>
      </c>
      <c r="AG63" s="6">
        <f>MIN('stable MEDIA'!$W$4:$W$87)</f>
        <v>8.0000000000000002E-3</v>
      </c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</row>
    <row r="64" spans="1:44" x14ac:dyDescent="0.3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P64" s="29"/>
      <c r="Q64" s="29" t="s">
        <v>175</v>
      </c>
      <c r="R64" s="6">
        <f>MAX('1-Influent'!$I$4:$I$87)</f>
        <v>1270</v>
      </c>
      <c r="S64" s="29"/>
      <c r="T64" s="29" t="str">
        <f>P66</f>
        <v>Period 1</v>
      </c>
      <c r="U64" s="22">
        <f>R67</f>
        <v>32</v>
      </c>
      <c r="V64" s="6">
        <f>R65</f>
        <v>445.79374999999999</v>
      </c>
      <c r="W64" s="20">
        <f>R61^2</f>
        <v>66557.210927739026</v>
      </c>
      <c r="X64" s="29"/>
      <c r="Y64" s="29"/>
      <c r="Z64" s="29"/>
      <c r="AA64" s="29"/>
      <c r="AB64" s="29"/>
      <c r="AC64" s="29"/>
      <c r="AE64" s="29"/>
      <c r="AF64" s="29" t="s">
        <v>175</v>
      </c>
      <c r="AG64" s="6">
        <f>MAX('stable MEDIA'!$W$4:$W$87)</f>
        <v>187.03</v>
      </c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 x14ac:dyDescent="0.3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P65" s="29" t="s">
        <v>434</v>
      </c>
      <c r="Q65" s="29" t="s">
        <v>388</v>
      </c>
      <c r="R65" s="6">
        <f>AVERAGE('1-Influent'!$I$4:$I$53)</f>
        <v>445.79374999999999</v>
      </c>
      <c r="S65" s="29"/>
      <c r="T65" s="29" t="str">
        <f>P71</f>
        <v>Period 2</v>
      </c>
      <c r="U65" s="22">
        <f>R72</f>
        <v>35</v>
      </c>
      <c r="V65" s="20">
        <f>R70</f>
        <v>229.40588235294121</v>
      </c>
      <c r="W65" s="20">
        <f>R71^2</f>
        <v>9995.4652605041847</v>
      </c>
      <c r="X65" s="29"/>
      <c r="Y65" s="29"/>
      <c r="Z65" s="29"/>
      <c r="AA65" s="29"/>
      <c r="AB65" s="29"/>
      <c r="AC65" s="29"/>
      <c r="AE65" s="29"/>
      <c r="AF65" s="29" t="s">
        <v>442</v>
      </c>
      <c r="AG65" s="6">
        <f>DEVSQ('stable MEDIA'!$W$4:$W$87)</f>
        <v>86534.995624404735</v>
      </c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 x14ac:dyDescent="0.3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P66" s="29" t="s">
        <v>411</v>
      </c>
      <c r="Q66" s="29" t="s">
        <v>389</v>
      </c>
      <c r="R66" s="6">
        <f>STDEV('1-Influent'!$I$4:$I$53)</f>
        <v>322.30578641978718</v>
      </c>
      <c r="S66" s="29"/>
      <c r="T66" s="8" t="s">
        <v>398</v>
      </c>
      <c r="U66" s="8"/>
      <c r="V66" s="8"/>
      <c r="W66" s="8">
        <f>((U64-1)*W64+(U65-1)*W65)/(U64+U65-2)</f>
        <v>36971.067040262344</v>
      </c>
      <c r="X66" s="8">
        <f>ABS(V64-V65-X62)/SQRT(W66)</f>
        <v>1.1253870534560253</v>
      </c>
      <c r="Y66" s="29"/>
      <c r="Z66" s="29"/>
      <c r="AA66" s="29"/>
      <c r="AB66" s="29"/>
      <c r="AC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 x14ac:dyDescent="0.3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P67" s="29"/>
      <c r="Q67" s="29" t="s">
        <v>200</v>
      </c>
      <c r="R67" s="22">
        <f>COUNT('1-Influent'!$I$4:$I$53)</f>
        <v>32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 ht="15" thickBot="1" x14ac:dyDescent="0.3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P68" s="29"/>
      <c r="Q68" s="29" t="s">
        <v>174</v>
      </c>
      <c r="R68" s="6">
        <f>MIN('1-Influent'!$I$4:$I$53)</f>
        <v>128</v>
      </c>
      <c r="S68" s="29"/>
      <c r="T68" s="29" t="s">
        <v>399</v>
      </c>
      <c r="U68" s="29"/>
      <c r="V68" s="29"/>
      <c r="W68" s="29"/>
      <c r="X68" s="29" t="s">
        <v>288</v>
      </c>
      <c r="Y68" s="29">
        <v>0.05</v>
      </c>
      <c r="Z68" s="29"/>
      <c r="AA68" s="29"/>
      <c r="AB68" s="29"/>
      <c r="AC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 ht="15" thickTop="1" x14ac:dyDescent="0.3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P69" s="29"/>
      <c r="Q69" s="29" t="s">
        <v>175</v>
      </c>
      <c r="R69" s="6">
        <f>MAX('1-Influent'!$I$4:$I$53)</f>
        <v>1270</v>
      </c>
      <c r="S69" s="29"/>
      <c r="T69" s="191" t="s">
        <v>400</v>
      </c>
      <c r="U69" s="191" t="s">
        <v>401</v>
      </c>
      <c r="V69" s="191" t="s">
        <v>402</v>
      </c>
      <c r="W69" s="191" t="s">
        <v>205</v>
      </c>
      <c r="X69" s="191" t="s">
        <v>311</v>
      </c>
      <c r="Y69" s="191" t="s">
        <v>403</v>
      </c>
      <c r="Z69" s="191" t="s">
        <v>404</v>
      </c>
      <c r="AA69" s="191" t="s">
        <v>405</v>
      </c>
      <c r="AB69" s="191" t="s">
        <v>406</v>
      </c>
      <c r="AC69" s="191" t="s">
        <v>407</v>
      </c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 x14ac:dyDescent="0.3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P70" s="29" t="s">
        <v>435</v>
      </c>
      <c r="Q70" s="29" t="s">
        <v>388</v>
      </c>
      <c r="R70" s="6">
        <f>AVERAGE('1-Influent'!$I$54:$I$87)</f>
        <v>229.40588235294121</v>
      </c>
      <c r="S70" s="29"/>
      <c r="T70" s="29" t="s">
        <v>408</v>
      </c>
      <c r="U70" s="29">
        <f>SQRT(W66*(1/U64+1/U65))</f>
        <v>47.028311113185332</v>
      </c>
      <c r="V70" s="29">
        <f>(ABS(V64-V65-X62))/U70</f>
        <v>4.6012255708325895</v>
      </c>
      <c r="W70" s="29">
        <f>U64+U65-2</f>
        <v>65</v>
      </c>
      <c r="X70" s="29">
        <f>TDIST(V70,W70,1)</f>
        <v>9.9983550425311651E-6</v>
      </c>
      <c r="Y70" s="29">
        <f>TINV(Y68*2,W70)</f>
        <v>1.6686359758475535</v>
      </c>
      <c r="Z70" s="29"/>
      <c r="AA70" s="29"/>
      <c r="AB70" s="183" t="str">
        <f>IF(X70&lt;Y68,"yes","no")</f>
        <v>yes</v>
      </c>
      <c r="AC70" s="29">
        <f>SQRT(V70^2/(V70^2+W70))</f>
        <v>0.4956695736254505</v>
      </c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 x14ac:dyDescent="0.3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P71" s="29" t="s">
        <v>412</v>
      </c>
      <c r="Q71" s="29" t="s">
        <v>389</v>
      </c>
      <c r="R71" s="6">
        <f>STDEV('1-Influent'!$I$54:$I$96)</f>
        <v>99.977323731455144</v>
      </c>
      <c r="S71" s="29"/>
      <c r="T71" s="29" t="s">
        <v>409</v>
      </c>
      <c r="U71" s="29">
        <f>U70</f>
        <v>47.028311113185332</v>
      </c>
      <c r="V71" s="29">
        <f>V70</f>
        <v>4.6012255708325895</v>
      </c>
      <c r="W71" s="29">
        <f t="shared" ref="W71" si="8">W70</f>
        <v>65</v>
      </c>
      <c r="X71" s="29">
        <f>TDIST(V71,W71,2)</f>
        <v>1.999671008506233E-5</v>
      </c>
      <c r="Y71" s="29">
        <f>TINV(Y68,W71)</f>
        <v>1.9971379083920051</v>
      </c>
      <c r="Z71" s="29">
        <f>(V64-V65)-Y71*U71</f>
        <v>122.46584475526333</v>
      </c>
      <c r="AA71" s="29">
        <f>(V64-V65)+Y71*U71</f>
        <v>310.30989053885423</v>
      </c>
      <c r="AB71" s="183" t="str">
        <f>IF(X71&lt;Y68,"yes","no")</f>
        <v>yes</v>
      </c>
      <c r="AC71" s="29">
        <f>AC70</f>
        <v>0.4956695736254505</v>
      </c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 x14ac:dyDescent="0.3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P72" s="29"/>
      <c r="Q72" s="29" t="s">
        <v>200</v>
      </c>
      <c r="R72" s="22">
        <f>COUNT('1-Influent'!$I$54:$I$90)</f>
        <v>35</v>
      </c>
      <c r="S72" s="29"/>
      <c r="T72" s="8"/>
      <c r="U72" s="8"/>
      <c r="V72" s="8"/>
      <c r="W72" s="8"/>
      <c r="X72" s="8"/>
      <c r="Y72" s="8"/>
      <c r="Z72" s="8"/>
      <c r="AA72" s="8"/>
      <c r="AB72" s="8"/>
      <c r="AC72" s="8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 ht="15" thickBot="1" x14ac:dyDescent="0.3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P73" s="29"/>
      <c r="Q73" s="29" t="s">
        <v>174</v>
      </c>
      <c r="R73" s="6">
        <f>MIN('1-Influent'!$I$54:$I$87)</f>
        <v>88</v>
      </c>
      <c r="S73" s="29"/>
      <c r="T73" s="29" t="s">
        <v>410</v>
      </c>
      <c r="U73" s="29"/>
      <c r="V73" s="29"/>
      <c r="W73" s="29"/>
      <c r="X73" s="29" t="s">
        <v>288</v>
      </c>
      <c r="Y73" s="29">
        <f>Y68</f>
        <v>0.05</v>
      </c>
      <c r="Z73" s="29"/>
      <c r="AA73" s="29"/>
      <c r="AB73" s="29"/>
      <c r="AC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 ht="15" thickTop="1" x14ac:dyDescent="0.3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P74" s="29"/>
      <c r="Q74" s="29" t="s">
        <v>175</v>
      </c>
      <c r="R74" s="6">
        <f>MAX('1-Influent'!$I$54:$I$87)</f>
        <v>554</v>
      </c>
      <c r="S74" s="29"/>
      <c r="T74" s="191" t="s">
        <v>400</v>
      </c>
      <c r="U74" s="191" t="s">
        <v>401</v>
      </c>
      <c r="V74" s="191" t="s">
        <v>402</v>
      </c>
      <c r="W74" s="191" t="s">
        <v>205</v>
      </c>
      <c r="X74" s="191" t="s">
        <v>311</v>
      </c>
      <c r="Y74" s="191" t="s">
        <v>403</v>
      </c>
      <c r="Z74" s="191" t="s">
        <v>404</v>
      </c>
      <c r="AA74" s="191" t="s">
        <v>405</v>
      </c>
      <c r="AB74" s="191" t="s">
        <v>406</v>
      </c>
      <c r="AC74" s="191" t="s">
        <v>407</v>
      </c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P75" s="29"/>
      <c r="Q75" s="29"/>
      <c r="R75" s="29"/>
      <c r="S75" s="29"/>
      <c r="T75" s="29" t="s">
        <v>408</v>
      </c>
      <c r="U75" s="29">
        <f>SQRT(W64/U64+W65/U65)</f>
        <v>48.636381066240276</v>
      </c>
      <c r="V75" s="29">
        <f>(ABS(V64-V65-X62))/U75</f>
        <v>4.4490947497172852</v>
      </c>
      <c r="W75" s="29">
        <f>(W64/U64+W65/U65)^2/((W64/U64)^2/(U64-1)+(W65/U65)^2/(U65-1))</f>
        <v>39.419814503820184</v>
      </c>
      <c r="X75" s="29" t="e">
        <f ca="1">[1]!T_DIST_RT(V75,W75)</f>
        <v>#NAME?</v>
      </c>
      <c r="Y75" s="29" t="e">
        <f ca="1">[1]!T_INV(1-Y73,W75)</f>
        <v>#NAME?</v>
      </c>
      <c r="Z75" s="29"/>
      <c r="AA75" s="29"/>
      <c r="AB75" s="183" t="e">
        <f ca="1">IF(X75&lt;Y73,"yes","no")</f>
        <v>#NAME?</v>
      </c>
      <c r="AC75" s="29">
        <f>SQRT(V75^2/(V75^2+W75))</f>
        <v>0.57817393190889999</v>
      </c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 x14ac:dyDescent="0.3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P76" s="29"/>
      <c r="Q76" s="29"/>
      <c r="R76" s="29"/>
      <c r="S76" s="29"/>
      <c r="T76" s="29" t="s">
        <v>409</v>
      </c>
      <c r="U76" s="29">
        <f>U75</f>
        <v>48.636381066240276</v>
      </c>
      <c r="V76" s="29">
        <f t="shared" ref="V76:W76" si="9">V75</f>
        <v>4.4490947497172852</v>
      </c>
      <c r="W76" s="29">
        <f t="shared" si="9"/>
        <v>39.419814503820184</v>
      </c>
      <c r="X76" s="29" t="e">
        <f ca="1">[1]!T_DIST_2T(V76,W76)</f>
        <v>#NAME?</v>
      </c>
      <c r="Y76" s="29" t="e">
        <f ca="1">[1]!T_INV_2T(Y73,W76)</f>
        <v>#NAME?</v>
      </c>
      <c r="Z76" s="29" t="e">
        <f ca="1">(V64-V65)-Y76*U76</f>
        <v>#NAME?</v>
      </c>
      <c r="AA76" s="29" t="e">
        <f ca="1">(V64-V65)+Y76*U76</f>
        <v>#NAME?</v>
      </c>
      <c r="AB76" s="183" t="e">
        <f ca="1">IF(X76&lt;Y73,"yes","no")</f>
        <v>#NAME?</v>
      </c>
      <c r="AC76" s="29">
        <f>AC75</f>
        <v>0.57817393190889999</v>
      </c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 x14ac:dyDescent="0.3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 x14ac:dyDescent="0.3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29" t="s">
        <v>92</v>
      </c>
      <c r="P78" s="362" t="s">
        <v>418</v>
      </c>
      <c r="Q78" s="362"/>
      <c r="R78" s="362"/>
      <c r="S78" s="362"/>
      <c r="T78" s="362"/>
      <c r="U78" s="362"/>
      <c r="V78" s="362"/>
      <c r="W78" s="362"/>
      <c r="X78" s="362"/>
      <c r="Y78" s="362"/>
      <c r="Z78" s="362"/>
      <c r="AA78" s="362"/>
      <c r="AB78" s="362"/>
      <c r="AC78" s="362"/>
      <c r="AD78" s="227" t="s">
        <v>474</v>
      </c>
      <c r="AE78" s="358" t="s">
        <v>460</v>
      </c>
      <c r="AF78" s="358"/>
      <c r="AG78" s="358"/>
      <c r="AH78" s="358"/>
      <c r="AI78" s="358"/>
      <c r="AJ78" s="358"/>
      <c r="AK78" s="358"/>
      <c r="AL78" s="358"/>
      <c r="AM78" s="358"/>
      <c r="AN78" s="358"/>
      <c r="AO78" s="358"/>
      <c r="AP78" s="358"/>
      <c r="AQ78" s="358"/>
      <c r="AR78" s="358"/>
    </row>
    <row r="79" spans="1:44" x14ac:dyDescent="0.3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P79" s="29" t="s">
        <v>390</v>
      </c>
      <c r="Q79" s="29" t="s">
        <v>388</v>
      </c>
      <c r="R79" s="6">
        <f>AVERAGE('1-Influent'!$H$4:$H$87)</f>
        <v>8.3927536231884066</v>
      </c>
      <c r="S79" s="29"/>
      <c r="T79" s="29" t="s">
        <v>393</v>
      </c>
      <c r="U79" s="29"/>
      <c r="V79" s="29"/>
      <c r="W79" s="29"/>
      <c r="X79" s="29"/>
      <c r="Y79" s="29"/>
      <c r="Z79" s="29"/>
      <c r="AA79" s="29"/>
      <c r="AB79" s="29"/>
      <c r="AC79" s="29"/>
      <c r="AE79" s="29" t="s">
        <v>390</v>
      </c>
      <c r="AF79" s="29" t="s">
        <v>388</v>
      </c>
      <c r="AG79" s="6">
        <f>AVERAGE('stable MEDIA'!$X$4:$X$87)</f>
        <v>5.1430476190476195</v>
      </c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 x14ac:dyDescent="0.3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P80" s="29" t="s">
        <v>307</v>
      </c>
      <c r="Q80" s="29" t="s">
        <v>389</v>
      </c>
      <c r="R80" s="6">
        <f>STDEV('1-Influent'!$H$4:$H$87)</f>
        <v>0.12404795156773071</v>
      </c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E80" s="29" t="s">
        <v>307</v>
      </c>
      <c r="AF80" s="29" t="s">
        <v>389</v>
      </c>
      <c r="AG80" s="6">
        <f>STDEV('stable MEDIA'!$X$4:$X$87)</f>
        <v>7.7214580764869414</v>
      </c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 ht="15" thickBot="1" x14ac:dyDescent="0.3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P81" s="29"/>
      <c r="Q81" s="29" t="s">
        <v>200</v>
      </c>
      <c r="R81" s="22">
        <f>COUNT('1-Influent'!$H$4:$H$87)</f>
        <v>69</v>
      </c>
      <c r="S81" s="29"/>
      <c r="T81" s="29" t="s">
        <v>394</v>
      </c>
      <c r="U81" s="29"/>
      <c r="V81" s="29"/>
      <c r="W81" s="29" t="s">
        <v>395</v>
      </c>
      <c r="X81" s="6">
        <v>0</v>
      </c>
      <c r="Y81" s="29"/>
      <c r="Z81" s="29"/>
      <c r="AA81" s="29"/>
      <c r="AB81" s="29"/>
      <c r="AC81" s="29"/>
      <c r="AE81" s="29"/>
      <c r="AF81" s="29" t="s">
        <v>200</v>
      </c>
      <c r="AG81" s="22">
        <f>COUNT('stable MEDIA'!$X$4:$X$87)</f>
        <v>42</v>
      </c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 ht="15" thickTop="1" x14ac:dyDescent="0.3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P82" s="29"/>
      <c r="Q82" s="29" t="s">
        <v>174</v>
      </c>
      <c r="R82" s="6">
        <f>MIN('1-Influent'!$H$4:$H$87)</f>
        <v>7.8</v>
      </c>
      <c r="S82" s="29"/>
      <c r="T82" s="191" t="s">
        <v>396</v>
      </c>
      <c r="U82" s="191" t="s">
        <v>290</v>
      </c>
      <c r="V82" s="191" t="s">
        <v>292</v>
      </c>
      <c r="W82" s="191" t="s">
        <v>293</v>
      </c>
      <c r="X82" s="191" t="s">
        <v>397</v>
      </c>
      <c r="Y82" s="29"/>
      <c r="Z82" s="29"/>
      <c r="AA82" s="29"/>
      <c r="AB82" s="29"/>
      <c r="AC82" s="29"/>
      <c r="AE82" s="29"/>
      <c r="AF82" s="29" t="s">
        <v>174</v>
      </c>
      <c r="AG82" s="6">
        <f>MIN('stable MEDIA'!$X$4:$X$87)</f>
        <v>8.1000000000000016E-2</v>
      </c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 x14ac:dyDescent="0.3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P83" s="29"/>
      <c r="Q83" s="29" t="s">
        <v>175</v>
      </c>
      <c r="R83" s="6">
        <f>MAX('1-Influent'!$H$4:$H$87)</f>
        <v>8.6</v>
      </c>
      <c r="S83" s="29"/>
      <c r="T83" s="29" t="str">
        <f>P85</f>
        <v>Period 1</v>
      </c>
      <c r="U83" s="22">
        <f>R86</f>
        <v>35</v>
      </c>
      <c r="V83" s="6">
        <f>R84</f>
        <v>8.3971428571428604</v>
      </c>
      <c r="W83" s="20">
        <f>R80^2</f>
        <v>1.5387894288150065E-2</v>
      </c>
      <c r="X83" s="29"/>
      <c r="Y83" s="29"/>
      <c r="Z83" s="29"/>
      <c r="AA83" s="29"/>
      <c r="AB83" s="29"/>
      <c r="AC83" s="29"/>
      <c r="AE83" s="29"/>
      <c r="AF83" s="29" t="s">
        <v>175</v>
      </c>
      <c r="AG83" s="6">
        <f>MAX('stable MEDIA'!$X$4:$X$87)</f>
        <v>40.734999999999999</v>
      </c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 x14ac:dyDescent="0.3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P84" s="29" t="s">
        <v>434</v>
      </c>
      <c r="Q84" s="29" t="s">
        <v>388</v>
      </c>
      <c r="R84" s="6">
        <f>AVERAGE('1-Influent'!$H$4:$H$53)</f>
        <v>8.3971428571428604</v>
      </c>
      <c r="S84" s="29"/>
      <c r="T84" s="29" t="str">
        <f>P90</f>
        <v>Period 2</v>
      </c>
      <c r="U84" s="22">
        <f>R91</f>
        <v>37</v>
      </c>
      <c r="V84" s="20">
        <f>R89</f>
        <v>8.3882352941176475</v>
      </c>
      <c r="W84" s="20">
        <f>R90^2</f>
        <v>1.4044871794871796E-2</v>
      </c>
      <c r="X84" s="29"/>
      <c r="Y84" s="29"/>
      <c r="Z84" s="29"/>
      <c r="AA84" s="29"/>
      <c r="AB84" s="29"/>
      <c r="AC84" s="29"/>
      <c r="AE84" s="29"/>
      <c r="AF84" s="29" t="s">
        <v>442</v>
      </c>
      <c r="AG84" s="6">
        <f>DEVSQ('stable MEDIA'!$X$4:$X$87)</f>
        <v>2444.4575079047618</v>
      </c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 x14ac:dyDescent="0.3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P85" s="29" t="s">
        <v>411</v>
      </c>
      <c r="Q85" s="29" t="s">
        <v>389</v>
      </c>
      <c r="R85" s="6">
        <f>STDEV('1-Influent'!$H$4:$H$53)</f>
        <v>0.13391330445196137</v>
      </c>
      <c r="S85" s="29"/>
      <c r="T85" s="8" t="s">
        <v>398</v>
      </c>
      <c r="U85" s="8"/>
      <c r="V85" s="8"/>
      <c r="W85" s="8">
        <f>((U83-1)*W83+(U84-1)*W84)/(U83+U84-2)</f>
        <v>1.469719700589267E-2</v>
      </c>
      <c r="X85" s="8">
        <f>ABS(V83-V84-X81)/SQRT(W85)</f>
        <v>7.3475347046398312E-2</v>
      </c>
      <c r="Y85" s="29"/>
      <c r="Z85" s="29"/>
      <c r="AA85" s="29"/>
      <c r="AB85" s="29"/>
      <c r="AC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 x14ac:dyDescent="0.3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P86" s="29"/>
      <c r="Q86" s="29" t="s">
        <v>200</v>
      </c>
      <c r="R86" s="22">
        <f>COUNT('1-Influent'!$H$4:$H$53)</f>
        <v>35</v>
      </c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 ht="15" thickBot="1" x14ac:dyDescent="0.3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P87" s="29"/>
      <c r="Q87" s="29" t="s">
        <v>174</v>
      </c>
      <c r="R87" s="6">
        <f>MIN('1-Influent'!$H$4:$H$53)</f>
        <v>7.8</v>
      </c>
      <c r="S87" s="29"/>
      <c r="T87" s="29" t="s">
        <v>399</v>
      </c>
      <c r="U87" s="29"/>
      <c r="V87" s="29"/>
      <c r="W87" s="29"/>
      <c r="X87" s="29" t="s">
        <v>288</v>
      </c>
      <c r="Y87" s="29">
        <v>0.05</v>
      </c>
      <c r="Z87" s="29"/>
      <c r="AA87" s="29"/>
      <c r="AB87" s="29"/>
      <c r="AC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 ht="15" thickTop="1" x14ac:dyDescent="0.3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P88" s="29"/>
      <c r="Q88" s="29" t="s">
        <v>175</v>
      </c>
      <c r="R88" s="6">
        <f>MAX('1-Influent'!$H$4:$H$53)</f>
        <v>8.5</v>
      </c>
      <c r="S88" s="29"/>
      <c r="T88" s="191" t="s">
        <v>400</v>
      </c>
      <c r="U88" s="191" t="s">
        <v>401</v>
      </c>
      <c r="V88" s="191" t="s">
        <v>402</v>
      </c>
      <c r="W88" s="191" t="s">
        <v>205</v>
      </c>
      <c r="X88" s="191" t="s">
        <v>311</v>
      </c>
      <c r="Y88" s="191" t="s">
        <v>403</v>
      </c>
      <c r="Z88" s="191" t="s">
        <v>404</v>
      </c>
      <c r="AA88" s="191" t="s">
        <v>405</v>
      </c>
      <c r="AB88" s="191" t="s">
        <v>406</v>
      </c>
      <c r="AC88" s="191" t="s">
        <v>407</v>
      </c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 x14ac:dyDescent="0.3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P89" s="29" t="s">
        <v>435</v>
      </c>
      <c r="Q89" s="29" t="s">
        <v>388</v>
      </c>
      <c r="R89" s="6">
        <f>AVERAGE('1-Influent'!$H$54:$H$87)</f>
        <v>8.3882352941176475</v>
      </c>
      <c r="S89" s="29"/>
      <c r="T89" s="29" t="s">
        <v>408</v>
      </c>
      <c r="U89" s="29">
        <f>SQRT(W85*(1/U83+1/U84))</f>
        <v>2.8585686193510873E-2</v>
      </c>
      <c r="V89" s="29">
        <f>(ABS(V83-V84-X81))/U89</f>
        <v>0.31160920766124434</v>
      </c>
      <c r="W89" s="29">
        <f>U83+U84-2</f>
        <v>70</v>
      </c>
      <c r="X89" s="29">
        <f>TDIST(V89,W89,1)</f>
        <v>0.37813186683557437</v>
      </c>
      <c r="Y89" s="29">
        <f>TINV(Y87*2,W89)</f>
        <v>1.6669144790559576</v>
      </c>
      <c r="Z89" s="29"/>
      <c r="AA89" s="29"/>
      <c r="AB89" s="183" t="str">
        <f>IF(X89&lt;Y87,"yes","no")</f>
        <v>no</v>
      </c>
      <c r="AC89" s="29">
        <f>SQRT(V89^2/(V89^2+W89))</f>
        <v>3.721861908845997E-2</v>
      </c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P90" s="29" t="s">
        <v>412</v>
      </c>
      <c r="Q90" s="29" t="s">
        <v>389</v>
      </c>
      <c r="R90" s="6">
        <f>STDEV('1-Influent'!$H$54:$H$96)</f>
        <v>0.11851106190930784</v>
      </c>
      <c r="S90" s="29"/>
      <c r="T90" s="29" t="s">
        <v>409</v>
      </c>
      <c r="U90" s="29">
        <f>U89</f>
        <v>2.8585686193510873E-2</v>
      </c>
      <c r="V90" s="29">
        <f>V89</f>
        <v>0.31160920766124434</v>
      </c>
      <c r="W90" s="29">
        <f t="shared" ref="W90" si="10">W89</f>
        <v>70</v>
      </c>
      <c r="X90" s="29">
        <f>TDIST(V90,W90,2)</f>
        <v>0.75626373367114874</v>
      </c>
      <c r="Y90" s="29">
        <f>TINV(Y87,W90)</f>
        <v>1.9944371117711854</v>
      </c>
      <c r="Z90" s="29">
        <f>(V83-V84)-Y90*U90</f>
        <v>-4.8104790384570384E-2</v>
      </c>
      <c r="AA90" s="29">
        <f>(V83-V84)+Y90*U90</f>
        <v>6.5919916434996173E-2</v>
      </c>
      <c r="AB90" s="183" t="str">
        <f>IF(X90&lt;Y87,"yes","no")</f>
        <v>no</v>
      </c>
      <c r="AC90" s="29">
        <f>AC89</f>
        <v>3.721861908845997E-2</v>
      </c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 x14ac:dyDescent="0.3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P91" s="29"/>
      <c r="Q91" s="29" t="s">
        <v>200</v>
      </c>
      <c r="R91" s="22">
        <f>COUNT('1-Influent'!$H$54:$H$90)</f>
        <v>37</v>
      </c>
      <c r="S91" s="29"/>
      <c r="T91" s="8"/>
      <c r="U91" s="8"/>
      <c r="V91" s="8"/>
      <c r="W91" s="8"/>
      <c r="X91" s="8"/>
      <c r="Y91" s="8"/>
      <c r="Z91" s="8"/>
      <c r="AA91" s="8"/>
      <c r="AB91" s="8"/>
      <c r="AC91" s="8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 ht="15" thickBot="1" x14ac:dyDescent="0.3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P92" s="29"/>
      <c r="Q92" s="29" t="s">
        <v>174</v>
      </c>
      <c r="R92" s="6">
        <f>MIN('1-Influent'!$H$54:$H$87)</f>
        <v>8.1999999999999993</v>
      </c>
      <c r="S92" s="29"/>
      <c r="T92" s="29" t="s">
        <v>410</v>
      </c>
      <c r="U92" s="29"/>
      <c r="V92" s="29"/>
      <c r="W92" s="29"/>
      <c r="X92" s="29" t="s">
        <v>288</v>
      </c>
      <c r="Y92" s="29">
        <f>Y87</f>
        <v>0.05</v>
      </c>
      <c r="Z92" s="29"/>
      <c r="AA92" s="29"/>
      <c r="AB92" s="29"/>
      <c r="AC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 ht="15" thickTop="1" x14ac:dyDescent="0.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P93" s="29"/>
      <c r="Q93" s="29" t="s">
        <v>175</v>
      </c>
      <c r="R93" s="6">
        <f>MAX('1-Influent'!$H$54:$H$87)</f>
        <v>8.6</v>
      </c>
      <c r="S93" s="29"/>
      <c r="T93" s="191" t="s">
        <v>400</v>
      </c>
      <c r="U93" s="191" t="s">
        <v>401</v>
      </c>
      <c r="V93" s="191" t="s">
        <v>402</v>
      </c>
      <c r="W93" s="191" t="s">
        <v>205</v>
      </c>
      <c r="X93" s="191" t="s">
        <v>311</v>
      </c>
      <c r="Y93" s="191" t="s">
        <v>403</v>
      </c>
      <c r="Z93" s="191" t="s">
        <v>404</v>
      </c>
      <c r="AA93" s="191" t="s">
        <v>405</v>
      </c>
      <c r="AB93" s="191" t="s">
        <v>406</v>
      </c>
      <c r="AC93" s="191" t="s">
        <v>407</v>
      </c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 x14ac:dyDescent="0.3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P94" s="29"/>
      <c r="Q94" s="29"/>
      <c r="R94" s="29"/>
      <c r="S94" s="29"/>
      <c r="T94" s="29" t="s">
        <v>408</v>
      </c>
      <c r="U94" s="29">
        <f>SQRT(W83/U83+W84/U84)</f>
        <v>2.8622460622904224E-2</v>
      </c>
      <c r="V94" s="29">
        <f>(ABS(V83-V84-X81))/U94</f>
        <v>0.31120884897243589</v>
      </c>
      <c r="W94" s="29">
        <f>(W83/U83+W84/U84)^2/((W83/U83)^2/(U83-1)+(W84/U84)^2/(U84-1))</f>
        <v>69.280224730574645</v>
      </c>
      <c r="X94" s="29" t="e">
        <f ca="1">[1]!T_DIST_RT(V94,W94)</f>
        <v>#NAME?</v>
      </c>
      <c r="Y94" s="29" t="e">
        <f ca="1">[1]!T_INV(1-Y92,W94)</f>
        <v>#NAME?</v>
      </c>
      <c r="Z94" s="29"/>
      <c r="AA94" s="29"/>
      <c r="AB94" s="183" t="e">
        <f ca="1">IF(X94&lt;Y92,"yes","no")</f>
        <v>#NAME?</v>
      </c>
      <c r="AC94" s="29">
        <f>SQRT(V94^2/(V94^2+W94))</f>
        <v>3.7363189480431623E-2</v>
      </c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 x14ac:dyDescent="0.3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P95" s="29"/>
      <c r="Q95" s="29"/>
      <c r="R95" s="29"/>
      <c r="S95" s="29"/>
      <c r="T95" s="29" t="s">
        <v>409</v>
      </c>
      <c r="U95" s="29">
        <f>U94</f>
        <v>2.8622460622904224E-2</v>
      </c>
      <c r="V95" s="29">
        <f t="shared" ref="V95:W95" si="11">V94</f>
        <v>0.31120884897243589</v>
      </c>
      <c r="W95" s="29">
        <f t="shared" si="11"/>
        <v>69.280224730574645</v>
      </c>
      <c r="X95" s="29" t="e">
        <f ca="1">[1]!T_DIST_2T(V95,W95)</f>
        <v>#NAME?</v>
      </c>
      <c r="Y95" s="29" t="e">
        <f ca="1">[1]!T_INV_2T(Y92,W95)</f>
        <v>#NAME?</v>
      </c>
      <c r="Z95" s="29" t="e">
        <f ca="1">(V83-V84)-Y95*U95</f>
        <v>#NAME?</v>
      </c>
      <c r="AA95" s="29" t="e">
        <f ca="1">(V83-V84)+Y95*U95</f>
        <v>#NAME?</v>
      </c>
      <c r="AB95" s="183" t="e">
        <f ca="1">IF(X95&lt;Y92,"yes","no")</f>
        <v>#NAME?</v>
      </c>
      <c r="AC95" s="29">
        <f>AC94</f>
        <v>3.7363189480431623E-2</v>
      </c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 x14ac:dyDescent="0.3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 x14ac:dyDescent="0.3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29" t="s">
        <v>421</v>
      </c>
      <c r="P97" s="362" t="s">
        <v>419</v>
      </c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227" t="s">
        <v>476</v>
      </c>
      <c r="AE97" s="358" t="s">
        <v>461</v>
      </c>
      <c r="AF97" s="358"/>
      <c r="AG97" s="358"/>
      <c r="AH97" s="358"/>
      <c r="AI97" s="358"/>
      <c r="AJ97" s="358"/>
      <c r="AK97" s="358"/>
      <c r="AL97" s="358"/>
      <c r="AM97" s="358"/>
      <c r="AN97" s="358"/>
      <c r="AO97" s="358"/>
      <c r="AP97" s="358"/>
      <c r="AQ97" s="358"/>
      <c r="AR97" s="358"/>
    </row>
    <row r="98" spans="1:44" x14ac:dyDescent="0.3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P98" s="29" t="s">
        <v>390</v>
      </c>
      <c r="Q98" s="29" t="s">
        <v>388</v>
      </c>
      <c r="R98" s="6">
        <f>AVERAGE('1-Influent'!$G$4:$G$87)</f>
        <v>4764.594202898551</v>
      </c>
      <c r="S98" s="29"/>
      <c r="T98" s="29" t="s">
        <v>393</v>
      </c>
      <c r="U98" s="29"/>
      <c r="V98" s="29"/>
      <c r="W98" s="29"/>
      <c r="X98" s="29"/>
      <c r="Y98" s="29"/>
      <c r="Z98" s="29"/>
      <c r="AA98" s="29"/>
      <c r="AB98" s="29"/>
      <c r="AC98" s="29"/>
      <c r="AE98" s="29" t="s">
        <v>390</v>
      </c>
      <c r="AF98" s="29" t="s">
        <v>388</v>
      </c>
      <c r="AG98" s="281">
        <f>AVERAGE('stable MEDIA'!$Z$4:$Z$87)</f>
        <v>7.0617272079482067E-3</v>
      </c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 x14ac:dyDescent="0.3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P99" s="29" t="s">
        <v>307</v>
      </c>
      <c r="Q99" s="29" t="s">
        <v>389</v>
      </c>
      <c r="R99" s="6">
        <f>STDEV('1-Influent'!$G$4:$G$87)</f>
        <v>452.96390970507929</v>
      </c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E99" s="29" t="s">
        <v>307</v>
      </c>
      <c r="AF99" s="29" t="s">
        <v>389</v>
      </c>
      <c r="AG99" s="281">
        <f>STDEV('stable MEDIA'!$Z$4:$Z$87)</f>
        <v>9.2619055710393538E-3</v>
      </c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 ht="15" thickBot="1" x14ac:dyDescent="0.3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P100" s="29"/>
      <c r="Q100" s="29" t="s">
        <v>200</v>
      </c>
      <c r="R100" s="22">
        <f>COUNT('1-Influent'!$G$4:$G$87)</f>
        <v>69</v>
      </c>
      <c r="S100" s="29"/>
      <c r="T100" s="29" t="s">
        <v>394</v>
      </c>
      <c r="U100" s="29"/>
      <c r="V100" s="29"/>
      <c r="W100" s="29" t="s">
        <v>395</v>
      </c>
      <c r="X100" s="6">
        <v>0</v>
      </c>
      <c r="Y100" s="29"/>
      <c r="Z100" s="29"/>
      <c r="AA100" s="29"/>
      <c r="AB100" s="29"/>
      <c r="AC100" s="29"/>
      <c r="AE100" s="29"/>
      <c r="AF100" s="29" t="s">
        <v>200</v>
      </c>
      <c r="AG100" s="212">
        <f>COUNT('stable MEDIA'!$Z$4:$Z$87)</f>
        <v>42</v>
      </c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 ht="15" thickTop="1" x14ac:dyDescent="0.3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P101" s="29"/>
      <c r="Q101" s="29" t="s">
        <v>174</v>
      </c>
      <c r="R101" s="6">
        <f>MIN('1-Influent'!$G$4:$G$87)</f>
        <v>3009</v>
      </c>
      <c r="S101" s="29"/>
      <c r="T101" s="191" t="s">
        <v>396</v>
      </c>
      <c r="U101" s="191" t="s">
        <v>290</v>
      </c>
      <c r="V101" s="191" t="s">
        <v>292</v>
      </c>
      <c r="W101" s="191" t="s">
        <v>293</v>
      </c>
      <c r="X101" s="191" t="s">
        <v>397</v>
      </c>
      <c r="Y101" s="29"/>
      <c r="Z101" s="29"/>
      <c r="AA101" s="29"/>
      <c r="AB101" s="29"/>
      <c r="AC101" s="29"/>
      <c r="AE101" s="29"/>
      <c r="AF101" s="29" t="s">
        <v>174</v>
      </c>
      <c r="AG101" s="281">
        <f>MIN('stable MEDIA'!$Z$4:$Z$87)</f>
        <v>5.826541695739433E-5</v>
      </c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 x14ac:dyDescent="0.3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P102" s="29"/>
      <c r="Q102" s="29" t="s">
        <v>175</v>
      </c>
      <c r="R102" s="6">
        <f>MAX('1-Influent'!$G$4:$G$87)</f>
        <v>5678</v>
      </c>
      <c r="S102" s="29"/>
      <c r="T102" s="29" t="str">
        <f>P104</f>
        <v>Period 1</v>
      </c>
      <c r="U102" s="22">
        <f>R105</f>
        <v>35</v>
      </c>
      <c r="V102" s="6">
        <f>R103</f>
        <v>4953.028571428571</v>
      </c>
      <c r="W102" s="20">
        <f>R99^2</f>
        <v>205176.30349531124</v>
      </c>
      <c r="X102" s="29"/>
      <c r="Y102" s="29"/>
      <c r="Z102" s="29"/>
      <c r="AA102" s="29"/>
      <c r="AB102" s="29"/>
      <c r="AC102" s="29"/>
      <c r="AE102" s="29"/>
      <c r="AF102" s="29" t="s">
        <v>175</v>
      </c>
      <c r="AG102" s="281">
        <f>MAX('stable MEDIA'!$Z$4:$Z$87)</f>
        <v>4.1402827609338631E-2</v>
      </c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 x14ac:dyDescent="0.3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P103" s="29" t="s">
        <v>434</v>
      </c>
      <c r="Q103" s="29" t="s">
        <v>388</v>
      </c>
      <c r="R103" s="6">
        <f>AVERAGE('1-Influent'!$G$4:$G$53)</f>
        <v>4953.028571428571</v>
      </c>
      <c r="S103" s="29"/>
      <c r="T103" s="29" t="str">
        <f>P109</f>
        <v>Period 2</v>
      </c>
      <c r="U103" s="22">
        <f>R110</f>
        <v>37</v>
      </c>
      <c r="V103" s="20">
        <f>R108</f>
        <v>4570.6176470588234</v>
      </c>
      <c r="W103" s="20">
        <f>R109^2</f>
        <v>60198.194871794884</v>
      </c>
      <c r="X103" s="29"/>
      <c r="Y103" s="29"/>
      <c r="Z103" s="29"/>
      <c r="AA103" s="29"/>
      <c r="AB103" s="29"/>
      <c r="AC103" s="29"/>
      <c r="AE103" s="29"/>
      <c r="AF103" s="29" t="s">
        <v>442</v>
      </c>
      <c r="AG103" s="281">
        <f>DEVSQ('stable MEDIA'!$Z$4:$Z$87)</f>
        <v>3.5170986870808416E-3</v>
      </c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 x14ac:dyDescent="0.3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P104" s="29" t="s">
        <v>411</v>
      </c>
      <c r="Q104" s="29" t="s">
        <v>389</v>
      </c>
      <c r="R104" s="6">
        <f>STDEV('1-Influent'!$G$4:$G$53)</f>
        <v>530.98933664457934</v>
      </c>
      <c r="S104" s="29"/>
      <c r="T104" s="8" t="s">
        <v>398</v>
      </c>
      <c r="U104" s="8"/>
      <c r="V104" s="8"/>
      <c r="W104" s="8">
        <f>((U102-1)*W102+(U103-1)*W103)/(U102+U103-2)</f>
        <v>130616.13334607426</v>
      </c>
      <c r="X104" s="8">
        <f>ABS(V102-V103-X100)/SQRT(W104)</f>
        <v>1.0581125823653914</v>
      </c>
      <c r="Y104" s="29"/>
      <c r="Z104" s="29"/>
      <c r="AA104" s="29"/>
      <c r="AB104" s="29"/>
      <c r="AC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 x14ac:dyDescent="0.3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P105" s="29"/>
      <c r="Q105" s="29" t="s">
        <v>200</v>
      </c>
      <c r="R105" s="22">
        <f>COUNT('1-Influent'!$G$4:$G$53)</f>
        <v>35</v>
      </c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 ht="15" thickBot="1" x14ac:dyDescent="0.3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P106" s="29"/>
      <c r="Q106" s="29" t="s">
        <v>174</v>
      </c>
      <c r="R106" s="6">
        <f>MIN('1-Influent'!$G$4:$G$53)</f>
        <v>3009</v>
      </c>
      <c r="S106" s="29"/>
      <c r="T106" s="29" t="s">
        <v>399</v>
      </c>
      <c r="U106" s="29"/>
      <c r="V106" s="29"/>
      <c r="W106" s="29"/>
      <c r="X106" s="29" t="s">
        <v>288</v>
      </c>
      <c r="Y106" s="29">
        <v>0.05</v>
      </c>
      <c r="Z106" s="29"/>
      <c r="AA106" s="29"/>
      <c r="AB106" s="29"/>
      <c r="AC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 ht="15" thickTop="1" x14ac:dyDescent="0.3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P107" s="29"/>
      <c r="Q107" s="29" t="s">
        <v>175</v>
      </c>
      <c r="R107" s="6">
        <f>MAX('1-Influent'!$G$4:$G$53)</f>
        <v>5678</v>
      </c>
      <c r="S107" s="29"/>
      <c r="T107" s="191" t="s">
        <v>400</v>
      </c>
      <c r="U107" s="191" t="s">
        <v>401</v>
      </c>
      <c r="V107" s="191" t="s">
        <v>402</v>
      </c>
      <c r="W107" s="191" t="s">
        <v>205</v>
      </c>
      <c r="X107" s="191" t="s">
        <v>311</v>
      </c>
      <c r="Y107" s="191" t="s">
        <v>403</v>
      </c>
      <c r="Z107" s="191" t="s">
        <v>404</v>
      </c>
      <c r="AA107" s="191" t="s">
        <v>405</v>
      </c>
      <c r="AB107" s="191" t="s">
        <v>406</v>
      </c>
      <c r="AC107" s="191" t="s">
        <v>407</v>
      </c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 x14ac:dyDescent="0.3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P108" s="29" t="s">
        <v>435</v>
      </c>
      <c r="Q108" s="29" t="s">
        <v>388</v>
      </c>
      <c r="R108" s="6">
        <f>AVERAGE('1-Influent'!$G$54:$G$87)</f>
        <v>4570.6176470588234</v>
      </c>
      <c r="S108" s="29"/>
      <c r="T108" s="29" t="s">
        <v>408</v>
      </c>
      <c r="U108" s="29">
        <f>SQRT(W104*(1/U102+1/U103))</f>
        <v>85.217693528302362</v>
      </c>
      <c r="V108" s="29">
        <f>(ABS(V102-V103-X100))/U108</f>
        <v>4.4874592181111064</v>
      </c>
      <c r="W108" s="29">
        <f>U102+U103-2</f>
        <v>70</v>
      </c>
      <c r="X108" s="29">
        <f>TDIST(V108,W108,1)</f>
        <v>1.3806825960762257E-5</v>
      </c>
      <c r="Y108" s="29">
        <f>TINV(Y106*2,W108)</f>
        <v>1.6669144790559576</v>
      </c>
      <c r="Z108" s="29"/>
      <c r="AA108" s="29"/>
      <c r="AB108" s="183" t="str">
        <f>IF(X108&lt;Y106,"yes","no")</f>
        <v>yes</v>
      </c>
      <c r="AC108" s="29">
        <f>SQRT(V108^2/(V108^2+W108))</f>
        <v>0.47265936350924287</v>
      </c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 x14ac:dyDescent="0.3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P109" s="29" t="s">
        <v>412</v>
      </c>
      <c r="Q109" s="29" t="s">
        <v>389</v>
      </c>
      <c r="R109" s="6">
        <f>STDEV('1-Influent'!$G$54:$G$96)</f>
        <v>245.35320432347095</v>
      </c>
      <c r="S109" s="29"/>
      <c r="T109" s="29" t="s">
        <v>409</v>
      </c>
      <c r="U109" s="29">
        <f>U108</f>
        <v>85.217693528302362</v>
      </c>
      <c r="V109" s="29">
        <f>V108</f>
        <v>4.4874592181111064</v>
      </c>
      <c r="W109" s="29">
        <f t="shared" ref="W109" si="12">W108</f>
        <v>70</v>
      </c>
      <c r="X109" s="29">
        <f>TDIST(V109,W109,2)</f>
        <v>2.7613651921524513E-5</v>
      </c>
      <c r="Y109" s="29">
        <f>TINV(Y106,W109)</f>
        <v>1.9944371117711854</v>
      </c>
      <c r="Z109" s="29">
        <f>(V102-V103)-Y109*U109</f>
        <v>212.44959381735819</v>
      </c>
      <c r="AA109" s="29">
        <f>(V102-V103)+Y109*U109</f>
        <v>552.37225492213702</v>
      </c>
      <c r="AB109" s="183" t="str">
        <f>IF(X109&lt;Y106,"yes","no")</f>
        <v>yes</v>
      </c>
      <c r="AC109" s="29">
        <f>AC108</f>
        <v>0.47265936350924287</v>
      </c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 x14ac:dyDescent="0.3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P110" s="29"/>
      <c r="Q110" s="29" t="s">
        <v>200</v>
      </c>
      <c r="R110" s="22">
        <f>COUNT('1-Influent'!$G$54:$G$90)</f>
        <v>37</v>
      </c>
      <c r="S110" s="29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 ht="15" thickBot="1" x14ac:dyDescent="0.3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P111" s="29"/>
      <c r="Q111" s="29" t="s">
        <v>174</v>
      </c>
      <c r="R111" s="6">
        <f>MIN('1-Influent'!$G$54:$G$87)</f>
        <v>3822</v>
      </c>
      <c r="S111" s="29"/>
      <c r="T111" s="29" t="s">
        <v>410</v>
      </c>
      <c r="U111" s="29"/>
      <c r="V111" s="29"/>
      <c r="W111" s="29"/>
      <c r="X111" s="29" t="s">
        <v>288</v>
      </c>
      <c r="Y111" s="29">
        <f>Y106</f>
        <v>0.05</v>
      </c>
      <c r="Z111" s="29"/>
      <c r="AA111" s="29"/>
      <c r="AB111" s="29"/>
      <c r="AC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 ht="15" thickTop="1" x14ac:dyDescent="0.3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P112" s="29"/>
      <c r="Q112" s="29" t="s">
        <v>175</v>
      </c>
      <c r="R112" s="6">
        <f>MAX('1-Influent'!$G$54:$G$87)</f>
        <v>4893</v>
      </c>
      <c r="S112" s="29"/>
      <c r="T112" s="191" t="s">
        <v>400</v>
      </c>
      <c r="U112" s="191" t="s">
        <v>401</v>
      </c>
      <c r="V112" s="191" t="s">
        <v>402</v>
      </c>
      <c r="W112" s="191" t="s">
        <v>205</v>
      </c>
      <c r="X112" s="191" t="s">
        <v>311</v>
      </c>
      <c r="Y112" s="191" t="s">
        <v>403</v>
      </c>
      <c r="Z112" s="191" t="s">
        <v>404</v>
      </c>
      <c r="AA112" s="191" t="s">
        <v>405</v>
      </c>
      <c r="AB112" s="191" t="s">
        <v>406</v>
      </c>
      <c r="AC112" s="191" t="s">
        <v>407</v>
      </c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 x14ac:dyDescent="0.3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P113" s="29"/>
      <c r="Q113" s="29"/>
      <c r="R113" s="29"/>
      <c r="S113" s="29"/>
      <c r="T113" s="29" t="s">
        <v>408</v>
      </c>
      <c r="U113" s="29">
        <f>SQRT(W102/U102+W103/U103)</f>
        <v>86.539923385939488</v>
      </c>
      <c r="V113" s="29">
        <f>(ABS(V102-V103-X100))/U113</f>
        <v>4.4188960355825726</v>
      </c>
      <c r="W113" s="29">
        <f>(W102/U102+W103/U103)^2/((W102/U102)^2/(U102-1)+(W103/U103)^2/(U103-1))</f>
        <v>51.728380184041313</v>
      </c>
      <c r="X113" s="29" t="e">
        <f ca="1">[1]!T_DIST_RT(V113,W113)</f>
        <v>#NAME?</v>
      </c>
      <c r="Y113" s="29" t="e">
        <f ca="1">[1]!T_INV(1-Y111,W113)</f>
        <v>#NAME?</v>
      </c>
      <c r="Z113" s="29"/>
      <c r="AA113" s="29"/>
      <c r="AB113" s="183" t="e">
        <f ca="1">IF(X113&lt;Y111,"yes","no")</f>
        <v>#NAME?</v>
      </c>
      <c r="AC113" s="29">
        <f>SQRT(V113^2/(V113^2+W113))</f>
        <v>0.52348717174471859</v>
      </c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1:44" x14ac:dyDescent="0.3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P114" s="29"/>
      <c r="Q114" s="29"/>
      <c r="R114" s="29"/>
      <c r="S114" s="29"/>
      <c r="T114" s="29" t="s">
        <v>409</v>
      </c>
      <c r="U114" s="29">
        <f>U113</f>
        <v>86.539923385939488</v>
      </c>
      <c r="V114" s="29">
        <f t="shared" ref="V114:W114" si="13">V113</f>
        <v>4.4188960355825726</v>
      </c>
      <c r="W114" s="29">
        <f t="shared" si="13"/>
        <v>51.728380184041313</v>
      </c>
      <c r="X114" s="29" t="e">
        <f ca="1">[1]!T_DIST_2T(V114,W114)</f>
        <v>#NAME?</v>
      </c>
      <c r="Y114" s="29" t="e">
        <f ca="1">[1]!T_INV_2T(Y111,W114)</f>
        <v>#NAME?</v>
      </c>
      <c r="Z114" s="29" t="e">
        <f ca="1">(V102-V103)-Y114*U114</f>
        <v>#NAME?</v>
      </c>
      <c r="AA114" s="29" t="e">
        <f ca="1">(V102-V103)+Y114*U114</f>
        <v>#NAME?</v>
      </c>
      <c r="AB114" s="183" t="e">
        <f ca="1">IF(X114&lt;Y111,"yes","no")</f>
        <v>#NAME?</v>
      </c>
      <c r="AC114" s="29">
        <f>AC113</f>
        <v>0.52348717174471859</v>
      </c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1:44" x14ac:dyDescent="0.3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  <row r="116" spans="1:44" x14ac:dyDescent="0.3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29" t="s">
        <v>422</v>
      </c>
      <c r="P116" s="362" t="s">
        <v>423</v>
      </c>
      <c r="Q116" s="362"/>
      <c r="R116" s="362"/>
      <c r="S116" s="362"/>
      <c r="T116" s="362"/>
      <c r="U116" s="362"/>
      <c r="V116" s="362"/>
      <c r="W116" s="362"/>
      <c r="X116" s="362"/>
      <c r="Y116" s="362"/>
      <c r="Z116" s="362"/>
      <c r="AA116" s="362"/>
      <c r="AB116" s="362"/>
      <c r="AC116" s="362"/>
      <c r="AD116" s="227" t="s">
        <v>485</v>
      </c>
      <c r="AE116" s="358" t="s">
        <v>462</v>
      </c>
      <c r="AF116" s="358"/>
      <c r="AG116" s="358"/>
      <c r="AH116" s="358"/>
      <c r="AI116" s="358"/>
      <c r="AJ116" s="358"/>
      <c r="AK116" s="358"/>
      <c r="AL116" s="358"/>
      <c r="AM116" s="358"/>
      <c r="AN116" s="358"/>
      <c r="AO116" s="358"/>
      <c r="AP116" s="358"/>
      <c r="AQ116" s="358"/>
      <c r="AR116" s="358"/>
    </row>
    <row r="117" spans="1:44" x14ac:dyDescent="0.3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P117" s="29" t="s">
        <v>390</v>
      </c>
      <c r="Q117" s="29" t="s">
        <v>388</v>
      </c>
      <c r="R117" s="6">
        <f>AVERAGE('1-Influent'!$K$4:$K$87)</f>
        <v>14.823623188405797</v>
      </c>
      <c r="S117" s="29"/>
      <c r="T117" s="29" t="s">
        <v>393</v>
      </c>
      <c r="U117" s="29"/>
      <c r="V117" s="29"/>
      <c r="W117" s="29"/>
      <c r="X117" s="29"/>
      <c r="Y117" s="29"/>
      <c r="Z117" s="29"/>
      <c r="AA117" s="29"/>
      <c r="AB117" s="29"/>
      <c r="AC117" s="29"/>
      <c r="AE117" s="29" t="s">
        <v>390</v>
      </c>
      <c r="AF117" s="29" t="s">
        <v>388</v>
      </c>
      <c r="AG117" s="6">
        <f>AVERAGE('stable MEDIA'!$AA$4:$AA$87)</f>
        <v>8.2932087360743589E-2</v>
      </c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</row>
    <row r="118" spans="1:44" x14ac:dyDescent="0.3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P118" s="29" t="s">
        <v>307</v>
      </c>
      <c r="Q118" s="29" t="s">
        <v>389</v>
      </c>
      <c r="R118" s="6">
        <f>STDEV('1-Influent'!$K$4:$K$87)</f>
        <v>3.0147407317138106</v>
      </c>
      <c r="S118" s="29" t="s">
        <v>400</v>
      </c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E118" s="29" t="s">
        <v>307</v>
      </c>
      <c r="AF118" s="29" t="s">
        <v>389</v>
      </c>
      <c r="AG118" s="6">
        <f>STDEV('stable MEDIA'!$AA$4:$AA$87)</f>
        <v>0.11404604111720494</v>
      </c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</row>
    <row r="119" spans="1:44" ht="15" thickBot="1" x14ac:dyDescent="0.3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P119" s="29"/>
      <c r="Q119" s="29" t="s">
        <v>200</v>
      </c>
      <c r="R119" s="22">
        <f>COUNT('1-Influent'!$K$4:$K$87)</f>
        <v>69</v>
      </c>
      <c r="S119" s="29"/>
      <c r="T119" s="29" t="s">
        <v>394</v>
      </c>
      <c r="U119" s="29"/>
      <c r="V119" s="29"/>
      <c r="W119" s="29" t="s">
        <v>395</v>
      </c>
      <c r="X119" s="6">
        <v>0</v>
      </c>
      <c r="Y119" s="29"/>
      <c r="Z119" s="29"/>
      <c r="AA119" s="29"/>
      <c r="AB119" s="29"/>
      <c r="AC119" s="29"/>
      <c r="AE119" s="29"/>
      <c r="AF119" s="29" t="s">
        <v>200</v>
      </c>
      <c r="AG119" s="22">
        <f>COUNT('stable MEDIA'!$AA$4:$AA$87)</f>
        <v>42</v>
      </c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</row>
    <row r="120" spans="1:44" ht="15" thickTop="1" x14ac:dyDescent="0.3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P120" s="29"/>
      <c r="Q120" s="29" t="s">
        <v>174</v>
      </c>
      <c r="R120" s="6">
        <f>MIN('1-Influent'!$K$4:$K$87)</f>
        <v>8.6999999999999993</v>
      </c>
      <c r="S120" s="29"/>
      <c r="T120" s="191" t="s">
        <v>396</v>
      </c>
      <c r="U120" s="191" t="s">
        <v>290</v>
      </c>
      <c r="V120" s="191" t="s">
        <v>292</v>
      </c>
      <c r="W120" s="191" t="s">
        <v>293</v>
      </c>
      <c r="X120" s="191" t="s">
        <v>397</v>
      </c>
      <c r="Y120" s="29"/>
      <c r="Z120" s="29"/>
      <c r="AA120" s="29"/>
      <c r="AB120" s="29"/>
      <c r="AC120" s="29"/>
      <c r="AE120" s="29"/>
      <c r="AF120" s="29" t="s">
        <v>174</v>
      </c>
      <c r="AG120" s="6">
        <f>MIN('stable MEDIA'!$AA$4:$AA$87)</f>
        <v>2.3267989064045142E-5</v>
      </c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</row>
    <row r="121" spans="1:44" x14ac:dyDescent="0.3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P121" s="29"/>
      <c r="Q121" s="29" t="s">
        <v>175</v>
      </c>
      <c r="R121" s="6">
        <f>MAX('1-Influent'!$K$4:$K$87)</f>
        <v>23.16</v>
      </c>
      <c r="S121" s="29"/>
      <c r="T121" s="29" t="str">
        <f>P123</f>
        <v>Period 1</v>
      </c>
      <c r="U121" s="22">
        <f>R124</f>
        <v>35</v>
      </c>
      <c r="V121" s="6">
        <f>R122</f>
        <v>13.317428571428572</v>
      </c>
      <c r="W121" s="20">
        <f>R118^2</f>
        <v>9.0886616794543222</v>
      </c>
      <c r="X121" s="29"/>
      <c r="Y121" s="29"/>
      <c r="Z121" s="29"/>
      <c r="AA121" s="29"/>
      <c r="AB121" s="29"/>
      <c r="AC121" s="29"/>
      <c r="AE121" s="29"/>
      <c r="AF121" s="29" t="s">
        <v>175</v>
      </c>
      <c r="AG121" s="6">
        <f>MAX('stable MEDIA'!$AA$4:$AA$87)</f>
        <v>0.40586346078729224</v>
      </c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</row>
    <row r="122" spans="1:44" x14ac:dyDescent="0.3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P122" s="29" t="s">
        <v>434</v>
      </c>
      <c r="Q122" s="29" t="s">
        <v>388</v>
      </c>
      <c r="R122" s="6">
        <f>AVERAGE('1-Influent'!$K$4:$K$53)</f>
        <v>13.317428571428572</v>
      </c>
      <c r="S122" s="29"/>
      <c r="T122" s="29" t="str">
        <f>P128</f>
        <v>Period 2</v>
      </c>
      <c r="U122" s="22">
        <f>R129</f>
        <v>37</v>
      </c>
      <c r="V122" s="20">
        <f>R127</f>
        <v>16.374117647058821</v>
      </c>
      <c r="W122" s="20">
        <f>R128^2</f>
        <v>8.1216871794872869</v>
      </c>
      <c r="X122" s="29"/>
      <c r="Y122" s="29"/>
      <c r="Z122" s="29"/>
      <c r="AA122" s="29"/>
      <c r="AB122" s="29"/>
      <c r="AC122" s="29"/>
      <c r="AE122" s="29"/>
      <c r="AF122" s="29" t="s">
        <v>442</v>
      </c>
      <c r="AG122" s="6">
        <f>DEVSQ('stable MEDIA'!$AA$4:$AA$87)</f>
        <v>0.53326647927479554</v>
      </c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</row>
    <row r="123" spans="1:44" x14ac:dyDescent="0.3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P123" s="29" t="s">
        <v>411</v>
      </c>
      <c r="Q123" s="29" t="s">
        <v>389</v>
      </c>
      <c r="R123" s="6">
        <f>STDEV('1-Influent'!$K$4:$K$53)</f>
        <v>2.0753884722924445</v>
      </c>
      <c r="S123" s="29"/>
      <c r="T123" s="8" t="s">
        <v>398</v>
      </c>
      <c r="U123" s="8"/>
      <c r="V123" s="8"/>
      <c r="W123" s="8">
        <f>((U121-1)*W121+(U122-1)*W122)/(U121+U122-2)</f>
        <v>8.5913605080427029</v>
      </c>
      <c r="X123" s="8">
        <f>ABS(V121-V122-X119)/SQRT(W123)</f>
        <v>1.0428462727297192</v>
      </c>
      <c r="Y123" s="29"/>
      <c r="Z123" s="29"/>
      <c r="AA123" s="29"/>
      <c r="AB123" s="29"/>
      <c r="AC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</row>
    <row r="124" spans="1:44" x14ac:dyDescent="0.3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P124" s="29"/>
      <c r="Q124" s="29" t="s">
        <v>200</v>
      </c>
      <c r="R124" s="22">
        <f>COUNT('1-Influent'!$K$4:$K$53)</f>
        <v>35</v>
      </c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</row>
    <row r="125" spans="1:44" ht="15" thickBot="1" x14ac:dyDescent="0.3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P125" s="29"/>
      <c r="Q125" s="29" t="s">
        <v>174</v>
      </c>
      <c r="R125" s="6">
        <f>MIN('1-Influent'!$K$4:$K$53)</f>
        <v>8.6999999999999993</v>
      </c>
      <c r="S125" s="29"/>
      <c r="T125" s="29" t="s">
        <v>399</v>
      </c>
      <c r="U125" s="29"/>
      <c r="V125" s="29"/>
      <c r="W125" s="29"/>
      <c r="X125" s="29" t="s">
        <v>288</v>
      </c>
      <c r="Y125" s="29">
        <v>0.05</v>
      </c>
      <c r="Z125" s="29"/>
      <c r="AA125" s="29"/>
      <c r="AB125" s="29"/>
      <c r="AC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</row>
    <row r="126" spans="1:44" ht="15" thickTop="1" x14ac:dyDescent="0.3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P126" s="29"/>
      <c r="Q126" s="29" t="s">
        <v>175</v>
      </c>
      <c r="R126" s="6">
        <f>MAX('1-Influent'!$K$4:$K$53)</f>
        <v>18.79</v>
      </c>
      <c r="S126" s="29"/>
      <c r="T126" s="191" t="s">
        <v>400</v>
      </c>
      <c r="U126" s="191" t="s">
        <v>401</v>
      </c>
      <c r="V126" s="191" t="s">
        <v>402</v>
      </c>
      <c r="W126" s="191" t="s">
        <v>205</v>
      </c>
      <c r="X126" s="191" t="s">
        <v>311</v>
      </c>
      <c r="Y126" s="191" t="s">
        <v>403</v>
      </c>
      <c r="Z126" s="191" t="s">
        <v>404</v>
      </c>
      <c r="AA126" s="191" t="s">
        <v>405</v>
      </c>
      <c r="AB126" s="191" t="s">
        <v>406</v>
      </c>
      <c r="AC126" s="191" t="s">
        <v>407</v>
      </c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</row>
    <row r="127" spans="1:44" x14ac:dyDescent="0.3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P127" s="29" t="s">
        <v>435</v>
      </c>
      <c r="Q127" s="29" t="s">
        <v>388</v>
      </c>
      <c r="R127" s="6">
        <f>AVERAGE('1-Influent'!$K$54:$K$87)</f>
        <v>16.374117647058821</v>
      </c>
      <c r="S127" s="29"/>
      <c r="T127" s="29" t="s">
        <v>408</v>
      </c>
      <c r="U127" s="29">
        <f>SQRT(W123*(1/U121+1/U122))</f>
        <v>0.69113412282764419</v>
      </c>
      <c r="V127" s="29">
        <f>(ABS(V121-V122-X119))/U127</f>
        <v>4.4227147447508246</v>
      </c>
      <c r="W127" s="29">
        <f>U121+U122-2</f>
        <v>70</v>
      </c>
      <c r="X127" s="29">
        <f>TDIST(V127,W127,1)</f>
        <v>1.7462218405983464E-5</v>
      </c>
      <c r="Y127" s="29">
        <f>TINV(Y125*2,W127)</f>
        <v>1.6669144790559576</v>
      </c>
      <c r="Z127" s="29"/>
      <c r="AA127" s="29"/>
      <c r="AB127" s="183" t="str">
        <f>IF(X127&lt;Y125,"yes","no")</f>
        <v>yes</v>
      </c>
      <c r="AC127" s="29">
        <f>SQRT(V127^2/(V127^2+W127))</f>
        <v>0.46733779281385129</v>
      </c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</row>
    <row r="128" spans="1:44" x14ac:dyDescent="0.3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P128" s="29" t="s">
        <v>412</v>
      </c>
      <c r="Q128" s="29" t="s">
        <v>389</v>
      </c>
      <c r="R128" s="6">
        <f>STDEV('1-Influent'!$K$54:$K$96)</f>
        <v>2.8498573963423657</v>
      </c>
      <c r="S128" s="29"/>
      <c r="T128" s="29" t="s">
        <v>409</v>
      </c>
      <c r="U128" s="29">
        <f>U127</f>
        <v>0.69113412282764419</v>
      </c>
      <c r="V128" s="29">
        <f>V127</f>
        <v>4.4227147447508246</v>
      </c>
      <c r="W128" s="29">
        <f t="shared" ref="W128" si="14">W127</f>
        <v>70</v>
      </c>
      <c r="X128" s="29">
        <f>TDIST(V128,W128,2)</f>
        <v>3.4924436811966927E-5</v>
      </c>
      <c r="Y128" s="29">
        <f>TINV(Y125,W128)</f>
        <v>1.9944371117711854</v>
      </c>
      <c r="Z128" s="29">
        <f>(V121-V122)-Y128*U128</f>
        <v>-4.4351126194091277</v>
      </c>
      <c r="AA128" s="29">
        <f>(V121-V122)+Y128*U128</f>
        <v>-1.6782655318513708</v>
      </c>
      <c r="AB128" s="183" t="str">
        <f>IF(X128&lt;Y125,"yes","no")</f>
        <v>yes</v>
      </c>
      <c r="AC128" s="29">
        <f>AC127</f>
        <v>0.46733779281385129</v>
      </c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</row>
    <row r="129" spans="1:44" x14ac:dyDescent="0.3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P129" s="29"/>
      <c r="Q129" s="29" t="s">
        <v>200</v>
      </c>
      <c r="R129" s="22">
        <f>COUNT('1-Influent'!$K$54:$K$90)</f>
        <v>37</v>
      </c>
      <c r="S129" s="29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</row>
    <row r="130" spans="1:44" ht="15" thickBot="1" x14ac:dyDescent="0.3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P130" s="29"/>
      <c r="Q130" s="29" t="s">
        <v>174</v>
      </c>
      <c r="R130" s="6">
        <f>MIN('1-Influent'!$K$54:$K$87)</f>
        <v>12.04</v>
      </c>
      <c r="S130" s="29"/>
      <c r="T130" s="29" t="s">
        <v>410</v>
      </c>
      <c r="U130" s="29"/>
      <c r="V130" s="29"/>
      <c r="W130" s="29"/>
      <c r="X130" s="29" t="s">
        <v>288</v>
      </c>
      <c r="Y130" s="29">
        <f>Y125</f>
        <v>0.05</v>
      </c>
      <c r="Z130" s="29"/>
      <c r="AA130" s="29"/>
      <c r="AB130" s="29"/>
      <c r="AC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</row>
    <row r="131" spans="1:44" ht="15" thickTop="1" x14ac:dyDescent="0.3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P131" s="29"/>
      <c r="Q131" s="29" t="s">
        <v>175</v>
      </c>
      <c r="R131" s="6">
        <f>MAX('1-Influent'!$K$54:$K$87)</f>
        <v>23.16</v>
      </c>
      <c r="S131" s="29"/>
      <c r="T131" s="191" t="s">
        <v>400</v>
      </c>
      <c r="U131" s="191" t="s">
        <v>401</v>
      </c>
      <c r="V131" s="191" t="s">
        <v>402</v>
      </c>
      <c r="W131" s="191" t="s">
        <v>205</v>
      </c>
      <c r="X131" s="191" t="s">
        <v>311</v>
      </c>
      <c r="Y131" s="191" t="s">
        <v>403</v>
      </c>
      <c r="Z131" s="191" t="s">
        <v>404</v>
      </c>
      <c r="AA131" s="191" t="s">
        <v>405</v>
      </c>
      <c r="AB131" s="191" t="s">
        <v>406</v>
      </c>
      <c r="AC131" s="191" t="s">
        <v>407</v>
      </c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</row>
    <row r="132" spans="1:44" x14ac:dyDescent="0.3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P132" s="29"/>
      <c r="Q132" s="29"/>
      <c r="R132" s="29"/>
      <c r="S132" s="29"/>
      <c r="T132" s="29" t="s">
        <v>408</v>
      </c>
      <c r="U132" s="29">
        <f>SQRT(W121/U121+W122/U122)</f>
        <v>0.69222908555583751</v>
      </c>
      <c r="V132" s="29">
        <f>(ABS(V121-V122-X119))/U132</f>
        <v>4.4157189280421916</v>
      </c>
      <c r="W132" s="29">
        <f>(W121/U121+W122/U122)^2/((W121/U121)^2/(U121-1)+(W122/U122)^2/(U122-1))</f>
        <v>69.125904058803087</v>
      </c>
      <c r="X132" s="29" t="e">
        <f ca="1">[1]!T_DIST_RT(V132,W132)</f>
        <v>#NAME?</v>
      </c>
      <c r="Y132" s="29" t="e">
        <f ca="1">[1]!T_INV(1-Y130,W132)</f>
        <v>#NAME?</v>
      </c>
      <c r="Z132" s="29"/>
      <c r="AA132" s="29"/>
      <c r="AB132" s="183" t="e">
        <f ca="1">IF(X132&lt;Y130,"yes","no")</f>
        <v>#NAME?</v>
      </c>
      <c r="AC132" s="29">
        <f>SQRT(V132^2/(V132^2+W132))</f>
        <v>0.46905587208693228</v>
      </c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</row>
    <row r="133" spans="1:44" x14ac:dyDescent="0.3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P133" s="29"/>
      <c r="Q133" s="29"/>
      <c r="R133" s="29"/>
      <c r="S133" s="29"/>
      <c r="T133" s="29" t="s">
        <v>409</v>
      </c>
      <c r="U133" s="29">
        <f>U132</f>
        <v>0.69222908555583751</v>
      </c>
      <c r="V133" s="29">
        <f t="shared" ref="V133:W133" si="15">V132</f>
        <v>4.4157189280421916</v>
      </c>
      <c r="W133" s="29">
        <f t="shared" si="15"/>
        <v>69.125904058803087</v>
      </c>
      <c r="X133" s="29" t="e">
        <f ca="1">[1]!T_DIST_2T(V133,W133)</f>
        <v>#NAME?</v>
      </c>
      <c r="Y133" s="29" t="e">
        <f ca="1">[1]!T_INV_2T(Y130,W133)</f>
        <v>#NAME?</v>
      </c>
      <c r="Z133" s="29" t="e">
        <f ca="1">(V121-V122)-Y133*U133</f>
        <v>#NAME?</v>
      </c>
      <c r="AA133" s="29" t="e">
        <f ca="1">(V121-V122)+Y133*U133</f>
        <v>#NAME?</v>
      </c>
      <c r="AB133" s="183" t="e">
        <f ca="1">IF(X133&lt;Y130,"yes","no")</f>
        <v>#NAME?</v>
      </c>
      <c r="AC133" s="29">
        <f>AC132</f>
        <v>0.46905587208693228</v>
      </c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</row>
    <row r="134" spans="1:44" x14ac:dyDescent="0.3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</row>
    <row r="135" spans="1:44" x14ac:dyDescent="0.3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29" t="s">
        <v>98</v>
      </c>
      <c r="P135" s="362" t="s">
        <v>424</v>
      </c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227" t="s">
        <v>97</v>
      </c>
      <c r="AE135" s="358" t="s">
        <v>469</v>
      </c>
      <c r="AF135" s="358"/>
      <c r="AG135" s="358"/>
      <c r="AH135" s="358"/>
      <c r="AI135" s="358"/>
      <c r="AJ135" s="358"/>
      <c r="AK135" s="358"/>
      <c r="AL135" s="358"/>
      <c r="AM135" s="358"/>
      <c r="AN135" s="358"/>
      <c r="AO135" s="358"/>
      <c r="AP135" s="358"/>
      <c r="AQ135" s="358"/>
      <c r="AR135" s="358"/>
    </row>
    <row r="136" spans="1:44" x14ac:dyDescent="0.3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P136" s="29" t="s">
        <v>390</v>
      </c>
      <c r="Q136" s="29" t="s">
        <v>388</v>
      </c>
      <c r="R136" s="6">
        <f>AVERAGE('1-Influent'!$P$4:$P$87)</f>
        <v>1304.3927536231888</v>
      </c>
      <c r="S136" s="29"/>
      <c r="T136" s="29" t="s">
        <v>393</v>
      </c>
      <c r="U136" s="29"/>
      <c r="V136" s="29"/>
      <c r="W136" s="29"/>
      <c r="X136" s="29"/>
      <c r="Y136" s="29"/>
      <c r="Z136" s="29"/>
      <c r="AA136" s="29"/>
      <c r="AB136" s="29"/>
      <c r="AC136" s="29"/>
      <c r="AE136" s="29" t="s">
        <v>390</v>
      </c>
      <c r="AF136" s="29" t="s">
        <v>388</v>
      </c>
      <c r="AG136" s="6">
        <f>AVERAGE('stable MEDIA'!$O$4:$O$87)</f>
        <v>345.32499999999999</v>
      </c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</row>
    <row r="137" spans="1:44" x14ac:dyDescent="0.3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P137" s="29" t="s">
        <v>307</v>
      </c>
      <c r="Q137" s="29" t="s">
        <v>389</v>
      </c>
      <c r="R137" s="6">
        <f>STDEV('1-Influent'!$P$4:$P$87)</f>
        <v>122.62090411560986</v>
      </c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E137" s="29" t="s">
        <v>307</v>
      </c>
      <c r="AF137" s="29" t="s">
        <v>389</v>
      </c>
      <c r="AG137" s="6">
        <f>STDEV('stable MEDIA'!$O$4:$O$87)</f>
        <v>623.95959958847072</v>
      </c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</row>
    <row r="138" spans="1:44" ht="15" thickBot="1" x14ac:dyDescent="0.3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P138" s="29"/>
      <c r="Q138" s="29" t="s">
        <v>200</v>
      </c>
      <c r="R138" s="22">
        <f>COUNT('1-Influent'!$P$4:$P$87)</f>
        <v>69</v>
      </c>
      <c r="S138" s="29"/>
      <c r="T138" s="29" t="s">
        <v>394</v>
      </c>
      <c r="U138" s="29"/>
      <c r="V138" s="29"/>
      <c r="W138" s="29" t="s">
        <v>395</v>
      </c>
      <c r="X138" s="6">
        <v>0</v>
      </c>
      <c r="Y138" s="29"/>
      <c r="Z138" s="29"/>
      <c r="AA138" s="29"/>
      <c r="AB138" s="29"/>
      <c r="AC138" s="29"/>
      <c r="AE138" s="29"/>
      <c r="AF138" s="29" t="s">
        <v>200</v>
      </c>
      <c r="AG138" s="22">
        <f>COUNT('stable MEDIA'!$O$4:$O$87)</f>
        <v>44</v>
      </c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</row>
    <row r="139" spans="1:44" ht="15" thickTop="1" x14ac:dyDescent="0.3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P139" s="29"/>
      <c r="Q139" s="29" t="s">
        <v>174</v>
      </c>
      <c r="R139" s="6">
        <f>MIN('1-Influent'!$P$4:$P$87)</f>
        <v>861.04</v>
      </c>
      <c r="S139" s="29"/>
      <c r="T139" s="191" t="s">
        <v>396</v>
      </c>
      <c r="U139" s="191" t="s">
        <v>290</v>
      </c>
      <c r="V139" s="191" t="s">
        <v>292</v>
      </c>
      <c r="W139" s="191" t="s">
        <v>293</v>
      </c>
      <c r="X139" s="191" t="s">
        <v>397</v>
      </c>
      <c r="Y139" s="29"/>
      <c r="Z139" s="29"/>
      <c r="AA139" s="29"/>
      <c r="AB139" s="29"/>
      <c r="AC139" s="29"/>
      <c r="AE139" s="29"/>
      <c r="AF139" s="29" t="s">
        <v>174</v>
      </c>
      <c r="AG139" s="6">
        <f>MIN('stable MEDIA'!$O$4:$O$87)</f>
        <v>34</v>
      </c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</row>
    <row r="140" spans="1:44" x14ac:dyDescent="0.3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P140" s="29"/>
      <c r="Q140" s="29" t="s">
        <v>175</v>
      </c>
      <c r="R140" s="6">
        <f>MAX('1-Influent'!$P$4:$P$87)</f>
        <v>1501.4</v>
      </c>
      <c r="S140" s="29"/>
      <c r="T140" s="29" t="str">
        <f>P142</f>
        <v>Period 1</v>
      </c>
      <c r="U140" s="22">
        <f>R143</f>
        <v>35</v>
      </c>
      <c r="V140" s="6">
        <f>R141</f>
        <v>1340.0240000000001</v>
      </c>
      <c r="W140" s="20">
        <f>R137^2</f>
        <v>15035.886126129588</v>
      </c>
      <c r="X140" s="29"/>
      <c r="Y140" s="29"/>
      <c r="Z140" s="29"/>
      <c r="AA140" s="29"/>
      <c r="AB140" s="29"/>
      <c r="AC140" s="29"/>
      <c r="AE140" s="29"/>
      <c r="AF140" s="29" t="s">
        <v>175</v>
      </c>
      <c r="AG140" s="6">
        <f>MAX('stable MEDIA'!$O$4:$O$87)</f>
        <v>3112</v>
      </c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</row>
    <row r="141" spans="1:44" x14ac:dyDescent="0.3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P141" s="29" t="s">
        <v>434</v>
      </c>
      <c r="Q141" s="29" t="s">
        <v>388</v>
      </c>
      <c r="R141" s="6">
        <f>AVERAGE('1-Influent'!$P$4:$P$53)</f>
        <v>1340.0240000000001</v>
      </c>
      <c r="S141" s="29"/>
      <c r="T141" s="29" t="str">
        <f>P147</f>
        <v>Period 2</v>
      </c>
      <c r="U141" s="22">
        <f>R148</f>
        <v>37</v>
      </c>
      <c r="V141" s="20">
        <f>R146</f>
        <v>1267.7135294117645</v>
      </c>
      <c r="W141" s="20">
        <f>R147^2</f>
        <v>7990.1544028205171</v>
      </c>
      <c r="X141" s="29"/>
      <c r="Y141" s="29"/>
      <c r="Z141" s="29"/>
      <c r="AA141" s="29"/>
      <c r="AB141" s="29"/>
      <c r="AC141" s="29"/>
      <c r="AE141" s="29"/>
      <c r="AF141" s="29" t="s">
        <v>442</v>
      </c>
      <c r="AG141" s="6">
        <f>DEVSQ('stable MEDIA'!$O$4:$O$87)</f>
        <v>16741000.022500001</v>
      </c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</row>
    <row r="142" spans="1:44" x14ac:dyDescent="0.3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P142" s="29" t="s">
        <v>411</v>
      </c>
      <c r="Q142" s="29" t="s">
        <v>389</v>
      </c>
      <c r="R142" s="6">
        <f>STDEV('1-Influent'!$P$4:$P$53)</f>
        <v>137.41228233484426</v>
      </c>
      <c r="S142" s="29"/>
      <c r="T142" s="8" t="s">
        <v>398</v>
      </c>
      <c r="U142" s="8"/>
      <c r="V142" s="8"/>
      <c r="W142" s="8">
        <f>((U140-1)*W140+(U141-1)*W141)/(U140+U141-2)</f>
        <v>11412.366954142064</v>
      </c>
      <c r="X142" s="8">
        <f>ABS(V140-V141-X138)/SQRT(W142)</f>
        <v>0.67688255928450669</v>
      </c>
      <c r="Y142" s="29"/>
      <c r="Z142" s="29"/>
      <c r="AA142" s="29"/>
      <c r="AB142" s="29"/>
      <c r="AC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</row>
    <row r="143" spans="1:44" x14ac:dyDescent="0.3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P143" s="29"/>
      <c r="Q143" s="29" t="s">
        <v>200</v>
      </c>
      <c r="R143" s="22">
        <f>COUNT('1-Influent'!$P$4:$P$53)</f>
        <v>35</v>
      </c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</row>
    <row r="144" spans="1:44" ht="15" thickBot="1" x14ac:dyDescent="0.3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P144" s="29"/>
      <c r="Q144" s="29" t="s">
        <v>174</v>
      </c>
      <c r="R144" s="6">
        <f>MIN('1-Influent'!$P$4:$P$53)</f>
        <v>861.04</v>
      </c>
      <c r="S144" s="29"/>
      <c r="T144" s="29" t="s">
        <v>399</v>
      </c>
      <c r="U144" s="29"/>
      <c r="V144" s="29"/>
      <c r="W144" s="29"/>
      <c r="X144" s="29" t="s">
        <v>288</v>
      </c>
      <c r="Y144" s="29">
        <v>0.05</v>
      </c>
      <c r="Z144" s="29"/>
      <c r="AA144" s="29"/>
      <c r="AB144" s="29"/>
      <c r="AC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</row>
    <row r="145" spans="1:44" ht="15" thickTop="1" x14ac:dyDescent="0.3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P145" s="29"/>
      <c r="Q145" s="29" t="s">
        <v>175</v>
      </c>
      <c r="R145" s="6">
        <f>MAX('1-Influent'!$P$4:$P$53)</f>
        <v>1501.4</v>
      </c>
      <c r="S145" s="29"/>
      <c r="T145" s="191" t="s">
        <v>400</v>
      </c>
      <c r="U145" s="191" t="s">
        <v>401</v>
      </c>
      <c r="V145" s="191" t="s">
        <v>402</v>
      </c>
      <c r="W145" s="191" t="s">
        <v>205</v>
      </c>
      <c r="X145" s="191" t="s">
        <v>311</v>
      </c>
      <c r="Y145" s="191" t="s">
        <v>403</v>
      </c>
      <c r="Z145" s="191" t="s">
        <v>404</v>
      </c>
      <c r="AA145" s="191" t="s">
        <v>405</v>
      </c>
      <c r="AB145" s="191" t="s">
        <v>406</v>
      </c>
      <c r="AC145" s="191" t="s">
        <v>407</v>
      </c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</row>
    <row r="146" spans="1:44" x14ac:dyDescent="0.3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P146" s="29" t="s">
        <v>435</v>
      </c>
      <c r="Q146" s="29" t="s">
        <v>388</v>
      </c>
      <c r="R146" s="6">
        <f>AVERAGE('1-Influent'!$P$54:$P$87)</f>
        <v>1267.7135294117645</v>
      </c>
      <c r="S146" s="29"/>
      <c r="T146" s="29" t="s">
        <v>408</v>
      </c>
      <c r="U146" s="29">
        <f>SQRT(W142*(1/U140+1/U141))</f>
        <v>25.189481482816383</v>
      </c>
      <c r="V146" s="29">
        <f>(ABS(V140-V141-X138))/U146</f>
        <v>2.8706613368585594</v>
      </c>
      <c r="W146" s="29">
        <f>U140+U141-2</f>
        <v>70</v>
      </c>
      <c r="X146" s="29">
        <f>TDIST(V146,W146,1)</f>
        <v>2.7069834002257562E-3</v>
      </c>
      <c r="Y146" s="29">
        <f>TINV(Y144*2,W146)</f>
        <v>1.6669144790559576</v>
      </c>
      <c r="Z146" s="29"/>
      <c r="AA146" s="29"/>
      <c r="AB146" s="183" t="str">
        <f>IF(X146&lt;Y144,"yes","no")</f>
        <v>yes</v>
      </c>
      <c r="AC146" s="29">
        <f>SQRT(V146^2/(V146^2+W146))</f>
        <v>0.32453803786854141</v>
      </c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</row>
    <row r="147" spans="1:44" x14ac:dyDescent="0.3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P147" s="29" t="s">
        <v>412</v>
      </c>
      <c r="Q147" s="29" t="s">
        <v>389</v>
      </c>
      <c r="R147" s="6">
        <f>STDEV('1-Influent'!$P$54:$P$96)</f>
        <v>89.387663594147696</v>
      </c>
      <c r="S147" s="29"/>
      <c r="T147" s="29" t="s">
        <v>409</v>
      </c>
      <c r="U147" s="29">
        <f>U146</f>
        <v>25.189481482816383</v>
      </c>
      <c r="V147" s="29">
        <f>V146</f>
        <v>2.8706613368585594</v>
      </c>
      <c r="W147" s="29">
        <f t="shared" ref="W147" si="16">W146</f>
        <v>70</v>
      </c>
      <c r="X147" s="29">
        <f>TDIST(V147,W147,2)</f>
        <v>5.4139668004515125E-3</v>
      </c>
      <c r="Y147" s="29">
        <f>TINV(Y144,W147)</f>
        <v>1.9944371117711854</v>
      </c>
      <c r="Z147" s="29">
        <f>(V140-V141)-Y147*U147</f>
        <v>22.071633892633535</v>
      </c>
      <c r="AA147" s="29">
        <f>(V140-V141)+Y147*U147</f>
        <v>122.54930728383766</v>
      </c>
      <c r="AB147" s="183" t="str">
        <f>IF(X147&lt;Y144,"yes","no")</f>
        <v>yes</v>
      </c>
      <c r="AC147" s="29">
        <f>AC146</f>
        <v>0.32453803786854141</v>
      </c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</row>
    <row r="148" spans="1:44" x14ac:dyDescent="0.3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P148" s="29"/>
      <c r="Q148" s="29" t="s">
        <v>200</v>
      </c>
      <c r="R148" s="22">
        <f>COUNT('1-Influent'!$P$54:$P$90)</f>
        <v>37</v>
      </c>
      <c r="S148" s="29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</row>
    <row r="149" spans="1:44" ht="15" thickBot="1" x14ac:dyDescent="0.3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P149" s="29"/>
      <c r="Q149" s="29" t="s">
        <v>174</v>
      </c>
      <c r="R149" s="6">
        <f>MIN('1-Influent'!$P$54:$P$87)</f>
        <v>1018.3</v>
      </c>
      <c r="S149" s="29"/>
      <c r="T149" s="29" t="s">
        <v>410</v>
      </c>
      <c r="U149" s="29"/>
      <c r="V149" s="29"/>
      <c r="W149" s="29"/>
      <c r="X149" s="29" t="s">
        <v>288</v>
      </c>
      <c r="Y149" s="29">
        <f>Y144</f>
        <v>0.05</v>
      </c>
      <c r="Z149" s="29"/>
      <c r="AA149" s="29"/>
      <c r="AB149" s="29"/>
      <c r="AC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</row>
    <row r="150" spans="1:44" ht="15" thickTop="1" x14ac:dyDescent="0.3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P150" s="29"/>
      <c r="Q150" s="29" t="s">
        <v>175</v>
      </c>
      <c r="R150" s="6">
        <f>MAX('1-Influent'!$P$54:$P$87)</f>
        <v>1442.7</v>
      </c>
      <c r="S150" s="29"/>
      <c r="T150" s="191" t="s">
        <v>400</v>
      </c>
      <c r="U150" s="191" t="s">
        <v>401</v>
      </c>
      <c r="V150" s="191" t="s">
        <v>402</v>
      </c>
      <c r="W150" s="191" t="s">
        <v>205</v>
      </c>
      <c r="X150" s="191" t="s">
        <v>311</v>
      </c>
      <c r="Y150" s="191" t="s">
        <v>403</v>
      </c>
      <c r="Z150" s="191" t="s">
        <v>404</v>
      </c>
      <c r="AA150" s="191" t="s">
        <v>405</v>
      </c>
      <c r="AB150" s="191" t="s">
        <v>406</v>
      </c>
      <c r="AC150" s="191" t="s">
        <v>407</v>
      </c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</row>
    <row r="151" spans="1:44" x14ac:dyDescent="0.3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P151" s="29"/>
      <c r="Q151" s="29"/>
      <c r="R151" s="212"/>
      <c r="S151" s="29"/>
      <c r="T151" s="29" t="s">
        <v>408</v>
      </c>
      <c r="U151" s="29">
        <f>SQRT(W140/U140+W141/U141)</f>
        <v>25.40761432043541</v>
      </c>
      <c r="V151" s="29">
        <f>(ABS(V140-V141-X138))/U151</f>
        <v>2.8460157524540235</v>
      </c>
      <c r="W151" s="29">
        <f>(W140/U140+W141/U141)^2/((W140/U140)^2/(U140-1)+(W141/U141)^2/(U141-1))</f>
        <v>61.981761476160365</v>
      </c>
      <c r="X151" s="29" t="e">
        <f ca="1">[1]!T_DIST_RT(V151,W151)</f>
        <v>#NAME?</v>
      </c>
      <c r="Y151" s="29" t="e">
        <f ca="1">[1]!T_INV(1-Y149,W151)</f>
        <v>#NAME?</v>
      </c>
      <c r="Z151" s="29"/>
      <c r="AA151" s="29"/>
      <c r="AB151" s="183" t="e">
        <f ca="1">IF(X151&lt;Y149,"yes","no")</f>
        <v>#NAME?</v>
      </c>
      <c r="AC151" s="29">
        <f>SQRT(V151^2/(V151^2+W151))</f>
        <v>0.33996593088710403</v>
      </c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</row>
    <row r="152" spans="1:44" x14ac:dyDescent="0.3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P152" s="29"/>
      <c r="Q152" s="29"/>
      <c r="R152" s="29"/>
      <c r="S152" s="29"/>
      <c r="T152" s="29" t="s">
        <v>409</v>
      </c>
      <c r="U152" s="29">
        <f>U151</f>
        <v>25.40761432043541</v>
      </c>
      <c r="V152" s="29">
        <f t="shared" ref="V152:W152" si="17">V151</f>
        <v>2.8460157524540235</v>
      </c>
      <c r="W152" s="29">
        <f t="shared" si="17"/>
        <v>61.981761476160365</v>
      </c>
      <c r="X152" s="29" t="e">
        <f ca="1">[1]!T_DIST_2T(V152,W152)</f>
        <v>#NAME?</v>
      </c>
      <c r="Y152" s="29" t="e">
        <f ca="1">[1]!T_INV_2T(Y149,W152)</f>
        <v>#NAME?</v>
      </c>
      <c r="Z152" s="29" t="e">
        <f ca="1">(V140-V141)-Y152*U152</f>
        <v>#NAME?</v>
      </c>
      <c r="AA152" s="29" t="e">
        <f ca="1">(V140-V141)+Y152*U152</f>
        <v>#NAME?</v>
      </c>
      <c r="AB152" s="183" t="e">
        <f ca="1">IF(X152&lt;Y149,"yes","no")</f>
        <v>#NAME?</v>
      </c>
      <c r="AC152" s="29">
        <f>AC151</f>
        <v>0.33996593088710403</v>
      </c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</row>
    <row r="153" spans="1:44" x14ac:dyDescent="0.3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</row>
    <row r="154" spans="1:44" x14ac:dyDescent="0.3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29" t="s">
        <v>235</v>
      </c>
      <c r="P154" s="362" t="s">
        <v>425</v>
      </c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  <c r="AA154" s="362"/>
      <c r="AB154" s="362"/>
      <c r="AC154" s="362"/>
      <c r="AD154" s="227" t="s">
        <v>486</v>
      </c>
      <c r="AE154" s="358" t="s">
        <v>463</v>
      </c>
      <c r="AF154" s="358"/>
      <c r="AG154" s="358"/>
      <c r="AH154" s="358"/>
      <c r="AI154" s="358"/>
      <c r="AJ154" s="358"/>
      <c r="AK154" s="358"/>
      <c r="AL154" s="358"/>
      <c r="AM154" s="358"/>
      <c r="AN154" s="358"/>
      <c r="AO154" s="358"/>
      <c r="AP154" s="358"/>
      <c r="AQ154" s="358"/>
      <c r="AR154" s="358"/>
    </row>
    <row r="155" spans="1:44" x14ac:dyDescent="0.3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P155" s="29" t="s">
        <v>390</v>
      </c>
      <c r="Q155" s="29" t="s">
        <v>388</v>
      </c>
      <c r="R155" s="6">
        <f>AVERAGE('1-Influent'!$Q$4:$Q$87)</f>
        <v>4.1406521739130433</v>
      </c>
      <c r="S155" s="29"/>
      <c r="T155" s="29" t="s">
        <v>393</v>
      </c>
      <c r="U155" s="29"/>
      <c r="V155" s="29"/>
      <c r="W155" s="29"/>
      <c r="X155" s="29"/>
      <c r="Y155" s="29"/>
      <c r="Z155" s="29"/>
      <c r="AA155" s="29"/>
      <c r="AB155" s="29"/>
      <c r="AC155" s="29"/>
      <c r="AE155" s="29" t="s">
        <v>390</v>
      </c>
      <c r="AF155" s="29" t="s">
        <v>388</v>
      </c>
      <c r="AG155" s="6">
        <f>AVERAGE('stable MEDIA'!$L$4:$L$87)</f>
        <v>1073.0782222222224</v>
      </c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</row>
    <row r="156" spans="1:44" x14ac:dyDescent="0.3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P156" s="29" t="s">
        <v>307</v>
      </c>
      <c r="Q156" s="29" t="s">
        <v>389</v>
      </c>
      <c r="R156" s="6">
        <f>STDEV('1-Influent'!$Q$4:$Q$87)</f>
        <v>8.8915196045016831</v>
      </c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E156" s="29" t="s">
        <v>307</v>
      </c>
      <c r="AF156" s="29" t="s">
        <v>389</v>
      </c>
      <c r="AG156" s="6">
        <f>STDEV('stable MEDIA'!$L$4:$L$87)</f>
        <v>370.72342797126657</v>
      </c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</row>
    <row r="157" spans="1:44" ht="15" thickBot="1" x14ac:dyDescent="0.3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P157" s="29"/>
      <c r="Q157" s="29" t="s">
        <v>200</v>
      </c>
      <c r="R157" s="22">
        <f>COUNT('1-Influent'!$Q$4:$Q$87)</f>
        <v>69</v>
      </c>
      <c r="S157" s="29"/>
      <c r="T157" s="29" t="s">
        <v>394</v>
      </c>
      <c r="U157" s="29"/>
      <c r="V157" s="29"/>
      <c r="W157" s="29" t="s">
        <v>395</v>
      </c>
      <c r="X157" s="6">
        <v>0</v>
      </c>
      <c r="Y157" s="29"/>
      <c r="Z157" s="29"/>
      <c r="AA157" s="29"/>
      <c r="AB157" s="29"/>
      <c r="AC157" s="29"/>
      <c r="AE157" s="29"/>
      <c r="AF157" s="29" t="s">
        <v>200</v>
      </c>
      <c r="AG157" s="22">
        <f>COUNT('stable MEDIA'!$L$4:$L$87)</f>
        <v>45</v>
      </c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</row>
    <row r="158" spans="1:44" ht="15" thickTop="1" x14ac:dyDescent="0.3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P158" s="29"/>
      <c r="Q158" s="29" t="s">
        <v>174</v>
      </c>
      <c r="R158" s="6">
        <f>MIN('1-Influent'!$Q$4:$Q$87)</f>
        <v>8.0000000000000002E-3</v>
      </c>
      <c r="S158" s="29"/>
      <c r="T158" s="191" t="s">
        <v>396</v>
      </c>
      <c r="U158" s="191" t="s">
        <v>290</v>
      </c>
      <c r="V158" s="191" t="s">
        <v>292</v>
      </c>
      <c r="W158" s="191" t="s">
        <v>293</v>
      </c>
      <c r="X158" s="191" t="s">
        <v>397</v>
      </c>
      <c r="Y158" s="29"/>
      <c r="Z158" s="29"/>
      <c r="AA158" s="29"/>
      <c r="AB158" s="29"/>
      <c r="AC158" s="29"/>
      <c r="AE158" s="29"/>
      <c r="AF158" s="29" t="s">
        <v>174</v>
      </c>
      <c r="AG158" s="6">
        <f>MIN('stable MEDIA'!$L$4:$L$87)</f>
        <v>582.19999999999993</v>
      </c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</row>
    <row r="159" spans="1:44" x14ac:dyDescent="0.3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P159" s="29"/>
      <c r="Q159" s="29" t="s">
        <v>175</v>
      </c>
      <c r="R159" s="6">
        <f>MAX('1-Influent'!$Q$4:$Q$87)</f>
        <v>39.195999999999998</v>
      </c>
      <c r="S159" s="29"/>
      <c r="T159" s="29" t="str">
        <f>P161</f>
        <v>Period 1</v>
      </c>
      <c r="U159" s="22">
        <f>R162</f>
        <v>35</v>
      </c>
      <c r="V159" s="6">
        <f>R160</f>
        <v>5.0885714285714299</v>
      </c>
      <c r="W159" s="20">
        <f>R156^2</f>
        <v>79.059120877237774</v>
      </c>
      <c r="X159" s="29"/>
      <c r="Y159" s="29"/>
      <c r="Z159" s="29"/>
      <c r="AA159" s="29"/>
      <c r="AB159" s="29"/>
      <c r="AC159" s="29"/>
      <c r="AE159" s="29"/>
      <c r="AF159" s="29" t="s">
        <v>175</v>
      </c>
      <c r="AG159" s="6">
        <f>MAX('stable MEDIA'!$L$4:$L$87)</f>
        <v>2257.7999999999997</v>
      </c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</row>
    <row r="160" spans="1:44" x14ac:dyDescent="0.3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P160" s="29" t="s">
        <v>434</v>
      </c>
      <c r="Q160" s="29" t="s">
        <v>388</v>
      </c>
      <c r="R160" s="6">
        <f>AVERAGE('1-Influent'!$Q$4:$Q$53)</f>
        <v>5.0885714285714299</v>
      </c>
      <c r="S160" s="29"/>
      <c r="T160" s="29" t="str">
        <f>P166</f>
        <v>Period 2</v>
      </c>
      <c r="U160" s="22">
        <f>R167</f>
        <v>37</v>
      </c>
      <c r="V160" s="20">
        <f>R165</f>
        <v>3.1648529411764694</v>
      </c>
      <c r="W160" s="20">
        <f>R166^2</f>
        <v>44.273118502564138</v>
      </c>
      <c r="X160" s="29"/>
      <c r="Y160" s="29"/>
      <c r="Z160" s="29"/>
      <c r="AA160" s="29"/>
      <c r="AB160" s="29"/>
      <c r="AC160" s="29"/>
      <c r="AE160" s="29"/>
      <c r="AF160" s="29" t="s">
        <v>442</v>
      </c>
      <c r="AG160" s="6">
        <f>DEVSQ('stable MEDIA'!$L$4:$L$87)</f>
        <v>6047177.8420577748</v>
      </c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</row>
    <row r="161" spans="1:44" x14ac:dyDescent="0.3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P161" s="29" t="s">
        <v>411</v>
      </c>
      <c r="Q161" s="29" t="s">
        <v>389</v>
      </c>
      <c r="R161" s="6">
        <f>STDEV('1-Influent'!$Q$4:$Q$53)</f>
        <v>11.121721228102698</v>
      </c>
      <c r="S161" s="29"/>
      <c r="T161" s="8" t="s">
        <v>398</v>
      </c>
      <c r="U161" s="8"/>
      <c r="V161" s="8"/>
      <c r="W161" s="8">
        <f>((U159-1)*W159+(U160-1)*W160)/(U159+U160-2)</f>
        <v>61.169176798834194</v>
      </c>
      <c r="X161" s="8">
        <f>ABS(V159-V160-X157)/SQRT(W161)</f>
        <v>0.24596606921868031</v>
      </c>
      <c r="Y161" s="29"/>
      <c r="Z161" s="29"/>
      <c r="AA161" s="29"/>
      <c r="AB161" s="29"/>
      <c r="AC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</row>
    <row r="162" spans="1:44" x14ac:dyDescent="0.3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P162" s="29"/>
      <c r="Q162" s="29" t="s">
        <v>200</v>
      </c>
      <c r="R162" s="22">
        <f>COUNT('1-Influent'!$Q$4:$Q$53)</f>
        <v>35</v>
      </c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</row>
    <row r="163" spans="1:44" ht="15" thickBot="1" x14ac:dyDescent="0.3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P163" s="29"/>
      <c r="Q163" s="29" t="s">
        <v>174</v>
      </c>
      <c r="R163" s="6">
        <f>MIN('1-Influent'!$Q$4:$Q$53)</f>
        <v>8.0000000000000002E-3</v>
      </c>
      <c r="S163" s="29"/>
      <c r="T163" s="29" t="s">
        <v>399</v>
      </c>
      <c r="U163" s="29"/>
      <c r="V163" s="29"/>
      <c r="W163" s="29"/>
      <c r="X163" s="29" t="s">
        <v>288</v>
      </c>
      <c r="Y163" s="29">
        <v>0.05</v>
      </c>
      <c r="Z163" s="29"/>
      <c r="AA163" s="29"/>
      <c r="AB163" s="29"/>
      <c r="AC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</row>
    <row r="164" spans="1:44" ht="15" thickTop="1" x14ac:dyDescent="0.3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P164" s="29"/>
      <c r="Q164" s="29" t="s">
        <v>175</v>
      </c>
      <c r="R164" s="6">
        <f>MAX('1-Influent'!$Q$4:$Q$53)</f>
        <v>39.195999999999998</v>
      </c>
      <c r="S164" s="29"/>
      <c r="T164" s="191" t="s">
        <v>400</v>
      </c>
      <c r="U164" s="191" t="s">
        <v>401</v>
      </c>
      <c r="V164" s="191" t="s">
        <v>402</v>
      </c>
      <c r="W164" s="191" t="s">
        <v>205</v>
      </c>
      <c r="X164" s="191" t="s">
        <v>311</v>
      </c>
      <c r="Y164" s="191" t="s">
        <v>403</v>
      </c>
      <c r="Z164" s="191" t="s">
        <v>404</v>
      </c>
      <c r="AA164" s="191" t="s">
        <v>405</v>
      </c>
      <c r="AB164" s="191" t="s">
        <v>406</v>
      </c>
      <c r="AC164" s="191" t="s">
        <v>407</v>
      </c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</row>
    <row r="165" spans="1:44" x14ac:dyDescent="0.3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P165" s="29" t="s">
        <v>435</v>
      </c>
      <c r="Q165" s="29" t="s">
        <v>388</v>
      </c>
      <c r="R165" s="6">
        <f>AVERAGE('1-Influent'!$Q$54:$Q$87)</f>
        <v>3.1648529411764694</v>
      </c>
      <c r="S165" s="29"/>
      <c r="T165" s="29" t="s">
        <v>408</v>
      </c>
      <c r="U165" s="29">
        <f>SQRT(W161*(1/U159+1/U160))</f>
        <v>1.844156110594779</v>
      </c>
      <c r="V165" s="29">
        <f>(ABS(V159-V160-X157))/U165</f>
        <v>1.0431429727359258</v>
      </c>
      <c r="W165" s="29">
        <f>U159+U160-2</f>
        <v>70</v>
      </c>
      <c r="X165" s="29">
        <f>TDIST(V165,W165,1)</f>
        <v>0.15023565106421843</v>
      </c>
      <c r="Y165" s="29">
        <f>TINV(Y163*2,W165)</f>
        <v>1.6669144790559576</v>
      </c>
      <c r="Z165" s="29"/>
      <c r="AA165" s="29"/>
      <c r="AB165" s="183" t="str">
        <f>IF(X165&lt;Y163,"yes","no")</f>
        <v>no</v>
      </c>
      <c r="AC165" s="29">
        <f>SQRT(V165^2/(V165^2+W165))</f>
        <v>0.12372151771848632</v>
      </c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</row>
    <row r="166" spans="1:44" x14ac:dyDescent="0.3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P166" s="29" t="s">
        <v>412</v>
      </c>
      <c r="Q166" s="29" t="s">
        <v>389</v>
      </c>
      <c r="R166" s="6">
        <f>STDEV('1-Influent'!$Q$54:$Q$96)</f>
        <v>6.6538048139815569</v>
      </c>
      <c r="S166" s="29"/>
      <c r="T166" s="29" t="s">
        <v>409</v>
      </c>
      <c r="U166" s="29">
        <f>U165</f>
        <v>1.844156110594779</v>
      </c>
      <c r="V166" s="29">
        <f>V165</f>
        <v>1.0431429727359258</v>
      </c>
      <c r="W166" s="29">
        <f t="shared" ref="W166" si="18">W165</f>
        <v>70</v>
      </c>
      <c r="X166" s="29">
        <f>TDIST(V166,W166,2)</f>
        <v>0.30047130212843687</v>
      </c>
      <c r="Y166" s="29">
        <f>TINV(Y163,W166)</f>
        <v>1.9944371117711854</v>
      </c>
      <c r="Z166" s="29">
        <f>(V159-V160)-Y166*U166</f>
        <v>-1.7543348994748733</v>
      </c>
      <c r="AA166" s="29">
        <f>(V159-V160)+Y166*U166</f>
        <v>5.6017718742647942</v>
      </c>
      <c r="AB166" s="183" t="str">
        <f>IF(X166&lt;Y163,"yes","no")</f>
        <v>no</v>
      </c>
      <c r="AC166" s="29">
        <f>AC165</f>
        <v>0.12372151771848632</v>
      </c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</row>
    <row r="167" spans="1:44" x14ac:dyDescent="0.3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P167" s="29"/>
      <c r="Q167" s="29" t="s">
        <v>200</v>
      </c>
      <c r="R167" s="22">
        <f>COUNT('1-Influent'!$Q$54:$Q$90)</f>
        <v>37</v>
      </c>
      <c r="S167" s="29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</row>
    <row r="168" spans="1:44" ht="15" thickBot="1" x14ac:dyDescent="0.3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P168" s="29"/>
      <c r="Q168" s="29" t="s">
        <v>174</v>
      </c>
      <c r="R168" s="6">
        <f>MIN('1-Influent'!$Q$54:$Q$87)</f>
        <v>8.0000000000000002E-3</v>
      </c>
      <c r="S168" s="29"/>
      <c r="T168" s="29" t="s">
        <v>410</v>
      </c>
      <c r="U168" s="29"/>
      <c r="V168" s="29"/>
      <c r="W168" s="29"/>
      <c r="X168" s="29" t="s">
        <v>288</v>
      </c>
      <c r="Y168" s="29">
        <f>Y163</f>
        <v>0.05</v>
      </c>
      <c r="Z168" s="29"/>
      <c r="AA168" s="29"/>
      <c r="AB168" s="29"/>
      <c r="AC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</row>
    <row r="169" spans="1:44" ht="15" thickTop="1" x14ac:dyDescent="0.3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P169" s="29"/>
      <c r="Q169" s="29" t="s">
        <v>175</v>
      </c>
      <c r="R169" s="6">
        <f>MAX('1-Influent'!$Q$54:$Q$87)</f>
        <v>17.734000000000002</v>
      </c>
      <c r="S169" s="29"/>
      <c r="T169" s="191" t="s">
        <v>400</v>
      </c>
      <c r="U169" s="191" t="s">
        <v>401</v>
      </c>
      <c r="V169" s="191" t="s">
        <v>402</v>
      </c>
      <c r="W169" s="191" t="s">
        <v>205</v>
      </c>
      <c r="X169" s="191" t="s">
        <v>311</v>
      </c>
      <c r="Y169" s="191" t="s">
        <v>403</v>
      </c>
      <c r="Z169" s="191" t="s">
        <v>404</v>
      </c>
      <c r="AA169" s="191" t="s">
        <v>405</v>
      </c>
      <c r="AB169" s="191" t="s">
        <v>406</v>
      </c>
      <c r="AC169" s="191" t="s">
        <v>407</v>
      </c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</row>
    <row r="170" spans="1:44" x14ac:dyDescent="0.3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P170" s="29"/>
      <c r="Q170" s="29"/>
      <c r="R170" s="212"/>
      <c r="S170" s="29"/>
      <c r="T170" s="29" t="s">
        <v>408</v>
      </c>
      <c r="U170" s="29">
        <f>SQRT(W159/U159+W160/U160)</f>
        <v>1.8588713767777232</v>
      </c>
      <c r="V170" s="29">
        <f>(ABS(V159-V160-X157))/U170</f>
        <v>1.0348852058444447</v>
      </c>
      <c r="W170" s="29">
        <f>(W159/U159+W160/U160)^2/((W159/U159)^2/(U159-1)+(W160/U160)^2/(U160-1))</f>
        <v>62.894057720316404</v>
      </c>
      <c r="X170" s="29" t="e">
        <f ca="1">[1]!T_DIST_RT(V170,W170)</f>
        <v>#NAME?</v>
      </c>
      <c r="Y170" s="29" t="e">
        <f ca="1">[1]!T_INV(1-Y168,W170)</f>
        <v>#NAME?</v>
      </c>
      <c r="Z170" s="29"/>
      <c r="AA170" s="29"/>
      <c r="AB170" s="183" t="e">
        <f ca="1">IF(X170&lt;Y168,"yes","no")</f>
        <v>#NAME?</v>
      </c>
      <c r="AC170" s="29">
        <f>SQRT(V170^2/(V170^2+W170))</f>
        <v>0.1293959916716636</v>
      </c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</row>
    <row r="171" spans="1:44" x14ac:dyDescent="0.3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P171" s="29"/>
      <c r="Q171" s="29"/>
      <c r="R171" s="29"/>
      <c r="S171" s="29"/>
      <c r="T171" s="29" t="s">
        <v>409</v>
      </c>
      <c r="U171" s="29">
        <f>U170</f>
        <v>1.8588713767777232</v>
      </c>
      <c r="V171" s="29">
        <f t="shared" ref="V171:W171" si="19">V170</f>
        <v>1.0348852058444447</v>
      </c>
      <c r="W171" s="29">
        <f t="shared" si="19"/>
        <v>62.894057720316404</v>
      </c>
      <c r="X171" s="29" t="e">
        <f ca="1">[1]!T_DIST_2T(V171,W171)</f>
        <v>#NAME?</v>
      </c>
      <c r="Y171" s="29" t="e">
        <f ca="1">[1]!T_INV_2T(Y168,W171)</f>
        <v>#NAME?</v>
      </c>
      <c r="Z171" s="29" t="e">
        <f ca="1">(V159-V160)-Y171*U171</f>
        <v>#NAME?</v>
      </c>
      <c r="AA171" s="29" t="e">
        <f ca="1">(V159-V160)+Y171*U171</f>
        <v>#NAME?</v>
      </c>
      <c r="AB171" s="183" t="e">
        <f ca="1">IF(X171&lt;Y168,"yes","no")</f>
        <v>#NAME?</v>
      </c>
      <c r="AC171" s="29">
        <f>AC170</f>
        <v>0.1293959916716636</v>
      </c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</row>
    <row r="172" spans="1:44" x14ac:dyDescent="0.3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</row>
    <row r="173" spans="1:44" x14ac:dyDescent="0.3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29" t="s">
        <v>427</v>
      </c>
      <c r="P173" s="362" t="s">
        <v>426</v>
      </c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  <c r="AB173" s="362"/>
      <c r="AC173" s="362"/>
      <c r="AD173" s="227" t="s">
        <v>235</v>
      </c>
      <c r="AE173" s="358" t="s">
        <v>464</v>
      </c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</row>
    <row r="174" spans="1:44" x14ac:dyDescent="0.3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P174" s="29" t="s">
        <v>390</v>
      </c>
      <c r="Q174" s="29" t="s">
        <v>388</v>
      </c>
      <c r="R174" s="6">
        <f>AVERAGE('1-Influent'!$R$4:$R$87)</f>
        <v>0.59520289855072472</v>
      </c>
      <c r="S174" s="29"/>
      <c r="T174" s="29" t="s">
        <v>393</v>
      </c>
      <c r="U174" s="29"/>
      <c r="V174" s="29"/>
      <c r="W174" s="29"/>
      <c r="X174" s="29"/>
      <c r="Y174" s="29"/>
      <c r="Z174" s="29"/>
      <c r="AA174" s="29"/>
      <c r="AB174" s="29"/>
      <c r="AC174" s="29"/>
      <c r="AE174" s="29" t="s">
        <v>390</v>
      </c>
      <c r="AF174" s="29" t="s">
        <v>388</v>
      </c>
      <c r="AG174" s="6">
        <f>AVERAGE('stable MEDIA'!$Q$4:$Q$87)</f>
        <v>11.102941176470591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</row>
    <row r="175" spans="1:44" x14ac:dyDescent="0.3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P175" s="29" t="s">
        <v>307</v>
      </c>
      <c r="Q175" s="29" t="s">
        <v>389</v>
      </c>
      <c r="R175" s="6">
        <f>STDEV('1-Influent'!$R$4:$R$87)</f>
        <v>1.7431542115617862</v>
      </c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E175" s="29" t="s">
        <v>307</v>
      </c>
      <c r="AF175" s="29" t="s">
        <v>389</v>
      </c>
      <c r="AG175" s="6">
        <f>STDEV('stable MEDIA'!$Q$4:$Q$87)</f>
        <v>16.870308982839362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</row>
    <row r="176" spans="1:44" ht="15" thickBot="1" x14ac:dyDescent="0.3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P176" s="29"/>
      <c r="Q176" s="29" t="s">
        <v>200</v>
      </c>
      <c r="R176" s="22">
        <f>COUNT('1-Influent'!$R$4:$R$87)</f>
        <v>69</v>
      </c>
      <c r="S176" s="29"/>
      <c r="T176" s="29" t="s">
        <v>394</v>
      </c>
      <c r="U176" s="29"/>
      <c r="V176" s="29"/>
      <c r="W176" s="29" t="s">
        <v>395</v>
      </c>
      <c r="X176" s="6">
        <v>0</v>
      </c>
      <c r="Y176" s="29"/>
      <c r="Z176" s="29"/>
      <c r="AA176" s="29"/>
      <c r="AB176" s="29"/>
      <c r="AC176" s="29"/>
      <c r="AE176" s="29"/>
      <c r="AF176" s="29" t="s">
        <v>200</v>
      </c>
      <c r="AG176" s="22">
        <f>COUNT('stable MEDIA'!$Q$4:$Q$87)</f>
        <v>51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</row>
    <row r="177" spans="1:44" ht="15" thickTop="1" x14ac:dyDescent="0.3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P177" s="29"/>
      <c r="Q177" s="29" t="s">
        <v>174</v>
      </c>
      <c r="R177" s="6">
        <f>MIN('1-Influent'!$R$4:$R$87)</f>
        <v>2.200000000000002E-2</v>
      </c>
      <c r="S177" s="29"/>
      <c r="T177" s="191" t="s">
        <v>396</v>
      </c>
      <c r="U177" s="191" t="s">
        <v>290</v>
      </c>
      <c r="V177" s="191" t="s">
        <v>292</v>
      </c>
      <c r="W177" s="191" t="s">
        <v>293</v>
      </c>
      <c r="X177" s="191" t="s">
        <v>397</v>
      </c>
      <c r="Y177" s="29"/>
      <c r="Z177" s="29"/>
      <c r="AA177" s="29"/>
      <c r="AB177" s="29"/>
      <c r="AC177" s="29"/>
      <c r="AE177" s="29"/>
      <c r="AF177" s="29" t="s">
        <v>174</v>
      </c>
      <c r="AG177" s="6">
        <f>MIN('stable MEDIA'!$Q$4:$Q$87)</f>
        <v>0.3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</row>
    <row r="178" spans="1:44" x14ac:dyDescent="0.3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P178" s="29"/>
      <c r="Q178" s="29" t="s">
        <v>175</v>
      </c>
      <c r="R178" s="6">
        <f>MAX('1-Influent'!$R$4:$R$87)</f>
        <v>10.778</v>
      </c>
      <c r="S178" s="29"/>
      <c r="T178" s="29" t="str">
        <f>P180</f>
        <v>Period 1</v>
      </c>
      <c r="U178" s="22">
        <f>R181</f>
        <v>35</v>
      </c>
      <c r="V178" s="6">
        <f>R179</f>
        <v>0.53205714285714278</v>
      </c>
      <c r="W178" s="20">
        <f>R175^2</f>
        <v>3.0385866052855923</v>
      </c>
      <c r="X178" s="29"/>
      <c r="Y178" s="29"/>
      <c r="Z178" s="29"/>
      <c r="AA178" s="29"/>
      <c r="AB178" s="29"/>
      <c r="AC178" s="29"/>
      <c r="AE178" s="29"/>
      <c r="AF178" s="29" t="s">
        <v>175</v>
      </c>
      <c r="AG178" s="6">
        <f>MAX('stable MEDIA'!$Q$4:$Q$87)</f>
        <v>104.85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</row>
    <row r="179" spans="1:44" x14ac:dyDescent="0.3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P179" s="29" t="s">
        <v>434</v>
      </c>
      <c r="Q179" s="29" t="s">
        <v>388</v>
      </c>
      <c r="R179" s="6">
        <f>AVERAGE('1-Influent'!$R$4:$R$53)</f>
        <v>0.53205714285714278</v>
      </c>
      <c r="S179" s="29"/>
      <c r="T179" s="29" t="str">
        <f>P185</f>
        <v>Period 2</v>
      </c>
      <c r="U179" s="22">
        <f>R186</f>
        <v>37</v>
      </c>
      <c r="V179" s="20">
        <f>R184</f>
        <v>0.66020588235294109</v>
      </c>
      <c r="W179" s="20">
        <f>R185^2</f>
        <v>26.113030194871801</v>
      </c>
      <c r="X179" s="29"/>
      <c r="Y179" s="29"/>
      <c r="Z179" s="29"/>
      <c r="AA179" s="29"/>
      <c r="AB179" s="29"/>
      <c r="AC179" s="29"/>
      <c r="AE179" s="29"/>
      <c r="AF179" s="29" t="s">
        <v>442</v>
      </c>
      <c r="AG179" s="6">
        <f>DEVSQ('stable MEDIA'!$Q$4:$Q$87)</f>
        <v>14230.366258823526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</row>
    <row r="180" spans="1:44" x14ac:dyDescent="0.3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P180" s="29" t="s">
        <v>411</v>
      </c>
      <c r="Q180" s="29" t="s">
        <v>389</v>
      </c>
      <c r="R180" s="6">
        <f>STDEV('1-Influent'!$R$4:$R$53)</f>
        <v>1.7921690102622958</v>
      </c>
      <c r="S180" s="29"/>
      <c r="T180" s="8" t="s">
        <v>398</v>
      </c>
      <c r="U180" s="8"/>
      <c r="V180" s="8"/>
      <c r="W180" s="8">
        <f>((U178-1)*W178+(U179-1)*W179)/(U178+U179-2)</f>
        <v>14.905443308501358</v>
      </c>
      <c r="X180" s="8">
        <f>ABS(V178-V179-X176)/SQRT(W180)</f>
        <v>3.3192647220140231E-2</v>
      </c>
      <c r="Y180" s="29"/>
      <c r="Z180" s="29"/>
      <c r="AA180" s="29"/>
      <c r="AB180" s="29"/>
      <c r="AC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</row>
    <row r="181" spans="1:44" x14ac:dyDescent="0.3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P181" s="29"/>
      <c r="Q181" s="29" t="s">
        <v>200</v>
      </c>
      <c r="R181" s="22">
        <f>COUNT('1-Influent'!$R$4:$R$53)</f>
        <v>35</v>
      </c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</row>
    <row r="182" spans="1:44" ht="15" thickBot="1" x14ac:dyDescent="0.3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P182" s="29"/>
      <c r="Q182" s="29" t="s">
        <v>174</v>
      </c>
      <c r="R182" s="6">
        <f>MIN('1-Influent'!$R$4:$R$53)</f>
        <v>2.8000000000000025E-2</v>
      </c>
      <c r="S182" s="29"/>
      <c r="T182" s="29" t="s">
        <v>399</v>
      </c>
      <c r="U182" s="29"/>
      <c r="V182" s="29"/>
      <c r="W182" s="29"/>
      <c r="X182" s="29" t="s">
        <v>288</v>
      </c>
      <c r="Y182" s="29">
        <v>0.05</v>
      </c>
      <c r="Z182" s="29"/>
      <c r="AA182" s="29"/>
      <c r="AB182" s="29"/>
      <c r="AC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</row>
    <row r="183" spans="1:44" ht="15" thickTop="1" x14ac:dyDescent="0.3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P183" s="29"/>
      <c r="Q183" s="29" t="s">
        <v>175</v>
      </c>
      <c r="R183" s="6">
        <f>MAX('1-Influent'!$R$4:$R$53)</f>
        <v>10.778</v>
      </c>
      <c r="S183" s="29"/>
      <c r="T183" s="191" t="s">
        <v>400</v>
      </c>
      <c r="U183" s="191" t="s">
        <v>401</v>
      </c>
      <c r="V183" s="191" t="s">
        <v>402</v>
      </c>
      <c r="W183" s="191" t="s">
        <v>205</v>
      </c>
      <c r="X183" s="191" t="s">
        <v>311</v>
      </c>
      <c r="Y183" s="191" t="s">
        <v>403</v>
      </c>
      <c r="Z183" s="191" t="s">
        <v>404</v>
      </c>
      <c r="AA183" s="191" t="s">
        <v>405</v>
      </c>
      <c r="AB183" s="191" t="s">
        <v>406</v>
      </c>
      <c r="AC183" s="191" t="s">
        <v>407</v>
      </c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</row>
    <row r="184" spans="1:44" x14ac:dyDescent="0.3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P184" s="29" t="s">
        <v>435</v>
      </c>
      <c r="Q184" s="29" t="s">
        <v>388</v>
      </c>
      <c r="R184" s="6">
        <f>AVERAGE('1-Influent'!$R$54:$R$87)</f>
        <v>0.66020588235294109</v>
      </c>
      <c r="S184" s="29"/>
      <c r="T184" s="29" t="s">
        <v>408</v>
      </c>
      <c r="U184" s="29">
        <f>SQRT(W180*(1/U178+1/U179))</f>
        <v>0.91034039126197719</v>
      </c>
      <c r="V184" s="29">
        <f>(ABS(V178-V179-X176))/U184</f>
        <v>0.14077013469450653</v>
      </c>
      <c r="W184" s="29">
        <f>U178+U179-2</f>
        <v>70</v>
      </c>
      <c r="X184" s="29">
        <f>TDIST(V184,W184,1)</f>
        <v>0.44422792188689542</v>
      </c>
      <c r="Y184" s="29">
        <f>TINV(Y182*2,W184)</f>
        <v>1.6669144790559576</v>
      </c>
      <c r="Z184" s="29"/>
      <c r="AA184" s="29"/>
      <c r="AB184" s="183" t="str">
        <f>IF(X184&lt;Y182,"yes","no")</f>
        <v>no</v>
      </c>
      <c r="AC184" s="29">
        <f>SQRT(V184^2/(V184^2+W184))</f>
        <v>1.6822868216601932E-2</v>
      </c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</row>
    <row r="185" spans="1:44" x14ac:dyDescent="0.3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P185" s="29" t="s">
        <v>412</v>
      </c>
      <c r="Q185" s="29" t="s">
        <v>389</v>
      </c>
      <c r="R185" s="6">
        <f>STDEV('1-Influent'!$R$54:$R$96)</f>
        <v>5.1100910163001796</v>
      </c>
      <c r="S185" s="29"/>
      <c r="T185" s="29" t="s">
        <v>409</v>
      </c>
      <c r="U185" s="29">
        <f>U184</f>
        <v>0.91034039126197719</v>
      </c>
      <c r="V185" s="29">
        <f>V184</f>
        <v>0.14077013469450653</v>
      </c>
      <c r="W185" s="29">
        <f t="shared" ref="W185" si="20">W184</f>
        <v>70</v>
      </c>
      <c r="X185" s="29">
        <f>TDIST(V185,W185,2)</f>
        <v>0.88845584377379083</v>
      </c>
      <c r="Y185" s="29">
        <f>TINV(Y182,W185)</f>
        <v>1.9944371117711854</v>
      </c>
      <c r="Z185" s="29">
        <f>(V178-V179)-Y185*U185</f>
        <v>-1.9437654001729869</v>
      </c>
      <c r="AA185" s="29">
        <f>(V178-V179)+Y185*U185</f>
        <v>1.6874679211813903</v>
      </c>
      <c r="AB185" s="183" t="str">
        <f>IF(X185&lt;Y182,"yes","no")</f>
        <v>no</v>
      </c>
      <c r="AC185" s="29">
        <f>AC184</f>
        <v>1.6822868216601932E-2</v>
      </c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</row>
    <row r="186" spans="1:44" x14ac:dyDescent="0.3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P186" s="29"/>
      <c r="Q186" s="29" t="s">
        <v>200</v>
      </c>
      <c r="R186" s="22">
        <f>COUNT('1-Influent'!$R$54:$R$90)</f>
        <v>37</v>
      </c>
      <c r="S186" s="29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</row>
    <row r="187" spans="1:44" ht="15" thickBot="1" x14ac:dyDescent="0.3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P187" s="29"/>
      <c r="Q187" s="29" t="s">
        <v>174</v>
      </c>
      <c r="R187" s="6">
        <f>MIN('1-Influent'!$R$54:$R$87)</f>
        <v>2.200000000000002E-2</v>
      </c>
      <c r="S187" s="29"/>
      <c r="T187" s="29" t="s">
        <v>410</v>
      </c>
      <c r="U187" s="29"/>
      <c r="V187" s="29"/>
      <c r="W187" s="29"/>
      <c r="X187" s="29" t="s">
        <v>288</v>
      </c>
      <c r="Y187" s="29">
        <f>Y182</f>
        <v>0.05</v>
      </c>
      <c r="Z187" s="29"/>
      <c r="AA187" s="29"/>
      <c r="AB187" s="29"/>
      <c r="AC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</row>
    <row r="188" spans="1:44" ht="15" thickTop="1" x14ac:dyDescent="0.3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P188" s="29"/>
      <c r="Q188" s="29" t="s">
        <v>175</v>
      </c>
      <c r="R188" s="6">
        <f>MAX('1-Influent'!$R$54:$R$87)</f>
        <v>9.3920000000000012</v>
      </c>
      <c r="S188" s="29"/>
      <c r="T188" s="191" t="s">
        <v>400</v>
      </c>
      <c r="U188" s="191" t="s">
        <v>401</v>
      </c>
      <c r="V188" s="191" t="s">
        <v>402</v>
      </c>
      <c r="W188" s="191" t="s">
        <v>205</v>
      </c>
      <c r="X188" s="191" t="s">
        <v>311</v>
      </c>
      <c r="Y188" s="191" t="s">
        <v>403</v>
      </c>
      <c r="Z188" s="191" t="s">
        <v>404</v>
      </c>
      <c r="AA188" s="191" t="s">
        <v>405</v>
      </c>
      <c r="AB188" s="191" t="s">
        <v>406</v>
      </c>
      <c r="AC188" s="191" t="s">
        <v>407</v>
      </c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</row>
    <row r="189" spans="1:44" x14ac:dyDescent="0.3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P189" s="29"/>
      <c r="Q189" s="29"/>
      <c r="R189" s="212"/>
      <c r="S189" s="29"/>
      <c r="T189" s="29" t="s">
        <v>408</v>
      </c>
      <c r="U189" s="29">
        <f>SQRT(W178/U178+W179/U179)</f>
        <v>0.89026643932330163</v>
      </c>
      <c r="V189" s="29">
        <f>(ABS(V178-V179-X176))/U189</f>
        <v>0.14394425515265424</v>
      </c>
      <c r="W189" s="29">
        <f>(W178/U178+W179/U179)^2/((W178/U178)^2/(U178-1)+(W179/U179)^2/(U179-1))</f>
        <v>44.685668256562224</v>
      </c>
      <c r="X189" s="29" t="e">
        <f ca="1">[1]!T_DIST_RT(V189,W189)</f>
        <v>#NAME?</v>
      </c>
      <c r="Y189" s="29" t="e">
        <f ca="1">[1]!T_INV(1-Y187,W189)</f>
        <v>#NAME?</v>
      </c>
      <c r="Z189" s="29"/>
      <c r="AA189" s="29"/>
      <c r="AB189" s="183" t="e">
        <f ca="1">IF(X189&lt;Y187,"yes","no")</f>
        <v>#NAME?</v>
      </c>
      <c r="AC189" s="29">
        <f>SQRT(V189^2/(V189^2+W189))</f>
        <v>2.1528290459223016E-2</v>
      </c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</row>
    <row r="190" spans="1:44" x14ac:dyDescent="0.3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P190" s="29"/>
      <c r="Q190" s="29"/>
      <c r="R190" s="29"/>
      <c r="S190" s="29"/>
      <c r="T190" s="29" t="s">
        <v>409</v>
      </c>
      <c r="U190" s="29">
        <f>U189</f>
        <v>0.89026643932330163</v>
      </c>
      <c r="V190" s="29">
        <f t="shared" ref="V190:W190" si="21">V189</f>
        <v>0.14394425515265424</v>
      </c>
      <c r="W190" s="29">
        <f t="shared" si="21"/>
        <v>44.685668256562224</v>
      </c>
      <c r="X190" s="29" t="e">
        <f ca="1">[1]!T_DIST_2T(V190,W190)</f>
        <v>#NAME?</v>
      </c>
      <c r="Y190" s="29" t="e">
        <f ca="1">[1]!T_INV_2T(Y187,W190)</f>
        <v>#NAME?</v>
      </c>
      <c r="Z190" s="29" t="e">
        <f ca="1">(V178-V179)-Y190*U190</f>
        <v>#NAME?</v>
      </c>
      <c r="AA190" s="29" t="e">
        <f ca="1">(V178-V179)+Y190*U190</f>
        <v>#NAME?</v>
      </c>
      <c r="AB190" s="183" t="e">
        <f ca="1">IF(X190&lt;Y187,"yes","no")</f>
        <v>#NAME?</v>
      </c>
      <c r="AC190" s="29">
        <f>AC189</f>
        <v>2.1528290459223016E-2</v>
      </c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</row>
    <row r="191" spans="1:44" x14ac:dyDescent="0.3"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</row>
    <row r="192" spans="1:44" x14ac:dyDescent="0.3">
      <c r="AD192" s="227" t="s">
        <v>487</v>
      </c>
      <c r="AE192" s="358" t="s">
        <v>465</v>
      </c>
      <c r="AF192" s="358"/>
      <c r="AG192" s="358"/>
      <c r="AH192" s="358"/>
      <c r="AI192" s="358"/>
      <c r="AJ192" s="358"/>
      <c r="AK192" s="358"/>
      <c r="AL192" s="358"/>
      <c r="AM192" s="358"/>
      <c r="AN192" s="358"/>
      <c r="AO192" s="358"/>
      <c r="AP192" s="358"/>
      <c r="AQ192" s="358"/>
      <c r="AR192" s="358"/>
    </row>
    <row r="193" spans="31:44" x14ac:dyDescent="0.3">
      <c r="AE193" s="29" t="s">
        <v>390</v>
      </c>
      <c r="AF193" s="29" t="s">
        <v>388</v>
      </c>
      <c r="AG193" s="6">
        <f>AVERAGE('stable MEDIA'!$M$4:$M$87)</f>
        <v>1852.7450980392157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</row>
    <row r="194" spans="31:44" x14ac:dyDescent="0.3">
      <c r="AE194" s="29" t="s">
        <v>307</v>
      </c>
      <c r="AF194" s="29" t="s">
        <v>389</v>
      </c>
      <c r="AG194" s="6">
        <f>STDEV('stable MEDIA'!$M$4:$M$87)</f>
        <v>928.5311161859305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</row>
    <row r="195" spans="31:44" x14ac:dyDescent="0.3">
      <c r="AE195" s="29"/>
      <c r="AF195" s="29" t="s">
        <v>200</v>
      </c>
      <c r="AG195" s="22">
        <f>COUNT('stable MEDIA'!$M$4:$M$87)</f>
        <v>51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</row>
    <row r="196" spans="31:44" x14ac:dyDescent="0.3">
      <c r="AE196" s="29"/>
      <c r="AF196" s="29" t="s">
        <v>174</v>
      </c>
      <c r="AG196" s="6">
        <f>MIN('stable MEDIA'!$M$4:$M$87)</f>
        <v>180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</row>
    <row r="197" spans="31:44" x14ac:dyDescent="0.3">
      <c r="AE197" s="29"/>
      <c r="AF197" s="29" t="s">
        <v>175</v>
      </c>
      <c r="AG197" s="6">
        <f>MAX('stable MEDIA'!$M$4:$M$87)</f>
        <v>3994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</row>
    <row r="198" spans="31:44" x14ac:dyDescent="0.3">
      <c r="AE198" s="29"/>
      <c r="AF198" s="29" t="s">
        <v>442</v>
      </c>
      <c r="AG198" s="6">
        <f>DEVSQ('stable MEDIA'!$M$4:$M$87)</f>
        <v>43108501.686274506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</row>
    <row r="199" spans="31:44" x14ac:dyDescent="0.3"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</row>
    <row r="200" spans="31:44" x14ac:dyDescent="0.3"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</row>
    <row r="201" spans="31:44" x14ac:dyDescent="0.3"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</row>
    <row r="202" spans="31:44" x14ac:dyDescent="0.3"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</row>
    <row r="203" spans="31:44" x14ac:dyDescent="0.3"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</row>
    <row r="204" spans="31:44" x14ac:dyDescent="0.3"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</row>
    <row r="205" spans="31:44" x14ac:dyDescent="0.3"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</row>
    <row r="206" spans="31:44" x14ac:dyDescent="0.3"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</row>
    <row r="207" spans="31:44" x14ac:dyDescent="0.3"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</row>
    <row r="208" spans="31:44" x14ac:dyDescent="0.3"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</row>
    <row r="209" spans="30:44" x14ac:dyDescent="0.3"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</row>
    <row r="210" spans="30:44" x14ac:dyDescent="0.3"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</row>
    <row r="211" spans="30:44" x14ac:dyDescent="0.3">
      <c r="AD211" s="227" t="s">
        <v>421</v>
      </c>
      <c r="AE211" s="358" t="s">
        <v>466</v>
      </c>
      <c r="AF211" s="358"/>
      <c r="AG211" s="358"/>
      <c r="AH211" s="358"/>
      <c r="AI211" s="358"/>
      <c r="AJ211" s="358"/>
      <c r="AK211" s="358"/>
      <c r="AL211" s="358"/>
      <c r="AM211" s="358"/>
      <c r="AN211" s="358"/>
      <c r="AO211" s="358"/>
      <c r="AP211" s="358"/>
      <c r="AQ211" s="358"/>
      <c r="AR211" s="358"/>
    </row>
    <row r="212" spans="30:44" x14ac:dyDescent="0.3">
      <c r="AE212" s="29" t="s">
        <v>390</v>
      </c>
      <c r="AF212" s="29" t="s">
        <v>388</v>
      </c>
      <c r="AG212" s="6">
        <f>AVERAGE('stable MEDIA'!$G$4:$G$87)</f>
        <v>0.78764229455746881</v>
      </c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</row>
    <row r="213" spans="30:44" x14ac:dyDescent="0.3">
      <c r="AE213" s="29" t="s">
        <v>307</v>
      </c>
      <c r="AF213" s="29" t="s">
        <v>389</v>
      </c>
      <c r="AG213" s="6">
        <f>STDEV('stable MEDIA'!$G$4:$G$87)</f>
        <v>0.50597729148710946</v>
      </c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</row>
    <row r="214" spans="30:44" x14ac:dyDescent="0.3">
      <c r="AE214" s="29"/>
      <c r="AF214" s="29" t="s">
        <v>200</v>
      </c>
      <c r="AG214" s="22">
        <f>COUNT('stable MEDIA'!$G$4:$G$87)</f>
        <v>51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</row>
    <row r="215" spans="30:44" x14ac:dyDescent="0.3">
      <c r="AE215" s="29"/>
      <c r="AF215" s="29" t="s">
        <v>174</v>
      </c>
      <c r="AG215" s="6">
        <f>MIN('stable MEDIA'!$G$4:$G$87)</f>
        <v>5.4614717239712479E-2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</row>
    <row r="216" spans="30:44" x14ac:dyDescent="0.3">
      <c r="AE216" s="29"/>
      <c r="AF216" s="29" t="s">
        <v>175</v>
      </c>
      <c r="AG216" s="6">
        <f>MAX('stable MEDIA'!$G$4:$G$87)</f>
        <v>3.0341903840303837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</row>
    <row r="217" spans="30:44" x14ac:dyDescent="0.3">
      <c r="AE217" s="29"/>
      <c r="AF217" s="29" t="s">
        <v>442</v>
      </c>
      <c r="AG217" s="6">
        <f>DEVSQ('stable MEDIA'!$G$4:$G$87)</f>
        <v>12.800650975031585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</row>
    <row r="218" spans="30:44" x14ac:dyDescent="0.3"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</row>
    <row r="219" spans="30:44" x14ac:dyDescent="0.3"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</row>
    <row r="220" spans="30:44" x14ac:dyDescent="0.3"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</row>
    <row r="221" spans="30:44" x14ac:dyDescent="0.3"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</row>
    <row r="222" spans="30:44" x14ac:dyDescent="0.3"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</row>
    <row r="223" spans="30:44" x14ac:dyDescent="0.3"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</row>
    <row r="224" spans="30:44" x14ac:dyDescent="0.3"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</row>
    <row r="225" spans="30:44" x14ac:dyDescent="0.3"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</row>
    <row r="226" spans="30:44" x14ac:dyDescent="0.3"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</row>
    <row r="227" spans="30:44" x14ac:dyDescent="0.3"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</row>
    <row r="228" spans="30:44" x14ac:dyDescent="0.3"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</row>
    <row r="229" spans="30:44" x14ac:dyDescent="0.3"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</row>
    <row r="230" spans="30:44" x14ac:dyDescent="0.3">
      <c r="AD230" s="227" t="s">
        <v>91</v>
      </c>
      <c r="AE230" s="358" t="s">
        <v>467</v>
      </c>
      <c r="AF230" s="358"/>
      <c r="AG230" s="358"/>
      <c r="AH230" s="358"/>
      <c r="AI230" s="358"/>
      <c r="AJ230" s="358"/>
      <c r="AK230" s="358"/>
      <c r="AL230" s="358"/>
      <c r="AM230" s="358"/>
      <c r="AN230" s="358"/>
      <c r="AO230" s="358"/>
      <c r="AP230" s="358"/>
      <c r="AQ230" s="358"/>
      <c r="AR230" s="358"/>
    </row>
    <row r="231" spans="30:44" x14ac:dyDescent="0.3">
      <c r="AE231" s="29" t="s">
        <v>390</v>
      </c>
      <c r="AF231" s="29" t="s">
        <v>388</v>
      </c>
      <c r="AG231" s="6">
        <f>AVERAGE('stable MEDIA'!$F$4:$F$87)</f>
        <v>7.3765251760881769</v>
      </c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</row>
    <row r="232" spans="30:44" x14ac:dyDescent="0.3">
      <c r="AE232" s="29" t="s">
        <v>307</v>
      </c>
      <c r="AF232" s="29" t="s">
        <v>389</v>
      </c>
      <c r="AG232" s="6">
        <f>STDEV('stable MEDIA'!$F$4:$F$87)</f>
        <v>0.46997330554608635</v>
      </c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</row>
    <row r="233" spans="30:44" x14ac:dyDescent="0.3">
      <c r="AE233" s="29"/>
      <c r="AF233" s="29" t="s">
        <v>200</v>
      </c>
      <c r="AG233" s="22">
        <f>COUNT('stable MEDIA'!$F$4:$F$87)</f>
        <v>51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</row>
    <row r="234" spans="30:44" x14ac:dyDescent="0.3">
      <c r="AE234" s="29"/>
      <c r="AF234" s="29" t="s">
        <v>174</v>
      </c>
      <c r="AG234" s="6">
        <f>MIN('stable MEDIA'!$F$4:$F$87)</f>
        <v>6.3551720771802795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</row>
    <row r="235" spans="30:44" x14ac:dyDescent="0.3">
      <c r="AE235" s="29"/>
      <c r="AF235" s="29" t="s">
        <v>175</v>
      </c>
      <c r="AG235" s="6">
        <f>MAX('stable MEDIA'!$F$4:$F$87)</f>
        <v>8.5212951618447477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</row>
    <row r="236" spans="30:44" x14ac:dyDescent="0.3">
      <c r="AE236" s="29"/>
      <c r="AF236" s="29" t="s">
        <v>442</v>
      </c>
      <c r="AG236" s="6">
        <f>DEVSQ('stable MEDIA'!$F$4:$F$87)</f>
        <v>11.043745396295753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</row>
    <row r="237" spans="30:44" x14ac:dyDescent="0.3"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</row>
    <row r="238" spans="30:44" x14ac:dyDescent="0.3"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</row>
    <row r="239" spans="30:44" x14ac:dyDescent="0.3"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</row>
    <row r="240" spans="30:44" x14ac:dyDescent="0.3"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</row>
    <row r="241" spans="30:44" x14ac:dyDescent="0.3"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</row>
    <row r="242" spans="30:44" x14ac:dyDescent="0.3"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</row>
    <row r="243" spans="30:44" x14ac:dyDescent="0.3"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</row>
    <row r="244" spans="30:44" x14ac:dyDescent="0.3"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</row>
    <row r="245" spans="30:44" x14ac:dyDescent="0.3"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</row>
    <row r="246" spans="30:44" x14ac:dyDescent="0.3"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</row>
    <row r="247" spans="30:44" x14ac:dyDescent="0.3"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</row>
    <row r="248" spans="30:44" x14ac:dyDescent="0.3"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</row>
    <row r="249" spans="30:44" x14ac:dyDescent="0.3">
      <c r="AD249" s="227" t="s">
        <v>478</v>
      </c>
      <c r="AE249" s="358" t="s">
        <v>472</v>
      </c>
      <c r="AF249" s="358"/>
      <c r="AG249" s="358"/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</row>
    <row r="250" spans="30:44" x14ac:dyDescent="0.3">
      <c r="AE250" s="29" t="s">
        <v>390</v>
      </c>
      <c r="AF250" s="29" t="s">
        <v>388</v>
      </c>
      <c r="AG250" s="6">
        <f>AVERAGE('stable MEDIA'!$AC$4:$AC$87)</f>
        <v>1.2919110742021456E-2</v>
      </c>
      <c r="AH250" s="29">
        <f>AG250*1000</f>
        <v>12.919110742021456</v>
      </c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</row>
    <row r="251" spans="30:44" x14ac:dyDescent="0.3">
      <c r="AE251" s="29" t="s">
        <v>307</v>
      </c>
      <c r="AF251" s="29" t="s">
        <v>389</v>
      </c>
      <c r="AG251" s="6">
        <f>STDEV('stable MEDIA'!$AC$4:$AC$87)</f>
        <v>1.8480264444651357E-2</v>
      </c>
      <c r="AH251" s="29">
        <f t="shared" ref="AH251:AH255" si="22">AG251*1000</f>
        <v>18.480264444651358</v>
      </c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</row>
    <row r="252" spans="30:44" x14ac:dyDescent="0.3">
      <c r="AE252" s="29"/>
      <c r="AF252" s="29" t="s">
        <v>200</v>
      </c>
      <c r="AG252" s="22">
        <f>COUNT('stable MEDIA'!$AC$4:$AC$87)</f>
        <v>42</v>
      </c>
      <c r="AH252" s="29">
        <f t="shared" si="22"/>
        <v>42000</v>
      </c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</row>
    <row r="253" spans="30:44" x14ac:dyDescent="0.3">
      <c r="AE253" s="29"/>
      <c r="AF253" s="29" t="s">
        <v>174</v>
      </c>
      <c r="AG253" s="6">
        <f>MIN('stable MEDIA'!$AC$4:$AC$87)</f>
        <v>1.1118650624322386E-6</v>
      </c>
      <c r="AH253" s="29">
        <f t="shared" si="22"/>
        <v>1.1118650624322385E-3</v>
      </c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</row>
    <row r="254" spans="30:44" x14ac:dyDescent="0.3">
      <c r="AE254" s="29"/>
      <c r="AF254" s="29" t="s">
        <v>175</v>
      </c>
      <c r="AG254" s="6">
        <f>MAX('stable MEDIA'!$AC$4:$AC$87)</f>
        <v>5.8930692886146947E-2</v>
      </c>
      <c r="AH254" s="29">
        <f t="shared" si="22"/>
        <v>58.93069288614695</v>
      </c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</row>
    <row r="255" spans="30:44" x14ac:dyDescent="0.3">
      <c r="AE255" s="29"/>
      <c r="AF255" s="29" t="s">
        <v>442</v>
      </c>
      <c r="AG255" s="6">
        <f>DEVSQ('stable MEDIA'!$AC$4:$AC$87)</f>
        <v>1.4002327131714037E-2</v>
      </c>
      <c r="AH255" s="29">
        <f t="shared" si="22"/>
        <v>14.002327131714038</v>
      </c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</row>
    <row r="256" spans="30:44" x14ac:dyDescent="0.3"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</row>
    <row r="257" spans="30:44" x14ac:dyDescent="0.3"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</row>
    <row r="258" spans="30:44" x14ac:dyDescent="0.3"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</row>
    <row r="259" spans="30:44" x14ac:dyDescent="0.3"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</row>
    <row r="260" spans="30:44" x14ac:dyDescent="0.3"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</row>
    <row r="261" spans="30:44" x14ac:dyDescent="0.3"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</row>
    <row r="262" spans="30:44" x14ac:dyDescent="0.3"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</row>
    <row r="263" spans="30:44" x14ac:dyDescent="0.3"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</row>
    <row r="264" spans="30:44" x14ac:dyDescent="0.3"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</row>
    <row r="265" spans="30:44" x14ac:dyDescent="0.3"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</row>
    <row r="266" spans="30:44" x14ac:dyDescent="0.3"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</row>
    <row r="267" spans="30:44" x14ac:dyDescent="0.3"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</row>
    <row r="268" spans="30:44" x14ac:dyDescent="0.3">
      <c r="AD268" s="227" t="s">
        <v>488</v>
      </c>
      <c r="AE268" s="358" t="s">
        <v>471</v>
      </c>
      <c r="AF268" s="358"/>
      <c r="AG268" s="358"/>
      <c r="AH268" s="358"/>
      <c r="AI268" s="358"/>
      <c r="AJ268" s="358"/>
      <c r="AK268" s="358"/>
      <c r="AL268" s="358"/>
      <c r="AM268" s="358"/>
      <c r="AN268" s="358"/>
      <c r="AO268" s="358"/>
      <c r="AP268" s="358"/>
      <c r="AQ268" s="358"/>
      <c r="AR268" s="358"/>
    </row>
    <row r="269" spans="30:44" x14ac:dyDescent="0.3">
      <c r="AE269" s="29" t="s">
        <v>390</v>
      </c>
      <c r="AF269" s="29" t="s">
        <v>388</v>
      </c>
      <c r="AG269" s="6">
        <f>AVERAGE('stable MEDIA'!$AD$4:$AD$87)</f>
        <v>20.826959435103817</v>
      </c>
    </row>
    <row r="270" spans="30:44" x14ac:dyDescent="0.3">
      <c r="AE270" s="29" t="s">
        <v>307</v>
      </c>
      <c r="AF270" s="29" t="s">
        <v>389</v>
      </c>
      <c r="AG270" s="6">
        <f>STDEV('stable MEDIA'!$AD$4:$AD$87)</f>
        <v>23.053017575452241</v>
      </c>
    </row>
    <row r="271" spans="30:44" x14ac:dyDescent="0.3">
      <c r="AE271" s="29"/>
      <c r="AF271" s="29" t="s">
        <v>200</v>
      </c>
      <c r="AG271" s="22">
        <f>COUNT('stable MEDIA'!$AD$4:$AD$87)</f>
        <v>42</v>
      </c>
    </row>
    <row r="272" spans="30:44" x14ac:dyDescent="0.3">
      <c r="AE272" s="29"/>
      <c r="AF272" s="29" t="s">
        <v>174</v>
      </c>
      <c r="AG272" s="6">
        <f>MIN('stable MEDIA'!$AD$4:$AD$87)</f>
        <v>0.19380514255009382</v>
      </c>
    </row>
    <row r="273" spans="30:44" x14ac:dyDescent="0.3">
      <c r="AE273" s="29"/>
      <c r="AF273" s="29" t="s">
        <v>175</v>
      </c>
      <c r="AG273" s="6">
        <f>MAX('stable MEDIA'!$AD$4:$AD$87)</f>
        <v>115.73004005055498</v>
      </c>
    </row>
    <row r="274" spans="30:44" x14ac:dyDescent="0.3">
      <c r="AE274" s="29"/>
      <c r="AF274" s="29" t="s">
        <v>442</v>
      </c>
      <c r="AG274" s="6">
        <f>DEVSQ('stable MEDIA'!$AD$4:$AD$87)</f>
        <v>21789.106392698512</v>
      </c>
    </row>
    <row r="283" spans="30:44" x14ac:dyDescent="0.3">
      <c r="AD283" s="227" t="s">
        <v>473</v>
      </c>
      <c r="AE283" s="358" t="s">
        <v>522</v>
      </c>
      <c r="AF283" s="358"/>
      <c r="AG283" s="358"/>
      <c r="AH283" s="358"/>
      <c r="AI283" s="358"/>
      <c r="AJ283" s="358"/>
      <c r="AK283" s="358"/>
      <c r="AL283" s="358"/>
      <c r="AM283" s="358"/>
      <c r="AN283" s="358"/>
      <c r="AO283" s="358"/>
      <c r="AP283" s="358"/>
      <c r="AQ283" s="358"/>
      <c r="AR283" s="358"/>
    </row>
    <row r="284" spans="30:44" x14ac:dyDescent="0.3">
      <c r="AE284" s="29" t="s">
        <v>390</v>
      </c>
      <c r="AF284" s="29" t="s">
        <v>388</v>
      </c>
      <c r="AG284" s="6">
        <f>AVERAGE('stable MEDIA'!$AO$4:$AO$87)</f>
        <v>0.32567754363631463</v>
      </c>
    </row>
    <row r="285" spans="30:44" x14ac:dyDescent="0.3">
      <c r="AE285" s="29" t="s">
        <v>307</v>
      </c>
      <c r="AF285" s="29" t="s">
        <v>389</v>
      </c>
      <c r="AG285" s="6">
        <f>STDEV('stable MEDIA'!$AO$4:$AO$87)</f>
        <v>0.26541580542750592</v>
      </c>
    </row>
    <row r="286" spans="30:44" x14ac:dyDescent="0.3">
      <c r="AE286" s="29"/>
      <c r="AF286" s="29" t="s">
        <v>200</v>
      </c>
      <c r="AG286" s="22">
        <f>COUNT('stable MEDIA'!$AO$4:$AO$87)</f>
        <v>49</v>
      </c>
    </row>
    <row r="287" spans="30:44" x14ac:dyDescent="0.3">
      <c r="AE287" s="29"/>
      <c r="AF287" s="29" t="s">
        <v>174</v>
      </c>
      <c r="AG287" s="6">
        <f>MIN('stable MEDIA'!$AO$4:$AO$87)</f>
        <v>2.6924477830995913E-2</v>
      </c>
    </row>
    <row r="288" spans="30:44" x14ac:dyDescent="0.3">
      <c r="AE288" s="29"/>
      <c r="AF288" s="29" t="s">
        <v>175</v>
      </c>
      <c r="AG288" s="6">
        <f>MAX('stable MEDIA'!$AO$4:$AO$87)</f>
        <v>1.10530162245699</v>
      </c>
    </row>
    <row r="289" spans="30:44" x14ac:dyDescent="0.3">
      <c r="AE289" s="29"/>
      <c r="AF289" s="29" t="s">
        <v>442</v>
      </c>
      <c r="AG289" s="6">
        <f>DEVSQ('stable MEDIA'!$AO$4:$AO$87)</f>
        <v>3.3813863889951215</v>
      </c>
    </row>
    <row r="295" spans="30:44" x14ac:dyDescent="0.3">
      <c r="AD295" s="227" t="s">
        <v>433</v>
      </c>
      <c r="AE295" s="358" t="s">
        <v>523</v>
      </c>
      <c r="AF295" s="358"/>
      <c r="AG295" s="358"/>
      <c r="AH295" s="358"/>
      <c r="AI295" s="358"/>
      <c r="AJ295" s="358"/>
      <c r="AK295" s="358"/>
      <c r="AL295" s="358"/>
      <c r="AM295" s="358"/>
      <c r="AN295" s="358"/>
      <c r="AO295" s="358"/>
      <c r="AP295" s="358"/>
      <c r="AQ295" s="358"/>
      <c r="AR295" s="358"/>
    </row>
    <row r="296" spans="30:44" x14ac:dyDescent="0.3">
      <c r="AE296" s="29" t="s">
        <v>390</v>
      </c>
      <c r="AF296" s="29" t="s">
        <v>388</v>
      </c>
      <c r="AG296" s="6">
        <f>AVERAGE('stable MEDIA'!$J$4:$J$87)</f>
        <v>1898.7190476190476</v>
      </c>
    </row>
    <row r="297" spans="30:44" x14ac:dyDescent="0.3">
      <c r="AE297" s="29" t="s">
        <v>307</v>
      </c>
      <c r="AF297" s="29" t="s">
        <v>389</v>
      </c>
      <c r="AG297" s="6">
        <f>STDEV('stable MEDIA'!$J$4:$J$87)</f>
        <v>2754.4037136227957</v>
      </c>
    </row>
    <row r="298" spans="30:44" x14ac:dyDescent="0.3">
      <c r="AE298" s="29"/>
      <c r="AF298" s="29" t="s">
        <v>200</v>
      </c>
      <c r="AG298" s="22">
        <f>COUNT('stable MEDIA'!$J$4:$J$87)</f>
        <v>21</v>
      </c>
    </row>
    <row r="299" spans="30:44" x14ac:dyDescent="0.3">
      <c r="AE299" s="29"/>
      <c r="AF299" s="29" t="s">
        <v>174</v>
      </c>
      <c r="AG299" s="6">
        <f>MIN('stable MEDIA'!$J$4:$J$87)</f>
        <v>13</v>
      </c>
    </row>
    <row r="300" spans="30:44" x14ac:dyDescent="0.3">
      <c r="AE300" s="29"/>
      <c r="AF300" s="29" t="s">
        <v>175</v>
      </c>
      <c r="AG300" s="6">
        <f>MAX('stable MEDIA'!$J$4:$J$87)</f>
        <v>9545</v>
      </c>
    </row>
    <row r="301" spans="30:44" x14ac:dyDescent="0.3">
      <c r="AE301" s="29"/>
      <c r="AF301" s="29" t="s">
        <v>442</v>
      </c>
      <c r="AG301" s="22">
        <f>DEVSQ('stable MEDIA'!$J$4:$J$87)</f>
        <v>151734796.35238093</v>
      </c>
    </row>
    <row r="305" spans="30:44" x14ac:dyDescent="0.3">
      <c r="AD305" s="227" t="s">
        <v>482</v>
      </c>
      <c r="AE305" s="358" t="s">
        <v>582</v>
      </c>
      <c r="AF305" s="358"/>
      <c r="AG305" s="358"/>
      <c r="AH305" s="358"/>
      <c r="AI305" s="358"/>
      <c r="AJ305" s="358"/>
      <c r="AK305" s="358"/>
      <c r="AL305" s="358"/>
      <c r="AM305" s="358"/>
      <c r="AN305" s="358"/>
      <c r="AO305" s="358"/>
      <c r="AP305" s="358"/>
      <c r="AQ305" s="358"/>
      <c r="AR305" s="358"/>
    </row>
    <row r="306" spans="30:44" x14ac:dyDescent="0.3">
      <c r="AE306" s="29" t="s">
        <v>390</v>
      </c>
      <c r="AF306" s="29" t="s">
        <v>388</v>
      </c>
      <c r="AG306" s="6">
        <f>AVERAGE('stable MEDIA'!$AR$4:$AR$87)</f>
        <v>0.58639445918401156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</row>
    <row r="307" spans="30:44" x14ac:dyDescent="0.3">
      <c r="AE307" s="29" t="s">
        <v>307</v>
      </c>
      <c r="AF307" s="29" t="s">
        <v>389</v>
      </c>
      <c r="AG307" s="6">
        <f>STDEV('stable MEDIA'!$AR$4:$AR$87)</f>
        <v>0.2148799127462013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</row>
    <row r="308" spans="30:44" x14ac:dyDescent="0.3">
      <c r="AE308" s="29"/>
      <c r="AF308" s="29" t="s">
        <v>200</v>
      </c>
      <c r="AG308" s="22">
        <f>COUNT('stable MEDIA'!$AR$4:$AR$87)</f>
        <v>42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</row>
    <row r="309" spans="30:44" x14ac:dyDescent="0.3">
      <c r="AE309" s="29"/>
      <c r="AF309" s="29" t="s">
        <v>174</v>
      </c>
      <c r="AG309" s="6">
        <f>MIN('stable MEDIA'!$AR$4:$AR$87)</f>
        <v>0.25673955369177776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</row>
    <row r="310" spans="30:44" x14ac:dyDescent="0.3">
      <c r="AE310" s="29"/>
      <c r="AF310" s="29" t="s">
        <v>175</v>
      </c>
      <c r="AG310" s="6">
        <f>MAX('stable MEDIA'!$AR$4:$AR$87)</f>
        <v>0.96376424933300997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</row>
    <row r="311" spans="30:44" x14ac:dyDescent="0.3">
      <c r="AE311" s="29"/>
      <c r="AF311" s="29" t="s">
        <v>442</v>
      </c>
      <c r="AG311" s="22">
        <f>DEVSQ('stable MEDIA'!$AR$4:$AR$87)</f>
        <v>1.8931084529744178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</row>
    <row r="315" spans="30:44" x14ac:dyDescent="0.3">
      <c r="AD315" s="227" t="s">
        <v>482</v>
      </c>
      <c r="AE315" s="358" t="s">
        <v>583</v>
      </c>
      <c r="AF315" s="358"/>
      <c r="AG315" s="358"/>
      <c r="AH315" s="358"/>
      <c r="AI315" s="358"/>
      <c r="AJ315" s="358"/>
      <c r="AK315" s="358"/>
      <c r="AL315" s="358"/>
      <c r="AM315" s="358"/>
      <c r="AN315" s="358"/>
      <c r="AO315" s="358"/>
      <c r="AP315" s="358"/>
      <c r="AQ315" s="358"/>
      <c r="AR315" s="358"/>
    </row>
    <row r="316" spans="30:44" x14ac:dyDescent="0.3">
      <c r="AE316" s="29" t="s">
        <v>390</v>
      </c>
      <c r="AF316" s="29" t="s">
        <v>388</v>
      </c>
      <c r="AG316" s="89">
        <f>AVERAGE('stable MEDIA'!$AR$4:$AR$87)</f>
        <v>0.58639445918401156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</row>
    <row r="317" spans="30:44" x14ac:dyDescent="0.3">
      <c r="AE317" s="29" t="s">
        <v>307</v>
      </c>
      <c r="AF317" s="29" t="s">
        <v>389</v>
      </c>
      <c r="AG317" s="89">
        <f>STDEV('stable MEDIA'!$AR$4:$AR$87)</f>
        <v>0.2148799127462013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</row>
    <row r="318" spans="30:44" x14ac:dyDescent="0.3">
      <c r="AE318" s="29"/>
      <c r="AF318" s="29" t="s">
        <v>200</v>
      </c>
      <c r="AG318" s="89">
        <f>COUNT('stable MEDIA'!$AR$4:$AR$87)</f>
        <v>42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</row>
    <row r="319" spans="30:44" x14ac:dyDescent="0.3">
      <c r="AE319" s="29"/>
      <c r="AF319" s="29" t="s">
        <v>174</v>
      </c>
      <c r="AG319" s="89">
        <f>MIN('stable MEDIA'!$AR$4:$AR$87)</f>
        <v>0.25673955369177776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</row>
    <row r="320" spans="30:44" x14ac:dyDescent="0.3">
      <c r="AE320" s="29"/>
      <c r="AF320" s="29" t="s">
        <v>175</v>
      </c>
      <c r="AG320" s="89">
        <f>MAX('stable MEDIA'!$AR$4:$AR$87)</f>
        <v>0.96376424933300997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</row>
    <row r="321" spans="30:44" x14ac:dyDescent="0.3">
      <c r="AE321" s="29"/>
      <c r="AF321" s="29" t="s">
        <v>442</v>
      </c>
      <c r="AG321" s="89">
        <f>DEVSQ('stable MEDIA'!$AR$4:$AR$87)</f>
        <v>1.8931084529744178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</row>
    <row r="323" spans="30:44" x14ac:dyDescent="0.3">
      <c r="AD323" s="227" t="s">
        <v>604</v>
      </c>
      <c r="AE323" s="358" t="s">
        <v>601</v>
      </c>
      <c r="AF323" s="358"/>
      <c r="AG323" s="358"/>
      <c r="AH323" s="358"/>
      <c r="AI323" s="358"/>
      <c r="AJ323" s="358"/>
      <c r="AK323" s="358"/>
      <c r="AL323" s="358"/>
      <c r="AM323" s="358"/>
      <c r="AN323" s="358"/>
      <c r="AO323" s="358"/>
      <c r="AP323" s="358"/>
      <c r="AQ323" s="358"/>
      <c r="AR323" s="358"/>
    </row>
    <row r="324" spans="30:44" x14ac:dyDescent="0.3">
      <c r="AE324" s="29" t="s">
        <v>390</v>
      </c>
      <c r="AF324" s="29" t="s">
        <v>388</v>
      </c>
      <c r="AG324" s="6">
        <f>AVERAGE('stable MEDIA'!$AT$4:$AT$87)</f>
        <v>0.65966666666666662</v>
      </c>
      <c r="AH324" s="29"/>
      <c r="AI324" s="29" t="s">
        <v>388</v>
      </c>
      <c r="AJ324" s="6">
        <f>AVERAGE('stable MEDIA'!$AU$4:$AU$87)</f>
        <v>0.39933333333333337</v>
      </c>
      <c r="AK324" s="29"/>
      <c r="AL324" s="29"/>
      <c r="AM324" s="29"/>
      <c r="AN324" s="29"/>
      <c r="AO324" s="29"/>
      <c r="AP324" s="29"/>
      <c r="AQ324" s="29"/>
      <c r="AR324" s="29"/>
    </row>
    <row r="325" spans="30:44" x14ac:dyDescent="0.3">
      <c r="AE325" s="29" t="s">
        <v>307</v>
      </c>
      <c r="AF325" s="29" t="s">
        <v>389</v>
      </c>
      <c r="AG325" s="6">
        <f>STDEV('stable MEDIA'!$AT$4:$AT$87)</f>
        <v>0.39670108394104486</v>
      </c>
      <c r="AH325" s="29"/>
      <c r="AI325" s="29" t="s">
        <v>389</v>
      </c>
      <c r="AJ325" s="6">
        <f>STDEV('stable MEDIA'!$AU$4:$AU$87)</f>
        <v>0.41575383341588079</v>
      </c>
      <c r="AK325" s="29"/>
      <c r="AL325" s="29"/>
      <c r="AM325" s="29"/>
      <c r="AN325" s="29"/>
      <c r="AO325" s="29"/>
      <c r="AP325" s="29"/>
      <c r="AQ325" s="29"/>
      <c r="AR325" s="29"/>
    </row>
    <row r="326" spans="30:44" x14ac:dyDescent="0.3">
      <c r="AE326" s="29"/>
      <c r="AF326" s="29" t="s">
        <v>200</v>
      </c>
      <c r="AG326" s="22">
        <f>COUNT('stable MEDIA'!$AT$4:$AT$87)</f>
        <v>9</v>
      </c>
      <c r="AH326" s="29"/>
      <c r="AI326" s="29" t="s">
        <v>200</v>
      </c>
      <c r="AJ326" s="22">
        <f>COUNT('stable MEDIA'!$AU$4:$AU$87)</f>
        <v>9</v>
      </c>
      <c r="AK326" s="29"/>
      <c r="AL326" s="29"/>
      <c r="AM326" s="29"/>
      <c r="AN326" s="29"/>
      <c r="AO326" s="29"/>
      <c r="AP326" s="29"/>
      <c r="AQ326" s="29"/>
      <c r="AR326" s="29"/>
    </row>
    <row r="327" spans="30:44" x14ac:dyDescent="0.3">
      <c r="AE327" s="29"/>
      <c r="AF327" s="29" t="s">
        <v>174</v>
      </c>
      <c r="AG327" s="6">
        <f>MIN('stable MEDIA'!$AT$4:$AT$87)</f>
        <v>0.10299999999999999</v>
      </c>
      <c r="AH327" s="29"/>
      <c r="AI327" s="29" t="s">
        <v>174</v>
      </c>
      <c r="AJ327" s="6">
        <f>MIN('stable MEDIA'!$AU$4:$AU$87)</f>
        <v>3.4000000000000002E-2</v>
      </c>
      <c r="AK327" s="29"/>
      <c r="AL327" s="29"/>
      <c r="AM327" s="29"/>
      <c r="AN327" s="29"/>
      <c r="AO327" s="29"/>
      <c r="AP327" s="29"/>
      <c r="AQ327" s="29"/>
      <c r="AR327" s="29"/>
    </row>
    <row r="328" spans="30:44" x14ac:dyDescent="0.3">
      <c r="AE328" s="29"/>
      <c r="AF328" s="29" t="s">
        <v>175</v>
      </c>
      <c r="AG328" s="6">
        <f>MAX('stable MEDIA'!$AT$4:$AT$87)</f>
        <v>1.2609999999999999</v>
      </c>
      <c r="AH328" s="29"/>
      <c r="AI328" s="29" t="s">
        <v>175</v>
      </c>
      <c r="AJ328" s="6">
        <f>MAX('stable MEDIA'!$AU$4:$AU$87)</f>
        <v>1.089</v>
      </c>
      <c r="AK328" s="29"/>
      <c r="AL328" s="29"/>
      <c r="AM328" s="29"/>
      <c r="AN328" s="29"/>
      <c r="AO328" s="29"/>
      <c r="AP328" s="29"/>
      <c r="AQ328" s="29"/>
      <c r="AR328" s="29"/>
    </row>
    <row r="329" spans="30:44" x14ac:dyDescent="0.3">
      <c r="AE329" s="29"/>
      <c r="AF329" s="29" t="s">
        <v>442</v>
      </c>
      <c r="AG329" s="22">
        <f>DEVSQ('stable MEDIA'!$AT$4:$AT$87)</f>
        <v>1.2589739999999998</v>
      </c>
      <c r="AH329" s="29"/>
      <c r="AI329" s="29" t="s">
        <v>442</v>
      </c>
      <c r="AJ329" s="22">
        <f>DEVSQ('stable MEDIA'!$AU$4:$AU$87)</f>
        <v>1.3828100000000003</v>
      </c>
      <c r="AK329" s="29"/>
      <c r="AL329" s="29"/>
      <c r="AM329" s="29"/>
      <c r="AN329" s="29"/>
      <c r="AO329" s="29"/>
      <c r="AP329" s="29"/>
      <c r="AQ329" s="29"/>
      <c r="AR329" s="29"/>
    </row>
    <row r="330" spans="30:44" x14ac:dyDescent="0.3">
      <c r="AF330" s="363" t="s">
        <v>602</v>
      </c>
      <c r="AG330" s="363"/>
      <c r="AI330" s="363" t="s">
        <v>603</v>
      </c>
      <c r="AJ330" s="363"/>
    </row>
    <row r="332" spans="30:44" x14ac:dyDescent="0.3">
      <c r="AD332" s="227" t="s">
        <v>606</v>
      </c>
      <c r="AE332" s="358" t="s">
        <v>607</v>
      </c>
      <c r="AF332" s="358"/>
      <c r="AG332" s="358"/>
      <c r="AH332" s="358"/>
      <c r="AI332" s="358"/>
      <c r="AJ332" s="358"/>
      <c r="AK332" s="358"/>
      <c r="AL332" s="358"/>
      <c r="AM332" s="358"/>
      <c r="AN332" s="358"/>
      <c r="AO332" s="358"/>
      <c r="AP332" s="358"/>
      <c r="AQ332" s="358"/>
      <c r="AR332" s="358"/>
    </row>
    <row r="333" spans="30:44" x14ac:dyDescent="0.3">
      <c r="AE333" s="29" t="s">
        <v>390</v>
      </c>
      <c r="AF333" s="29" t="s">
        <v>388</v>
      </c>
      <c r="AG333" s="89">
        <f>AVERAGE('stable MEDIA'!$AQ$4:$AQ$87)</f>
        <v>0.60567773837361438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spans="30:44" x14ac:dyDescent="0.3">
      <c r="AE334" s="29" t="s">
        <v>307</v>
      </c>
      <c r="AF334" s="29" t="s">
        <v>389</v>
      </c>
      <c r="AG334" s="89">
        <f>STDEV('stable MEDIA'!$AQ$4:$AQ$87)</f>
        <v>0.21886325395700637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spans="30:44" x14ac:dyDescent="0.3">
      <c r="AE335" s="29"/>
      <c r="AF335" s="29" t="s">
        <v>200</v>
      </c>
      <c r="AG335" s="89">
        <f>COUNT('stable MEDIA'!$AQ$4:$AQ$87)</f>
        <v>51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spans="30:44" x14ac:dyDescent="0.3">
      <c r="AE336" s="29"/>
      <c r="AF336" s="29" t="s">
        <v>174</v>
      </c>
      <c r="AG336" s="89">
        <f>MIN('stable MEDIA'!$AQ$4:$AQ$87)</f>
        <v>0.21345656192236603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spans="30:44" x14ac:dyDescent="0.3">
      <c r="AE337" s="29"/>
      <c r="AF337" s="29" t="s">
        <v>175</v>
      </c>
      <c r="AG337" s="89">
        <f>MAX('stable MEDIA'!$AQ$4:$AQ$87)</f>
        <v>0.98561434844087226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spans="30:44" x14ac:dyDescent="0.3">
      <c r="AE338" s="29"/>
      <c r="AF338" s="29" t="s">
        <v>442</v>
      </c>
      <c r="AG338" s="89">
        <f>DEVSQ('stable MEDIA'!$AQ$4:$AQ$87)</f>
        <v>2.3950561966324462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spans="30:44" x14ac:dyDescent="0.3">
      <c r="AD339" s="227" t="s">
        <v>586</v>
      </c>
      <c r="AE339" s="358" t="s">
        <v>582</v>
      </c>
      <c r="AF339" s="358"/>
      <c r="AG339" s="358"/>
      <c r="AH339" s="358"/>
      <c r="AI339" s="358"/>
      <c r="AJ339" s="358"/>
      <c r="AK339" s="358"/>
      <c r="AL339" s="358"/>
      <c r="AM339" s="358"/>
      <c r="AN339" s="358"/>
      <c r="AO339" s="358"/>
      <c r="AP339" s="358"/>
      <c r="AQ339" s="358"/>
      <c r="AR339" s="358"/>
    </row>
    <row r="340" spans="30:44" x14ac:dyDescent="0.3">
      <c r="AE340" s="29" t="s">
        <v>390</v>
      </c>
      <c r="AF340" s="29" t="s">
        <v>388</v>
      </c>
      <c r="AG340" s="6">
        <f>AVERAGE('stable MEDIA'!$AN$4:$AN$87)</f>
        <v>0.18975361836468013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spans="30:44" x14ac:dyDescent="0.3">
      <c r="AE341" s="29" t="s">
        <v>307</v>
      </c>
      <c r="AF341" s="29" t="s">
        <v>389</v>
      </c>
      <c r="AG341" s="6">
        <f>STDEV('stable MEDIA'!$AN$4:$AN$87)</f>
        <v>0.13637431951435039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spans="30:44" x14ac:dyDescent="0.3">
      <c r="AE342" s="29"/>
      <c r="AF342" s="29" t="s">
        <v>200</v>
      </c>
      <c r="AG342" s="22">
        <f>COUNT('stable MEDIA'!$AN$4:$AN$87)</f>
        <v>51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spans="30:44" x14ac:dyDescent="0.3">
      <c r="AE343" s="29"/>
      <c r="AF343" s="29" t="s">
        <v>174</v>
      </c>
      <c r="AG343" s="6">
        <f>MIN('stable MEDIA'!$AN$4:$AN$87)</f>
        <v>9.9137059839450765E-3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spans="30:44" x14ac:dyDescent="0.3">
      <c r="AE344" s="29"/>
      <c r="AF344" s="29" t="s">
        <v>175</v>
      </c>
      <c r="AG344" s="6">
        <f>MAX('stable MEDIA'!$AN$4:$AN$87)</f>
        <v>0.50768868276079993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spans="30:44" x14ac:dyDescent="0.3">
      <c r="AE345" s="29"/>
      <c r="AF345" s="29" t="s">
        <v>442</v>
      </c>
      <c r="AG345" s="22">
        <f>DEVSQ('stable MEDIA'!$AN$4:$AN$87)</f>
        <v>0.92989775115010442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</sheetData>
  <mergeCells count="38">
    <mergeCell ref="AE332:AR332"/>
    <mergeCell ref="AE339:AR339"/>
    <mergeCell ref="AE323:AR323"/>
    <mergeCell ref="AF330:AG330"/>
    <mergeCell ref="AI330:AJ330"/>
    <mergeCell ref="AE305:AR305"/>
    <mergeCell ref="AE315:AR315"/>
    <mergeCell ref="AE97:AR97"/>
    <mergeCell ref="AE116:AR116"/>
    <mergeCell ref="AE135:AR135"/>
    <mergeCell ref="AE154:AR154"/>
    <mergeCell ref="AE268:AR268"/>
    <mergeCell ref="AE173:AR173"/>
    <mergeCell ref="AE192:AR192"/>
    <mergeCell ref="AE211:AR211"/>
    <mergeCell ref="AE230:AR230"/>
    <mergeCell ref="AE249:AR249"/>
    <mergeCell ref="AE283:AR283"/>
    <mergeCell ref="AE295:AR295"/>
    <mergeCell ref="A1:N1"/>
    <mergeCell ref="P1:AC1"/>
    <mergeCell ref="A2:N2"/>
    <mergeCell ref="P2:AC2"/>
    <mergeCell ref="P21:AC21"/>
    <mergeCell ref="AE1:AR1"/>
    <mergeCell ref="P173:AC173"/>
    <mergeCell ref="P59:AC59"/>
    <mergeCell ref="P78:AC78"/>
    <mergeCell ref="P97:AC97"/>
    <mergeCell ref="P116:AC116"/>
    <mergeCell ref="P135:AC135"/>
    <mergeCell ref="P154:AC154"/>
    <mergeCell ref="P40:AC40"/>
    <mergeCell ref="AE2:AR2"/>
    <mergeCell ref="AE21:AR21"/>
    <mergeCell ref="AE40:AR40"/>
    <mergeCell ref="AE59:AR59"/>
    <mergeCell ref="AE78:AR7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79998168889431442"/>
  </sheetPr>
  <dimension ref="A1:AS333"/>
  <sheetViews>
    <sheetView topLeftCell="X1" workbookViewId="0">
      <pane ySplit="1" topLeftCell="A305" activePane="bottomLeft" state="frozen"/>
      <selection pane="bottomLeft" activeCell="AJ319" sqref="AJ319"/>
    </sheetView>
  </sheetViews>
  <sheetFormatPr defaultRowHeight="14.4" x14ac:dyDescent="0.3"/>
  <cols>
    <col min="1" max="1" width="12.33203125" customWidth="1"/>
    <col min="8" max="8" width="17.77734375" bestFit="1" customWidth="1"/>
    <col min="15" max="15" width="8.88671875" style="227"/>
    <col min="16" max="16" width="13" customWidth="1"/>
    <col min="23" max="23" width="11.5546875" bestFit="1" customWidth="1"/>
    <col min="30" max="30" width="8.88671875" style="227"/>
    <col min="45" max="45" width="8.88671875" style="224"/>
  </cols>
  <sheetData>
    <row r="1" spans="1:44" ht="18" thickBot="1" x14ac:dyDescent="0.4">
      <c r="A1" s="359" t="s">
        <v>385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226" t="s">
        <v>413</v>
      </c>
      <c r="P1" s="360" t="s">
        <v>414</v>
      </c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226" t="s">
        <v>413</v>
      </c>
      <c r="AE1" s="360" t="s">
        <v>456</v>
      </c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</row>
    <row r="2" spans="1:44" ht="15" thickTop="1" x14ac:dyDescent="0.3">
      <c r="A2" s="361" t="s">
        <v>386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227" t="s">
        <v>429</v>
      </c>
      <c r="P2" s="357" t="s">
        <v>428</v>
      </c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227" t="s">
        <v>468</v>
      </c>
      <c r="AE2" s="357" t="s">
        <v>455</v>
      </c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</row>
    <row r="3" spans="1:44" x14ac:dyDescent="0.3">
      <c r="A3" t="s">
        <v>387</v>
      </c>
      <c r="B3" t="s">
        <v>388</v>
      </c>
      <c r="C3" s="6">
        <f>AVERAGE('1-G-SBR'!$AL$4:$AL$93)</f>
        <v>0.72054379721969974</v>
      </c>
      <c r="E3" s="29" t="s">
        <v>393</v>
      </c>
      <c r="F3" s="29"/>
      <c r="G3" s="29"/>
      <c r="H3" s="29"/>
      <c r="I3" s="29"/>
      <c r="J3" s="29"/>
      <c r="K3" s="29"/>
      <c r="L3" s="29"/>
      <c r="M3" s="29"/>
      <c r="N3" s="29"/>
      <c r="P3" s="29" t="s">
        <v>387</v>
      </c>
      <c r="Q3" s="29" t="s">
        <v>388</v>
      </c>
      <c r="R3" s="6">
        <f>AVERAGE('1-G-SBR'!$E$4:$E$93)</f>
        <v>28.210740916666669</v>
      </c>
      <c r="T3" s="29" t="s">
        <v>393</v>
      </c>
      <c r="U3" s="29"/>
      <c r="V3" s="29"/>
      <c r="W3" s="29"/>
      <c r="X3" s="29"/>
      <c r="Y3" s="29"/>
      <c r="Z3" s="29"/>
      <c r="AA3" s="29"/>
      <c r="AB3" s="29"/>
      <c r="AC3" s="29"/>
      <c r="AE3" s="29" t="s">
        <v>387</v>
      </c>
      <c r="AF3" s="29" t="s">
        <v>388</v>
      </c>
      <c r="AG3" s="6">
        <f>AVERAGE('stable G-SBR'!$AM$4:$AM$93)</f>
        <v>0.58387119141082489</v>
      </c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</row>
    <row r="4" spans="1:44" x14ac:dyDescent="0.3">
      <c r="A4" t="s">
        <v>438</v>
      </c>
      <c r="B4" t="s">
        <v>389</v>
      </c>
      <c r="C4" s="6">
        <f>STDEV('1-G-SBR'!$AL$4:$AL$93)</f>
        <v>0.46096829598774042</v>
      </c>
      <c r="E4" s="29"/>
      <c r="F4" s="29"/>
      <c r="G4" s="29"/>
      <c r="H4" s="29"/>
      <c r="I4" s="29"/>
      <c r="J4" s="29"/>
      <c r="K4" s="29"/>
      <c r="L4" s="29"/>
      <c r="M4" s="29"/>
      <c r="N4" s="29"/>
      <c r="P4" s="29" t="s">
        <v>438</v>
      </c>
      <c r="Q4" s="29" t="s">
        <v>389</v>
      </c>
      <c r="R4" s="6">
        <f>STDEV('1-G-SBR'!$E$4:$E$93)</f>
        <v>3.5278052843166647</v>
      </c>
      <c r="T4" s="29"/>
      <c r="U4" s="29"/>
      <c r="V4" s="29"/>
      <c r="W4" s="29"/>
      <c r="X4" s="29"/>
      <c r="Y4" s="29"/>
      <c r="Z4" s="29"/>
      <c r="AA4" s="29"/>
      <c r="AB4" s="29"/>
      <c r="AC4" s="29"/>
      <c r="AE4" s="29" t="s">
        <v>438</v>
      </c>
      <c r="AF4" s="29" t="s">
        <v>389</v>
      </c>
      <c r="AG4" s="6">
        <f>STDEV('stable G-SBR'!$AM$4:$AM$93)</f>
        <v>0.46291323319749883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</row>
    <row r="5" spans="1:44" ht="15" thickBot="1" x14ac:dyDescent="0.35">
      <c r="B5" t="s">
        <v>200</v>
      </c>
      <c r="C5" s="22">
        <f>COUNT('1-G-SBR'!$AL$4:$AL$93)</f>
        <v>30</v>
      </c>
      <c r="E5" s="29" t="s">
        <v>394</v>
      </c>
      <c r="F5" s="29"/>
      <c r="G5" s="29"/>
      <c r="H5" s="29" t="s">
        <v>395</v>
      </c>
      <c r="I5" s="6">
        <v>0</v>
      </c>
      <c r="J5" s="29"/>
      <c r="K5" s="29"/>
      <c r="L5" s="29"/>
      <c r="M5" s="29"/>
      <c r="N5" s="29"/>
      <c r="P5" s="29"/>
      <c r="Q5" s="29" t="s">
        <v>200</v>
      </c>
      <c r="R5" s="22">
        <f>COUNT('1-G-SBR'!$E$4:$E$93)</f>
        <v>30</v>
      </c>
      <c r="T5" s="29" t="s">
        <v>394</v>
      </c>
      <c r="U5" s="29"/>
      <c r="V5" s="29"/>
      <c r="W5" s="29" t="s">
        <v>395</v>
      </c>
      <c r="X5" s="6">
        <v>0</v>
      </c>
      <c r="Y5" s="29"/>
      <c r="Z5" s="29"/>
      <c r="AA5" s="29"/>
      <c r="AB5" s="29"/>
      <c r="AC5" s="29"/>
      <c r="AE5" s="29"/>
      <c r="AF5" s="29" t="s">
        <v>200</v>
      </c>
      <c r="AG5" s="22">
        <f>COUNT('stable G-SBR'!$AM$4:$AM$93)</f>
        <v>12</v>
      </c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</row>
    <row r="6" spans="1:44" ht="15" thickTop="1" x14ac:dyDescent="0.3">
      <c r="B6" t="s">
        <v>174</v>
      </c>
      <c r="C6" s="6">
        <f>MIN('1-G-SBR'!$AL$4:$AL$93)</f>
        <v>0.26867765836375629</v>
      </c>
      <c r="E6" s="191" t="s">
        <v>396</v>
      </c>
      <c r="F6" s="191" t="s">
        <v>290</v>
      </c>
      <c r="G6" s="191" t="s">
        <v>292</v>
      </c>
      <c r="H6" s="191" t="s">
        <v>293</v>
      </c>
      <c r="I6" s="191" t="s">
        <v>397</v>
      </c>
      <c r="J6" s="29"/>
      <c r="K6" s="29"/>
      <c r="L6" s="29"/>
      <c r="M6" s="29"/>
      <c r="N6" s="29"/>
      <c r="P6" s="29"/>
      <c r="Q6" s="29" t="s">
        <v>174</v>
      </c>
      <c r="R6" s="6">
        <f>MIN('1-G-SBR'!$E$4:$E$93)</f>
        <v>17.549936249999998</v>
      </c>
      <c r="T6" s="191" t="s">
        <v>396</v>
      </c>
      <c r="U6" s="191" t="s">
        <v>290</v>
      </c>
      <c r="V6" s="191" t="s">
        <v>292</v>
      </c>
      <c r="W6" s="191" t="s">
        <v>293</v>
      </c>
      <c r="X6" s="191" t="s">
        <v>397</v>
      </c>
      <c r="Y6" s="29"/>
      <c r="Z6" s="29"/>
      <c r="AA6" s="29"/>
      <c r="AB6" s="29"/>
      <c r="AC6" s="29"/>
      <c r="AE6" s="29"/>
      <c r="AF6" s="29" t="s">
        <v>174</v>
      </c>
      <c r="AG6" s="6">
        <f>MIN('stable G-SBR'!$AM$4:$AM$93)</f>
        <v>8.8860000000000106E-2</v>
      </c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</row>
    <row r="7" spans="1:44" x14ac:dyDescent="0.3">
      <c r="B7" t="s">
        <v>175</v>
      </c>
      <c r="C7" s="6">
        <f>MAX('1-G-SBR'!$AL$4:$AL$93)</f>
        <v>1.7305707779809105</v>
      </c>
      <c r="E7" s="29" t="str">
        <f>A10</f>
        <v>Period 1</v>
      </c>
      <c r="F7" s="22">
        <f>C11</f>
        <v>14</v>
      </c>
      <c r="G7" s="6">
        <f>C9</f>
        <v>0.35895333591671702</v>
      </c>
      <c r="H7" s="20">
        <f>C4^2</f>
        <v>0.21249176990584107</v>
      </c>
      <c r="I7" s="29"/>
      <c r="J7" s="29"/>
      <c r="K7" s="29"/>
      <c r="L7" s="29"/>
      <c r="M7" s="29"/>
      <c r="N7" s="29"/>
      <c r="P7" s="29"/>
      <c r="Q7" s="29" t="s">
        <v>175</v>
      </c>
      <c r="R7" s="6">
        <f>MAX('1-G-SBR'!$E$4:$E$93)</f>
        <v>33.499074374999999</v>
      </c>
      <c r="T7" s="29" t="str">
        <f>P9</f>
        <v>Period 1</v>
      </c>
      <c r="U7" s="22">
        <f>R10</f>
        <v>14</v>
      </c>
      <c r="V7" s="6">
        <f>R8</f>
        <v>27.234947901785716</v>
      </c>
      <c r="W7" s="20">
        <f>R4^2</f>
        <v>12.445410124052584</v>
      </c>
      <c r="X7" s="29"/>
      <c r="Y7" s="29"/>
      <c r="Z7" s="29"/>
      <c r="AA7" s="29"/>
      <c r="AB7" s="29"/>
      <c r="AC7" s="29"/>
      <c r="AE7" s="29"/>
      <c r="AF7" s="29" t="s">
        <v>175</v>
      </c>
      <c r="AG7" s="6">
        <f>MAX('stable G-SBR'!$AM$4:$AM$93)</f>
        <v>1.4832898461538457</v>
      </c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</row>
    <row r="8" spans="1:44" x14ac:dyDescent="0.3">
      <c r="B8" t="s">
        <v>442</v>
      </c>
      <c r="C8" s="6">
        <f>DEVSQ('1-G-SBR'!$AL$4:$AL$93)</f>
        <v>6.1622613272693973</v>
      </c>
      <c r="E8" s="29" t="str">
        <f>A16</f>
        <v>Period 2</v>
      </c>
      <c r="F8" s="22">
        <f>C17</f>
        <v>13</v>
      </c>
      <c r="G8" s="20">
        <f>C15</f>
        <v>1.0369354508598092</v>
      </c>
      <c r="H8" s="20">
        <f>C16^2</f>
        <v>0.17464038872082291</v>
      </c>
      <c r="I8" s="29"/>
      <c r="J8" s="29"/>
      <c r="K8" s="29"/>
      <c r="L8" s="29"/>
      <c r="M8" s="29"/>
      <c r="N8" s="29"/>
      <c r="P8" s="29" t="s">
        <v>392</v>
      </c>
      <c r="Q8" s="29" t="s">
        <v>388</v>
      </c>
      <c r="R8" s="6">
        <f>AVERAGE('1-G-SBR'!$E$4:$E$56)</f>
        <v>27.234947901785716</v>
      </c>
      <c r="T8" s="29" t="str">
        <f>P14</f>
        <v>Period 2</v>
      </c>
      <c r="U8" s="22">
        <f>R15</f>
        <v>13</v>
      </c>
      <c r="V8" s="20">
        <f>R13</f>
        <v>29.064559804687494</v>
      </c>
      <c r="W8" s="20">
        <f>R14^2</f>
        <v>7.5309295835535748</v>
      </c>
      <c r="X8" s="29"/>
      <c r="Y8" s="29"/>
      <c r="Z8" s="29"/>
      <c r="AA8" s="29"/>
      <c r="AB8" s="29"/>
      <c r="AC8" s="29"/>
      <c r="AE8" s="29"/>
      <c r="AF8" s="29" t="s">
        <v>442</v>
      </c>
      <c r="AG8" s="6">
        <f>DEVSQ('stable G-SBR'!$AM$4:$AM$93)</f>
        <v>2.3571752761629807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</row>
    <row r="9" spans="1:44" x14ac:dyDescent="0.3">
      <c r="A9" t="s">
        <v>392</v>
      </c>
      <c r="B9" s="29" t="s">
        <v>388</v>
      </c>
      <c r="C9" s="6">
        <f>AVERAGE('1-G-SBR'!$AL$4:$AL$56)</f>
        <v>0.35895333591671702</v>
      </c>
      <c r="E9" s="8" t="s">
        <v>398</v>
      </c>
      <c r="F9" s="8"/>
      <c r="G9" s="8"/>
      <c r="H9" s="8">
        <f>((F7-1)*H7+(F8-1)*H8)/(F7+F8-2)</f>
        <v>0.19432310693703236</v>
      </c>
      <c r="I9" s="8">
        <f>ABS(G7-G8-I5)/SQRT(H9)</f>
        <v>1.5379988637442426</v>
      </c>
      <c r="J9" s="29"/>
      <c r="K9" s="29"/>
      <c r="L9" s="29"/>
      <c r="M9" s="29"/>
      <c r="N9" s="29"/>
      <c r="P9" s="29" t="s">
        <v>411</v>
      </c>
      <c r="Q9" s="29" t="s">
        <v>389</v>
      </c>
      <c r="R9" s="6">
        <f>STDEV('1-G-SBR'!$E$4:$E$56)</f>
        <v>4.1413341833566308</v>
      </c>
      <c r="T9" s="8" t="s">
        <v>398</v>
      </c>
      <c r="U9" s="8"/>
      <c r="V9" s="8"/>
      <c r="W9" s="8">
        <f>((U7-1)*W7+(U8-1)*W8)/(U7+U8-2)</f>
        <v>10.086459464613059</v>
      </c>
      <c r="X9" s="8">
        <f>ABS(V7-V8-X5)/SQRT(W9)</f>
        <v>0.57608902714799004</v>
      </c>
      <c r="Y9" s="29"/>
      <c r="Z9" s="29"/>
      <c r="AA9" s="29"/>
      <c r="AB9" s="29"/>
      <c r="AC9" s="29"/>
      <c r="AE9" s="29"/>
      <c r="AF9" s="29"/>
      <c r="AG9" s="29"/>
      <c r="AH9" s="29"/>
      <c r="AI9" s="29"/>
      <c r="AJ9" s="29"/>
      <c r="AK9" s="29" t="s">
        <v>400</v>
      </c>
      <c r="AL9" s="29"/>
      <c r="AM9" s="29"/>
      <c r="AN9" s="29"/>
      <c r="AO9" s="29"/>
      <c r="AP9" s="29"/>
      <c r="AQ9" s="29"/>
      <c r="AR9" s="29"/>
    </row>
    <row r="10" spans="1:44" x14ac:dyDescent="0.3">
      <c r="A10" t="s">
        <v>411</v>
      </c>
      <c r="B10" s="29" t="s">
        <v>389</v>
      </c>
      <c r="C10" s="6">
        <f>STDEV('1-G-SBR'!$AL$4:$AL$56)</f>
        <v>9.2207698949722056E-2</v>
      </c>
      <c r="E10" s="29"/>
      <c r="F10" s="29"/>
      <c r="G10" s="29"/>
      <c r="H10" s="29"/>
      <c r="I10" s="29"/>
      <c r="J10" s="29"/>
      <c r="K10" s="29"/>
      <c r="L10" s="29"/>
      <c r="M10" s="29"/>
      <c r="N10" s="29"/>
      <c r="P10" s="29"/>
      <c r="Q10" s="29" t="s">
        <v>200</v>
      </c>
      <c r="R10" s="22">
        <f>COUNT('1-G-SBR'!$E$4:$E$56)</f>
        <v>14</v>
      </c>
      <c r="T10" s="29"/>
      <c r="U10" s="29"/>
      <c r="V10" s="29"/>
      <c r="W10" s="29"/>
      <c r="X10" s="29"/>
      <c r="Y10" s="29"/>
      <c r="Z10" s="29"/>
      <c r="AA10" s="29"/>
      <c r="AB10" s="29"/>
      <c r="AC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</row>
    <row r="11" spans="1:44" ht="15" thickBot="1" x14ac:dyDescent="0.35">
      <c r="B11" s="29" t="s">
        <v>200</v>
      </c>
      <c r="C11" s="22">
        <f>COUNT('1-G-SBR'!$AL$4:$AL$56)</f>
        <v>14</v>
      </c>
      <c r="E11" s="29" t="s">
        <v>399</v>
      </c>
      <c r="F11" s="29"/>
      <c r="G11" s="29"/>
      <c r="H11" s="29"/>
      <c r="I11" s="29" t="s">
        <v>288</v>
      </c>
      <c r="J11" s="29">
        <v>0.05</v>
      </c>
      <c r="K11" s="29"/>
      <c r="L11" s="29"/>
      <c r="M11" s="29"/>
      <c r="N11" s="29"/>
      <c r="P11" s="29"/>
      <c r="Q11" s="29" t="s">
        <v>174</v>
      </c>
      <c r="R11" s="6">
        <f>MIN('1-G-SBR'!$E$4:$E$56)</f>
        <v>17.549936249999998</v>
      </c>
      <c r="T11" s="29" t="s">
        <v>399</v>
      </c>
      <c r="U11" s="29"/>
      <c r="V11" s="29"/>
      <c r="W11" s="29"/>
      <c r="X11" s="29" t="s">
        <v>288</v>
      </c>
      <c r="Y11" s="29">
        <v>0.05</v>
      </c>
      <c r="Z11" s="29"/>
      <c r="AA11" s="29"/>
      <c r="AB11" s="29"/>
      <c r="AC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</row>
    <row r="12" spans="1:44" ht="15" thickTop="1" x14ac:dyDescent="0.3">
      <c r="B12" s="29" t="s">
        <v>174</v>
      </c>
      <c r="C12" s="6">
        <f>MIN('1-G-SBR'!$AL$4:$AL$56)</f>
        <v>0.26867765836375629</v>
      </c>
      <c r="E12" s="191" t="s">
        <v>400</v>
      </c>
      <c r="F12" s="191" t="s">
        <v>401</v>
      </c>
      <c r="G12" s="191" t="s">
        <v>402</v>
      </c>
      <c r="H12" s="191" t="s">
        <v>205</v>
      </c>
      <c r="I12" s="191" t="s">
        <v>311</v>
      </c>
      <c r="J12" s="191" t="s">
        <v>403</v>
      </c>
      <c r="K12" s="191" t="s">
        <v>404</v>
      </c>
      <c r="L12" s="191" t="s">
        <v>405</v>
      </c>
      <c r="M12" s="191" t="s">
        <v>406</v>
      </c>
      <c r="N12" s="191" t="s">
        <v>407</v>
      </c>
      <c r="P12" s="29"/>
      <c r="Q12" s="29" t="s">
        <v>175</v>
      </c>
      <c r="R12" s="6">
        <f>MAX('1-G-SBR'!$E$4:$E$56)</f>
        <v>31.664441875000001</v>
      </c>
      <c r="T12" s="191" t="s">
        <v>400</v>
      </c>
      <c r="U12" s="191" t="s">
        <v>401</v>
      </c>
      <c r="V12" s="191" t="s">
        <v>402</v>
      </c>
      <c r="W12" s="191" t="s">
        <v>205</v>
      </c>
      <c r="X12" s="191" t="s">
        <v>311</v>
      </c>
      <c r="Y12" s="191" t="s">
        <v>403</v>
      </c>
      <c r="Z12" s="191" t="s">
        <v>404</v>
      </c>
      <c r="AA12" s="191" t="s">
        <v>405</v>
      </c>
      <c r="AB12" s="191" t="s">
        <v>406</v>
      </c>
      <c r="AC12" s="191" t="s">
        <v>407</v>
      </c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</row>
    <row r="13" spans="1:44" x14ac:dyDescent="0.3">
      <c r="B13" s="29" t="s">
        <v>175</v>
      </c>
      <c r="C13" s="6">
        <f>MAX('1-G-SBR'!$AL$4:$AL$56)</f>
        <v>0.61404372457308443</v>
      </c>
      <c r="E13" s="29" t="s">
        <v>408</v>
      </c>
      <c r="F13" s="29">
        <f>SQRT(H9*(1/F7+1/F8))</f>
        <v>0.16978855446384594</v>
      </c>
      <c r="G13" s="29">
        <f>(ABS(G7-G8-I5))/F13</f>
        <v>3.9930966906692107</v>
      </c>
      <c r="H13" s="29">
        <f>F7+F8-2</f>
        <v>25</v>
      </c>
      <c r="I13" s="29">
        <f>TDIST(G13,H13,1)</f>
        <v>2.5215244075185749E-4</v>
      </c>
      <c r="J13" s="29">
        <f>TINV(J11*2,H13)</f>
        <v>1.7081407612518986</v>
      </c>
      <c r="K13" s="29"/>
      <c r="L13" s="29"/>
      <c r="M13" s="183" t="str">
        <f>IF(I13&lt;J11,"yes","no")</f>
        <v>yes</v>
      </c>
      <c r="N13" s="29">
        <f>SQRT(G13^2/(G13^2+H13))</f>
        <v>0.62403699539610569</v>
      </c>
      <c r="P13" s="29" t="s">
        <v>391</v>
      </c>
      <c r="Q13" s="29" t="s">
        <v>388</v>
      </c>
      <c r="R13" s="6">
        <f>AVERAGE('1-G-SBR'!$E$57:$E$93)</f>
        <v>29.064559804687494</v>
      </c>
      <c r="T13" s="29" t="s">
        <v>408</v>
      </c>
      <c r="U13" s="29">
        <f>SQRT(W9*(1/U7+1/U8))</f>
        <v>1.2232509503807596</v>
      </c>
      <c r="V13" s="29">
        <f>(ABS(V7-V8-X5))/U13</f>
        <v>1.495696285649545</v>
      </c>
      <c r="W13" s="29">
        <f>U7+U8-2</f>
        <v>25</v>
      </c>
      <c r="X13" s="29">
        <f>TDIST(V13,W13,1)</f>
        <v>7.3625398478303211E-2</v>
      </c>
      <c r="Y13" s="29">
        <f>TINV(Y11*2,W13)</f>
        <v>1.7081407612518986</v>
      </c>
      <c r="Z13" s="29"/>
      <c r="AA13" s="29"/>
      <c r="AB13" s="183" t="str">
        <f>IF(X13&lt;Y11,"yes","no")</f>
        <v>no</v>
      </c>
      <c r="AC13" s="29">
        <f>SQRT(V13^2/(V13^2+W13))</f>
        <v>0.28659124799872854</v>
      </c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</row>
    <row r="14" spans="1:44" x14ac:dyDescent="0.3">
      <c r="B14" t="s">
        <v>442</v>
      </c>
      <c r="C14" s="6">
        <f>DEVSQ('1-G-SBR'!$AL$4:$AL$56)</f>
        <v>0.11052937669283447</v>
      </c>
      <c r="E14" s="29" t="s">
        <v>409</v>
      </c>
      <c r="F14" s="29">
        <f>F13</f>
        <v>0.16978855446384594</v>
      </c>
      <c r="G14" s="29">
        <f>G13</f>
        <v>3.9930966906692107</v>
      </c>
      <c r="H14" s="29">
        <f t="shared" ref="H14" si="0">H13</f>
        <v>25</v>
      </c>
      <c r="I14" s="29">
        <f>TDIST(G14,H14,2)</f>
        <v>5.0430488150371498E-4</v>
      </c>
      <c r="J14" s="29">
        <f>TINV(J11,H14)</f>
        <v>2.0595385527532977</v>
      </c>
      <c r="K14" s="29">
        <f>(G7-G8)-J14*F14</f>
        <v>-1.027668188677636</v>
      </c>
      <c r="L14" s="29">
        <f>(G7-G8)+J14*F14</f>
        <v>-0.32829604120854849</v>
      </c>
      <c r="M14" s="183" t="str">
        <f>IF(I14&lt;J11,"yes","no")</f>
        <v>yes</v>
      </c>
      <c r="N14" s="29">
        <f>N13</f>
        <v>0.62403699539610569</v>
      </c>
      <c r="P14" s="29" t="s">
        <v>412</v>
      </c>
      <c r="Q14" s="29" t="s">
        <v>389</v>
      </c>
      <c r="R14" s="6">
        <f>STDEV('1-G-SBR'!$E$57:$E$96)</f>
        <v>2.7442539211147308</v>
      </c>
      <c r="T14" s="29" t="s">
        <v>409</v>
      </c>
      <c r="U14" s="29">
        <f>U13</f>
        <v>1.2232509503807596</v>
      </c>
      <c r="V14" s="29">
        <f>V13</f>
        <v>1.495696285649545</v>
      </c>
      <c r="W14" s="29">
        <f t="shared" ref="W14" si="1">W13</f>
        <v>25</v>
      </c>
      <c r="X14" s="29">
        <f>TDIST(V14,W14,2)</f>
        <v>0.14725079695660642</v>
      </c>
      <c r="Y14" s="29">
        <f>TINV(Y11,W14)</f>
        <v>2.0595385527532977</v>
      </c>
      <c r="Z14" s="29">
        <f>(V7-V8)-Y14*U14</f>
        <v>-4.3489443949030635</v>
      </c>
      <c r="AA14" s="29">
        <f>(V7-V8)+Y14*U14</f>
        <v>0.68972058909950729</v>
      </c>
      <c r="AB14" s="183" t="str">
        <f>IF(X14&lt;Y11,"yes","no")</f>
        <v>no</v>
      </c>
      <c r="AC14" s="29">
        <f>AC13</f>
        <v>0.28659124799872854</v>
      </c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spans="1:44" x14ac:dyDescent="0.3">
      <c r="A15" s="29" t="s">
        <v>391</v>
      </c>
      <c r="B15" s="29" t="s">
        <v>388</v>
      </c>
      <c r="C15" s="6">
        <f>AVERAGE('1-G-SBR'!$AL$57:$AL$93)</f>
        <v>1.0369354508598092</v>
      </c>
      <c r="E15" s="8"/>
      <c r="F15" s="8"/>
      <c r="G15" s="8"/>
      <c r="H15" s="8"/>
      <c r="I15" s="8"/>
      <c r="J15" s="8"/>
      <c r="K15" s="8"/>
      <c r="L15" s="8"/>
      <c r="M15" s="8"/>
      <c r="N15" s="8"/>
      <c r="P15" s="29"/>
      <c r="Q15" s="29" t="s">
        <v>200</v>
      </c>
      <c r="R15" s="22">
        <f>COUNT('1-G-SBR'!$E$57:$E$90)</f>
        <v>13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</row>
    <row r="16" spans="1:44" ht="15" thickBot="1" x14ac:dyDescent="0.35">
      <c r="A16" s="29" t="s">
        <v>412</v>
      </c>
      <c r="B16" s="29" t="s">
        <v>389</v>
      </c>
      <c r="C16" s="6">
        <f>STDEV('1-G-SBR'!$AL$57:$AL$96)</f>
        <v>0.41789997454034727</v>
      </c>
      <c r="E16" s="29" t="s">
        <v>410</v>
      </c>
      <c r="F16" s="29"/>
      <c r="G16" s="29"/>
      <c r="H16" s="29"/>
      <c r="I16" s="29" t="s">
        <v>288</v>
      </c>
      <c r="J16" s="29">
        <f>J11</f>
        <v>0.05</v>
      </c>
      <c r="K16" s="29"/>
      <c r="L16" s="29"/>
      <c r="M16" s="29"/>
      <c r="N16" s="29"/>
      <c r="P16" s="29"/>
      <c r="Q16" s="29" t="s">
        <v>174</v>
      </c>
      <c r="R16" s="6">
        <f>MIN('1-G-SBR'!$E$57:$E$93)</f>
        <v>24.4</v>
      </c>
      <c r="T16" s="29" t="s">
        <v>410</v>
      </c>
      <c r="U16" s="29"/>
      <c r="V16" s="29"/>
      <c r="W16" s="29"/>
      <c r="X16" s="29" t="s">
        <v>288</v>
      </c>
      <c r="Y16" s="29">
        <f>Y11</f>
        <v>0.05</v>
      </c>
      <c r="Z16" s="29"/>
      <c r="AA16" s="29"/>
      <c r="AB16" s="29"/>
      <c r="AC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</row>
    <row r="17" spans="1:44" ht="15" thickTop="1" x14ac:dyDescent="0.3">
      <c r="A17" s="29"/>
      <c r="B17" s="29" t="s">
        <v>200</v>
      </c>
      <c r="C17" s="22">
        <f>COUNT('1-G-SBR'!$AL$57:$AL$90)</f>
        <v>13</v>
      </c>
      <c r="E17" s="191" t="s">
        <v>400</v>
      </c>
      <c r="F17" s="191" t="s">
        <v>401</v>
      </c>
      <c r="G17" s="191" t="s">
        <v>402</v>
      </c>
      <c r="H17" s="191" t="s">
        <v>205</v>
      </c>
      <c r="I17" s="191" t="s">
        <v>311</v>
      </c>
      <c r="J17" s="191" t="s">
        <v>403</v>
      </c>
      <c r="K17" s="191" t="s">
        <v>404</v>
      </c>
      <c r="L17" s="191" t="s">
        <v>405</v>
      </c>
      <c r="M17" s="191" t="s">
        <v>406</v>
      </c>
      <c r="N17" s="191" t="s">
        <v>407</v>
      </c>
      <c r="P17" s="29"/>
      <c r="Q17" s="29" t="s">
        <v>175</v>
      </c>
      <c r="R17" s="6">
        <f>MAX('1-G-SBR'!$E$57:$E$93)</f>
        <v>33.499074374999999</v>
      </c>
      <c r="T17" s="191" t="s">
        <v>400</v>
      </c>
      <c r="U17" s="191" t="s">
        <v>401</v>
      </c>
      <c r="V17" s="191" t="s">
        <v>402</v>
      </c>
      <c r="W17" s="191" t="s">
        <v>205</v>
      </c>
      <c r="X17" s="191" t="s">
        <v>311</v>
      </c>
      <c r="Y17" s="191" t="s">
        <v>403</v>
      </c>
      <c r="Z17" s="191" t="s">
        <v>404</v>
      </c>
      <c r="AA17" s="191" t="s">
        <v>405</v>
      </c>
      <c r="AB17" s="191" t="s">
        <v>406</v>
      </c>
      <c r="AC17" s="191" t="s">
        <v>407</v>
      </c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</row>
    <row r="18" spans="1:44" x14ac:dyDescent="0.3">
      <c r="A18" s="29"/>
      <c r="B18" s="29" t="s">
        <v>174</v>
      </c>
      <c r="C18" s="6">
        <f>MIN('1-G-SBR'!$AL$57:$AL$93)</f>
        <v>0.67222325581395337</v>
      </c>
      <c r="E18" s="29" t="s">
        <v>408</v>
      </c>
      <c r="F18" s="29">
        <f>SQRT(H7/F7+H8/F8)</f>
        <v>0.16915040532068154</v>
      </c>
      <c r="G18" s="29">
        <f>(ABS(G7-G8-I5))/F18</f>
        <v>4.0081613381756247</v>
      </c>
      <c r="H18" s="29">
        <f>(H7/F7+H8/F8)^2/((H7/F7)^2/(F7-1)+(H8/F8)^2/(F8-1))</f>
        <v>24.989006816341906</v>
      </c>
      <c r="I18" s="29" t="e">
        <f ca="1">[1]!T_DIST_RT(G18,H18)</f>
        <v>#NAME?</v>
      </c>
      <c r="J18" s="29" t="e">
        <f ca="1">[1]!T_INV(1-J16,H18)</f>
        <v>#NAME?</v>
      </c>
      <c r="K18" s="29"/>
      <c r="L18" s="29"/>
      <c r="M18" s="183" t="e">
        <f ca="1">IF(I18&lt;J16,"yes","no")</f>
        <v>#NAME?</v>
      </c>
      <c r="N18" s="29">
        <f>SQRT(G18^2/(G18^2+H18))</f>
        <v>0.62555504310445265</v>
      </c>
      <c r="T18" s="29" t="s">
        <v>408</v>
      </c>
      <c r="U18" s="29">
        <f>SQRT(W7/U7+W8/U8)</f>
        <v>1.2117178473810326</v>
      </c>
      <c r="V18" s="29">
        <f>(ABS(V7-V8-X5))/U18</f>
        <v>1.5099322889864513</v>
      </c>
      <c r="W18" s="29">
        <f>(W7/U7+W8/U8)^2/((W7/U7)^2/(U7-1)+(W8/U8)^2/(U8-1))</f>
        <v>24.289448488114211</v>
      </c>
      <c r="X18" s="29" t="e">
        <f ca="1">[1]!T_DIST_RT(V18,W18)</f>
        <v>#NAME?</v>
      </c>
      <c r="Y18" s="29" t="e">
        <f ca="1">[1]!T_INV(1-Y16,W18)</f>
        <v>#NAME?</v>
      </c>
      <c r="Z18" s="29"/>
      <c r="AA18" s="29"/>
      <c r="AB18" s="183" t="e">
        <f ca="1">IF(X18&lt;Y16,"yes","no")</f>
        <v>#NAME?</v>
      </c>
      <c r="AC18" s="29">
        <f>SQRT(V18^2/(V18^2+W18))</f>
        <v>0.29293216164461111</v>
      </c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</row>
    <row r="19" spans="1:44" x14ac:dyDescent="0.3">
      <c r="A19" s="29"/>
      <c r="B19" s="29" t="s">
        <v>175</v>
      </c>
      <c r="C19" s="6">
        <f>MAX('1-G-SBR'!$AL$57:$AL$93)</f>
        <v>1.7305707779809105</v>
      </c>
      <c r="E19" s="29" t="s">
        <v>409</v>
      </c>
      <c r="F19" s="29">
        <f>F18</f>
        <v>0.16915040532068154</v>
      </c>
      <c r="G19" s="29">
        <f t="shared" ref="G19:H19" si="2">G18</f>
        <v>4.0081613381756247</v>
      </c>
      <c r="H19" s="29">
        <f t="shared" si="2"/>
        <v>24.989006816341906</v>
      </c>
      <c r="I19" s="29" t="e">
        <f ca="1">[1]!T_DIST_2T(G19,H19)</f>
        <v>#NAME?</v>
      </c>
      <c r="J19" s="29" t="e">
        <f ca="1">[1]!T_INV_2T(J16,H19)</f>
        <v>#NAME?</v>
      </c>
      <c r="K19" s="29" t="e">
        <f ca="1">(G7-G8)-J19*F19</f>
        <v>#NAME?</v>
      </c>
      <c r="L19" s="29" t="e">
        <f ca="1">(G7-G8)+J19*F19</f>
        <v>#NAME?</v>
      </c>
      <c r="M19" s="183" t="e">
        <f ca="1">IF(I19&lt;J16,"yes","no")</f>
        <v>#NAME?</v>
      </c>
      <c r="N19" s="29">
        <f>N18</f>
        <v>0.62555504310445265</v>
      </c>
      <c r="T19" s="29" t="s">
        <v>409</v>
      </c>
      <c r="U19" s="29">
        <f>U18</f>
        <v>1.2117178473810326</v>
      </c>
      <c r="V19" s="29">
        <f t="shared" ref="V19:W19" si="3">V18</f>
        <v>1.5099322889864513</v>
      </c>
      <c r="W19" s="29">
        <f t="shared" si="3"/>
        <v>24.289448488114211</v>
      </c>
      <c r="X19" s="29" t="e">
        <f ca="1">[1]!T_DIST_2T(V19,W19)</f>
        <v>#NAME?</v>
      </c>
      <c r="Y19" s="29" t="e">
        <f ca="1">[1]!T_INV_2T(Y16,W19)</f>
        <v>#NAME?</v>
      </c>
      <c r="Z19" s="29" t="e">
        <f ca="1">(V7-V8)-Y19*U19</f>
        <v>#NAME?</v>
      </c>
      <c r="AA19" s="29" t="e">
        <f ca="1">(V7-V8)+Y19*U19</f>
        <v>#NAME?</v>
      </c>
      <c r="AB19" s="183" t="e">
        <f ca="1">IF(X19&lt;Y16,"yes","no")</f>
        <v>#NAME?</v>
      </c>
      <c r="AC19" s="29">
        <f>AC18</f>
        <v>0.29293216164461111</v>
      </c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</row>
    <row r="20" spans="1:44" x14ac:dyDescent="0.3">
      <c r="B20" t="s">
        <v>442</v>
      </c>
      <c r="C20" s="6">
        <f>DEVSQ('1-G-SBR'!$AL$57:$AL$93)</f>
        <v>2.619605830812338</v>
      </c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</row>
    <row r="21" spans="1:44" x14ac:dyDescent="0.3">
      <c r="C21" s="6"/>
      <c r="O21" s="227" t="s">
        <v>44</v>
      </c>
      <c r="P21" s="362" t="s">
        <v>415</v>
      </c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227" t="s">
        <v>481</v>
      </c>
      <c r="AE21" s="358" t="s">
        <v>457</v>
      </c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</row>
    <row r="22" spans="1:44" x14ac:dyDescent="0.3">
      <c r="P22" s="29" t="s">
        <v>387</v>
      </c>
      <c r="Q22" s="29" t="s">
        <v>388</v>
      </c>
      <c r="R22" s="6">
        <f>AVERAGE('G-Influent'!$T$4:$T$93)</f>
        <v>1.8355491870958116</v>
      </c>
      <c r="S22" s="29"/>
      <c r="T22" s="29" t="s">
        <v>393</v>
      </c>
      <c r="U22" s="29"/>
      <c r="V22" s="29"/>
      <c r="W22" s="29"/>
      <c r="X22" s="29"/>
      <c r="Y22" s="29"/>
      <c r="Z22" s="29"/>
      <c r="AA22" s="29"/>
      <c r="AB22" s="29"/>
      <c r="AC22" s="29"/>
      <c r="AE22" s="29" t="s">
        <v>387</v>
      </c>
      <c r="AF22" s="29" t="s">
        <v>388</v>
      </c>
      <c r="AG22" s="6">
        <f>AVERAGE('stable G-SBR'!$AP$4:$AP$93)</f>
        <v>4.7585714285714294E-2</v>
      </c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</row>
    <row r="23" spans="1:44" x14ac:dyDescent="0.3">
      <c r="P23" s="29" t="s">
        <v>438</v>
      </c>
      <c r="Q23" s="29" t="s">
        <v>389</v>
      </c>
      <c r="R23" s="6">
        <f>STDEV('G-Influent'!$T$4:$T$93)</f>
        <v>0.33851028283253887</v>
      </c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E23" s="29" t="s">
        <v>438</v>
      </c>
      <c r="AF23" s="29" t="s">
        <v>389</v>
      </c>
      <c r="AG23" s="6">
        <f>STDEV('stable G-SBR'!$AP$4:$AP$93)</f>
        <v>2.4612356555967864E-2</v>
      </c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</row>
    <row r="24" spans="1:44" ht="15" thickBot="1" x14ac:dyDescent="0.35">
      <c r="P24" s="29"/>
      <c r="Q24" s="29" t="s">
        <v>200</v>
      </c>
      <c r="R24" s="22">
        <f>COUNT('G-Influent'!$T$4:$T$93)</f>
        <v>72</v>
      </c>
      <c r="S24" s="29"/>
      <c r="T24" s="29" t="s">
        <v>394</v>
      </c>
      <c r="U24" s="29"/>
      <c r="V24" s="29"/>
      <c r="W24" s="29" t="s">
        <v>395</v>
      </c>
      <c r="X24" s="6">
        <v>0</v>
      </c>
      <c r="Y24" s="29"/>
      <c r="Z24" s="29"/>
      <c r="AA24" s="29"/>
      <c r="AB24" s="29"/>
      <c r="AC24" s="29"/>
      <c r="AE24" s="29"/>
      <c r="AF24" s="29" t="s">
        <v>200</v>
      </c>
      <c r="AG24" s="22">
        <f>COUNT('stable G-SBR'!$AP$4:$AP$93)</f>
        <v>7</v>
      </c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</row>
    <row r="25" spans="1:44" ht="15" thickTop="1" x14ac:dyDescent="0.3">
      <c r="P25" s="29"/>
      <c r="Q25" s="29" t="s">
        <v>174</v>
      </c>
      <c r="R25" s="6">
        <f>MIN('G-Influent'!$T$4:$T$93)</f>
        <v>0.79175207650022228</v>
      </c>
      <c r="S25" s="29"/>
      <c r="T25" s="191" t="s">
        <v>396</v>
      </c>
      <c r="U25" s="191" t="s">
        <v>290</v>
      </c>
      <c r="V25" s="191" t="s">
        <v>292</v>
      </c>
      <c r="W25" s="191" t="s">
        <v>293</v>
      </c>
      <c r="X25" s="191" t="s">
        <v>397</v>
      </c>
      <c r="Y25" s="29"/>
      <c r="Z25" s="29"/>
      <c r="AA25" s="29"/>
      <c r="AB25" s="29"/>
      <c r="AC25" s="29"/>
      <c r="AE25" s="29"/>
      <c r="AF25" s="29" t="s">
        <v>174</v>
      </c>
      <c r="AG25" s="6">
        <f>MIN('stable G-SBR'!$AP$4:$AP$93)</f>
        <v>2.1000000000000001E-2</v>
      </c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</row>
    <row r="26" spans="1:44" x14ac:dyDescent="0.3">
      <c r="P26" s="29"/>
      <c r="Q26" s="29" t="s">
        <v>175</v>
      </c>
      <c r="R26" s="6">
        <f>MAX('G-Influent'!$T$4:$T$93)</f>
        <v>3.1483087597571551</v>
      </c>
      <c r="S26" s="29"/>
      <c r="T26" s="29" t="str">
        <f>P28</f>
        <v>Period 1</v>
      </c>
      <c r="U26" s="22">
        <f>R29</f>
        <v>35</v>
      </c>
      <c r="V26" s="6">
        <f>R27</f>
        <v>1.9715781169604831</v>
      </c>
      <c r="W26" s="20">
        <f>R23^2</f>
        <v>0.11458921158336546</v>
      </c>
      <c r="X26" s="29"/>
      <c r="Y26" s="29"/>
      <c r="Z26" s="29"/>
      <c r="AA26" s="29"/>
      <c r="AB26" s="29"/>
      <c r="AC26" s="29"/>
      <c r="AE26" s="29"/>
      <c r="AF26" s="29" t="s">
        <v>175</v>
      </c>
      <c r="AG26" s="6">
        <f>MAX('stable G-SBR'!$AP$4:$AP$93)</f>
        <v>8.8999999999999996E-2</v>
      </c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</row>
    <row r="27" spans="1:44" x14ac:dyDescent="0.3">
      <c r="P27" s="29" t="s">
        <v>392</v>
      </c>
      <c r="Q27" s="29" t="s">
        <v>388</v>
      </c>
      <c r="R27" s="6">
        <f>AVERAGE('G-Influent'!$T$4:$T$56)</f>
        <v>1.9715781169604831</v>
      </c>
      <c r="S27" s="29"/>
      <c r="T27" s="29" t="str">
        <f>P33</f>
        <v>Period 2</v>
      </c>
      <c r="U27" s="22">
        <f>R34</f>
        <v>34</v>
      </c>
      <c r="V27" s="20">
        <f>R32</f>
        <v>1.7068731723589592</v>
      </c>
      <c r="W27" s="20">
        <f>R33^2</f>
        <v>8.5425624617084139E-2</v>
      </c>
      <c r="X27" s="29"/>
      <c r="Y27" s="29"/>
      <c r="Z27" s="29"/>
      <c r="AA27" s="29"/>
      <c r="AB27" s="29"/>
      <c r="AC27" s="29"/>
      <c r="AE27" s="29"/>
      <c r="AF27" s="29" t="s">
        <v>442</v>
      </c>
      <c r="AG27" s="6">
        <f>DEVSQ('stable G-SBR'!$AP$4:$AP$93)</f>
        <v>3.6346085714285708E-3</v>
      </c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</row>
    <row r="28" spans="1:44" x14ac:dyDescent="0.3">
      <c r="P28" s="29" t="s">
        <v>411</v>
      </c>
      <c r="Q28" s="29" t="s">
        <v>389</v>
      </c>
      <c r="R28" s="6">
        <f>STDEV('G-Influent'!$T$4:$T$56)</f>
        <v>0.3343231957852808</v>
      </c>
      <c r="S28" s="29"/>
      <c r="T28" s="8" t="s">
        <v>398</v>
      </c>
      <c r="U28" s="8"/>
      <c r="V28" s="8"/>
      <c r="W28" s="8">
        <f>((U26-1)*W26+(U27-1)*W27)/(U26+U27-2)</f>
        <v>0.10022505680892839</v>
      </c>
      <c r="X28" s="8">
        <f>ABS(V26-V27-X24)/SQRT(W28)</f>
        <v>0.83613017768729259</v>
      </c>
      <c r="Y28" s="29"/>
      <c r="Z28" s="29"/>
      <c r="AA28" s="29"/>
      <c r="AB28" s="29"/>
      <c r="AC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</row>
    <row r="29" spans="1:44" x14ac:dyDescent="0.3">
      <c r="P29" s="29"/>
      <c r="Q29" s="29" t="s">
        <v>200</v>
      </c>
      <c r="R29" s="22">
        <f>COUNT('G-Influent'!$T$4:$T$56)</f>
        <v>35</v>
      </c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</row>
    <row r="30" spans="1:44" ht="15" thickBot="1" x14ac:dyDescent="0.35">
      <c r="P30" s="29"/>
      <c r="Q30" s="29" t="s">
        <v>174</v>
      </c>
      <c r="R30" s="6">
        <f>MIN('G-Influent'!$T$4:$T$56)</f>
        <v>1.5730820364432627</v>
      </c>
      <c r="S30" s="29"/>
      <c r="T30" s="29" t="s">
        <v>399</v>
      </c>
      <c r="U30" s="29"/>
      <c r="V30" s="29"/>
      <c r="W30" s="29"/>
      <c r="X30" s="29" t="s">
        <v>288</v>
      </c>
      <c r="Y30" s="29">
        <v>0.05</v>
      </c>
      <c r="Z30" s="29"/>
      <c r="AA30" s="29"/>
      <c r="AB30" s="29"/>
      <c r="AC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</row>
    <row r="31" spans="1:44" ht="15" thickTop="1" x14ac:dyDescent="0.3">
      <c r="P31" s="29"/>
      <c r="Q31" s="29" t="s">
        <v>175</v>
      </c>
      <c r="R31" s="6">
        <f>MAX('G-Influent'!$T$4:$T$56)</f>
        <v>3.1483087597571551</v>
      </c>
      <c r="S31" s="29"/>
      <c r="T31" s="191" t="s">
        <v>400</v>
      </c>
      <c r="U31" s="191" t="s">
        <v>401</v>
      </c>
      <c r="V31" s="191" t="s">
        <v>402</v>
      </c>
      <c r="W31" s="191" t="s">
        <v>205</v>
      </c>
      <c r="X31" s="191" t="s">
        <v>311</v>
      </c>
      <c r="Y31" s="191" t="s">
        <v>403</v>
      </c>
      <c r="Z31" s="191" t="s">
        <v>404</v>
      </c>
      <c r="AA31" s="191" t="s">
        <v>405</v>
      </c>
      <c r="AB31" s="191" t="s">
        <v>406</v>
      </c>
      <c r="AC31" s="191" t="s">
        <v>407</v>
      </c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</row>
    <row r="32" spans="1:44" x14ac:dyDescent="0.3">
      <c r="P32" s="29" t="s">
        <v>391</v>
      </c>
      <c r="Q32" s="29" t="s">
        <v>388</v>
      </c>
      <c r="R32" s="6">
        <f>AVERAGE('G-Influent'!$T$57:$T$93)</f>
        <v>1.7068731723589592</v>
      </c>
      <c r="S32" s="29"/>
      <c r="T32" s="29" t="s">
        <v>408</v>
      </c>
      <c r="U32" s="29">
        <f>SQRT(W28*(1/U26+1/U27))</f>
        <v>7.6232334610593963E-2</v>
      </c>
      <c r="V32" s="29">
        <f>(ABS(V26-V27-X24))/U32</f>
        <v>3.472344720303739</v>
      </c>
      <c r="W32" s="29">
        <f>U26+U27-2</f>
        <v>67</v>
      </c>
      <c r="X32" s="29">
        <f>TDIST(V32,W32,1)</f>
        <v>4.5413910927442734E-4</v>
      </c>
      <c r="Y32" s="29">
        <f>TINV(Y30*2,W32)</f>
        <v>1.6679161141074239</v>
      </c>
      <c r="Z32" s="29"/>
      <c r="AA32" s="29"/>
      <c r="AB32" s="183" t="str">
        <f>IF(X32&lt;Y30,"yes","no")</f>
        <v>yes</v>
      </c>
      <c r="AC32" s="29">
        <f>SQRT(V32^2/(V32^2+W32))</f>
        <v>0.39052800253650655</v>
      </c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</row>
    <row r="33" spans="15:44" x14ac:dyDescent="0.3">
      <c r="P33" s="29" t="s">
        <v>412</v>
      </c>
      <c r="Q33" s="29" t="s">
        <v>389</v>
      </c>
      <c r="R33" s="6">
        <f>STDEV('G-Influent'!$T$57:$T$96)</f>
        <v>0.29227662345299554</v>
      </c>
      <c r="S33" s="29"/>
      <c r="T33" s="29" t="s">
        <v>409</v>
      </c>
      <c r="U33" s="29">
        <f>U32</f>
        <v>7.6232334610593963E-2</v>
      </c>
      <c r="V33" s="29">
        <f>V32</f>
        <v>3.472344720303739</v>
      </c>
      <c r="W33" s="29">
        <f t="shared" ref="W33" si="4">W32</f>
        <v>67</v>
      </c>
      <c r="X33" s="29">
        <f>TDIST(V33,W33,2)</f>
        <v>9.0827821854885468E-4</v>
      </c>
      <c r="Y33" s="29">
        <f>TINV(Y30,W33)</f>
        <v>1.9960083540252964</v>
      </c>
      <c r="Z33" s="29">
        <f>(V26-V27)-Y33*U33</f>
        <v>0.11254456787192665</v>
      </c>
      <c r="AA33" s="29">
        <f>(V26-V27)+Y33*U33</f>
        <v>0.4168653213311212</v>
      </c>
      <c r="AB33" s="183" t="str">
        <f>IF(X33&lt;Y30,"yes","no")</f>
        <v>yes</v>
      </c>
      <c r="AC33" s="29">
        <f>AC32</f>
        <v>0.39052800253650655</v>
      </c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</row>
    <row r="34" spans="15:44" x14ac:dyDescent="0.3">
      <c r="P34" s="29"/>
      <c r="Q34" s="29" t="s">
        <v>200</v>
      </c>
      <c r="R34" s="22">
        <f>COUNT('G-Influent'!$T$57:$T$90)</f>
        <v>34</v>
      </c>
      <c r="S34" s="29"/>
      <c r="T34" s="8"/>
      <c r="U34" s="8"/>
      <c r="V34" s="8"/>
      <c r="W34" s="8"/>
      <c r="X34" s="8"/>
      <c r="Y34" s="8"/>
      <c r="Z34" s="8"/>
      <c r="AA34" s="8"/>
      <c r="AB34" s="8"/>
      <c r="AC34" s="8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</row>
    <row r="35" spans="15:44" ht="15" thickBot="1" x14ac:dyDescent="0.35">
      <c r="P35" s="29"/>
      <c r="Q35" s="29" t="s">
        <v>174</v>
      </c>
      <c r="R35" s="6">
        <f>MIN('G-Influent'!$T$57:$T$93)</f>
        <v>0.79175207650022228</v>
      </c>
      <c r="S35" s="29"/>
      <c r="T35" s="29" t="s">
        <v>410</v>
      </c>
      <c r="U35" s="29"/>
      <c r="V35" s="29"/>
      <c r="W35" s="29"/>
      <c r="X35" s="29" t="s">
        <v>288</v>
      </c>
      <c r="Y35" s="29">
        <f>Y30</f>
        <v>0.05</v>
      </c>
      <c r="Z35" s="29"/>
      <c r="AA35" s="29"/>
      <c r="AB35" s="29"/>
      <c r="AC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</row>
    <row r="36" spans="15:44" ht="15" thickTop="1" x14ac:dyDescent="0.3">
      <c r="P36" s="29"/>
      <c r="Q36" s="29" t="s">
        <v>175</v>
      </c>
      <c r="R36" s="6">
        <f>MAX('G-Influent'!$T$57:$T$93)</f>
        <v>2.1246840088069803</v>
      </c>
      <c r="S36" s="29"/>
      <c r="T36" s="191" t="s">
        <v>400</v>
      </c>
      <c r="U36" s="191" t="s">
        <v>401</v>
      </c>
      <c r="V36" s="191" t="s">
        <v>402</v>
      </c>
      <c r="W36" s="191" t="s">
        <v>205</v>
      </c>
      <c r="X36" s="191" t="s">
        <v>311</v>
      </c>
      <c r="Y36" s="191" t="s">
        <v>403</v>
      </c>
      <c r="Z36" s="191" t="s">
        <v>404</v>
      </c>
      <c r="AA36" s="191" t="s">
        <v>405</v>
      </c>
      <c r="AB36" s="191" t="s">
        <v>406</v>
      </c>
      <c r="AC36" s="191" t="s">
        <v>407</v>
      </c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</row>
    <row r="37" spans="15:44" x14ac:dyDescent="0.3">
      <c r="P37" s="29"/>
      <c r="Q37" s="29"/>
      <c r="R37" s="29"/>
      <c r="S37" s="29"/>
      <c r="T37" s="29" t="s">
        <v>408</v>
      </c>
      <c r="U37" s="29">
        <f>SQRT(W26/U26+W27/U27)</f>
        <v>7.6069020270417259E-2</v>
      </c>
      <c r="V37" s="29">
        <f>(ABS(V26-V27-X24))/U37</f>
        <v>3.4797995775484694</v>
      </c>
      <c r="W37" s="29">
        <f>(W26/U26+W27/U27)^2/((W26/U26)^2/(U26-1)+(W27/U27)^2/(U27-1))</f>
        <v>66.100097598519824</v>
      </c>
      <c r="X37" s="29" t="e">
        <f ca="1">[1]!T_DIST_RT(V37,W37)</f>
        <v>#NAME?</v>
      </c>
      <c r="Y37" s="29" t="e">
        <f ca="1">[1]!T_INV(1-Y35,W37)</f>
        <v>#NAME?</v>
      </c>
      <c r="Z37" s="29"/>
      <c r="AA37" s="29"/>
      <c r="AB37" s="183" t="e">
        <f ca="1">IF(X37&lt;Y35,"yes","no")</f>
        <v>#NAME?</v>
      </c>
      <c r="AC37" s="29">
        <f>SQRT(V37^2/(V37^2+W37))</f>
        <v>0.39348264262916149</v>
      </c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</row>
    <row r="38" spans="15:44" x14ac:dyDescent="0.3">
      <c r="P38" s="29"/>
      <c r="Q38" s="29"/>
      <c r="R38" s="29"/>
      <c r="S38" s="29"/>
      <c r="T38" s="29" t="s">
        <v>409</v>
      </c>
      <c r="U38" s="29">
        <f>U37</f>
        <v>7.6069020270417259E-2</v>
      </c>
      <c r="V38" s="29">
        <f t="shared" ref="V38:W38" si="5">V37</f>
        <v>3.4797995775484694</v>
      </c>
      <c r="W38" s="29">
        <f t="shared" si="5"/>
        <v>66.100097598519824</v>
      </c>
      <c r="X38" s="29" t="e">
        <f ca="1">[1]!T_DIST_2T(V38,W38)</f>
        <v>#NAME?</v>
      </c>
      <c r="Y38" s="29" t="e">
        <f ca="1">[1]!T_INV_2T(Y35,W38)</f>
        <v>#NAME?</v>
      </c>
      <c r="Z38" s="29" t="e">
        <f ca="1">(V26-V27)-Y38*U38</f>
        <v>#NAME?</v>
      </c>
      <c r="AA38" s="29" t="e">
        <f ca="1">(V26-V27)+Y38*U38</f>
        <v>#NAME?</v>
      </c>
      <c r="AB38" s="183" t="e">
        <f ca="1">IF(X38&lt;Y35,"yes","no")</f>
        <v>#NAME?</v>
      </c>
      <c r="AC38" s="29">
        <f>AC37</f>
        <v>0.39348264262916149</v>
      </c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</row>
    <row r="39" spans="15:44" x14ac:dyDescent="0.3"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</row>
    <row r="40" spans="15:44" x14ac:dyDescent="0.3">
      <c r="O40" s="227" t="s">
        <v>91</v>
      </c>
      <c r="P40" s="362" t="s">
        <v>416</v>
      </c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227" t="s">
        <v>484</v>
      </c>
      <c r="AE40" s="358" t="s">
        <v>458</v>
      </c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</row>
    <row r="41" spans="15:44" x14ac:dyDescent="0.3">
      <c r="P41" s="29" t="s">
        <v>387</v>
      </c>
      <c r="Q41" s="29" t="s">
        <v>388</v>
      </c>
      <c r="R41" s="22">
        <f>AVERAGE('G-Influent'!$F$4:$F$93)</f>
        <v>2423.6875</v>
      </c>
      <c r="S41" s="29"/>
      <c r="T41" s="29" t="s">
        <v>393</v>
      </c>
      <c r="U41" s="29"/>
      <c r="V41" s="29"/>
      <c r="W41" s="29"/>
      <c r="X41" s="29"/>
      <c r="Y41" s="29"/>
      <c r="Z41" s="29"/>
      <c r="AA41" s="29"/>
      <c r="AB41" s="29"/>
      <c r="AC41" s="29"/>
      <c r="AE41" s="29" t="s">
        <v>387</v>
      </c>
      <c r="AF41" s="29" t="s">
        <v>388</v>
      </c>
      <c r="AG41" s="6">
        <f>AVERAGE('stable G-SBR'!$W$4:$W$93)</f>
        <v>356.7936666666667</v>
      </c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</row>
    <row r="42" spans="15:44" x14ac:dyDescent="0.3">
      <c r="P42" s="29" t="s">
        <v>438</v>
      </c>
      <c r="Q42" s="29" t="s">
        <v>389</v>
      </c>
      <c r="R42" s="22">
        <f>STDEV('G-Influent'!$F$4:$F$93)</f>
        <v>530.1321947647175</v>
      </c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E42" s="29" t="s">
        <v>438</v>
      </c>
      <c r="AF42" s="29" t="s">
        <v>389</v>
      </c>
      <c r="AG42" s="6">
        <f>STDEV('stable G-SBR'!$W$4:$W$93)</f>
        <v>326.24109166839861</v>
      </c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</row>
    <row r="43" spans="15:44" ht="15" thickBot="1" x14ac:dyDescent="0.35">
      <c r="P43" s="29"/>
      <c r="Q43" s="29" t="s">
        <v>200</v>
      </c>
      <c r="R43" s="22">
        <f>COUNT('G-Influent'!$F$4:$F$93)</f>
        <v>72</v>
      </c>
      <c r="S43" s="29"/>
      <c r="T43" s="29" t="s">
        <v>394</v>
      </c>
      <c r="U43" s="29"/>
      <c r="V43" s="29"/>
      <c r="W43" s="29" t="s">
        <v>395</v>
      </c>
      <c r="X43" s="6">
        <v>0</v>
      </c>
      <c r="Y43" s="29"/>
      <c r="Z43" s="29"/>
      <c r="AA43" s="29"/>
      <c r="AB43" s="29"/>
      <c r="AC43" s="29"/>
      <c r="AE43" s="29"/>
      <c r="AF43" s="29" t="s">
        <v>200</v>
      </c>
      <c r="AG43" s="22">
        <f>COUNT('stable G-SBR'!$W$4:$W$93)</f>
        <v>30</v>
      </c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</row>
    <row r="44" spans="15:44" ht="15" thickTop="1" x14ac:dyDescent="0.3">
      <c r="P44" s="29"/>
      <c r="Q44" s="29" t="s">
        <v>174</v>
      </c>
      <c r="R44" s="22">
        <f>MIN('G-Influent'!$F$4:$F$93)</f>
        <v>954</v>
      </c>
      <c r="S44" s="29"/>
      <c r="T44" s="191" t="s">
        <v>396</v>
      </c>
      <c r="U44" s="191" t="s">
        <v>290</v>
      </c>
      <c r="V44" s="191" t="s">
        <v>292</v>
      </c>
      <c r="W44" s="191" t="s">
        <v>293</v>
      </c>
      <c r="X44" s="191" t="s">
        <v>397</v>
      </c>
      <c r="Y44" s="29"/>
      <c r="Z44" s="29"/>
      <c r="AA44" s="29"/>
      <c r="AB44" s="29"/>
      <c r="AC44" s="29"/>
      <c r="AE44" s="29"/>
      <c r="AF44" s="29" t="s">
        <v>174</v>
      </c>
      <c r="AG44" s="6">
        <f>MIN('stable G-SBR'!$W$4:$W$93)</f>
        <v>51.12</v>
      </c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</row>
    <row r="45" spans="15:44" x14ac:dyDescent="0.3">
      <c r="P45" s="29"/>
      <c r="Q45" s="29" t="s">
        <v>175</v>
      </c>
      <c r="R45" s="22">
        <f>MAX('G-Influent'!$F$4:$F$93)</f>
        <v>4356</v>
      </c>
      <c r="S45" s="29"/>
      <c r="T45" s="29" t="str">
        <f>P47</f>
        <v>Period 1</v>
      </c>
      <c r="U45" s="22">
        <f>R48</f>
        <v>35</v>
      </c>
      <c r="V45" s="6">
        <f>R46</f>
        <v>2664.1285714285714</v>
      </c>
      <c r="W45" s="20">
        <f>R42^2</f>
        <v>281040.14392605639</v>
      </c>
      <c r="X45" s="29"/>
      <c r="Y45" s="29"/>
      <c r="Z45" s="29"/>
      <c r="AA45" s="29"/>
      <c r="AB45" s="29"/>
      <c r="AC45" s="29"/>
      <c r="AE45" s="29"/>
      <c r="AF45" s="29" t="s">
        <v>175</v>
      </c>
      <c r="AG45" s="6">
        <f>MAX('stable G-SBR'!$W$4:$W$93)</f>
        <v>1187</v>
      </c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</row>
    <row r="46" spans="15:44" x14ac:dyDescent="0.3">
      <c r="P46" s="29" t="s">
        <v>392</v>
      </c>
      <c r="Q46" s="29" t="s">
        <v>388</v>
      </c>
      <c r="R46" s="22">
        <f>AVERAGE('G-Influent'!$F$4:$F$56)</f>
        <v>2664.1285714285714</v>
      </c>
      <c r="S46" s="29"/>
      <c r="T46" s="29" t="str">
        <f>P52</f>
        <v>Period 2</v>
      </c>
      <c r="U46" s="22">
        <f>R53</f>
        <v>34</v>
      </c>
      <c r="V46" s="20">
        <f>R51</f>
        <v>2196.2432432432433</v>
      </c>
      <c r="W46" s="20">
        <f>R52^2</f>
        <v>159257.189189189</v>
      </c>
      <c r="X46" s="29"/>
      <c r="Y46" s="29"/>
      <c r="Z46" s="29"/>
      <c r="AA46" s="29"/>
      <c r="AB46" s="29"/>
      <c r="AC46" s="29"/>
      <c r="AE46" s="29"/>
      <c r="AF46" s="29" t="s">
        <v>442</v>
      </c>
      <c r="AG46" s="6">
        <f>DEVSQ('stable G-SBR'!$W$4:$W$93)</f>
        <v>3086564.2468966679</v>
      </c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</row>
    <row r="47" spans="15:44" x14ac:dyDescent="0.3">
      <c r="P47" s="29" t="s">
        <v>411</v>
      </c>
      <c r="Q47" s="29" t="s">
        <v>389</v>
      </c>
      <c r="R47" s="22">
        <f>STDEV('G-Influent'!$F$4:$F$56)</f>
        <v>549.95004242173081</v>
      </c>
      <c r="S47" s="29"/>
      <c r="T47" s="8" t="s">
        <v>398</v>
      </c>
      <c r="U47" s="8"/>
      <c r="V47" s="8"/>
      <c r="W47" s="8">
        <f>((U45-1)*W45+(U46-1)*W46)/(U45+U46-2)</f>
        <v>221057.49457804707</v>
      </c>
      <c r="X47" s="8">
        <f>ABS(V45-V46-X43)/SQRT(W47)</f>
        <v>0.99514600796630004</v>
      </c>
      <c r="Y47" s="29"/>
      <c r="Z47" s="29"/>
      <c r="AA47" s="29"/>
      <c r="AB47" s="29"/>
      <c r="AC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</row>
    <row r="48" spans="15:44" x14ac:dyDescent="0.3">
      <c r="P48" s="29"/>
      <c r="Q48" s="29" t="s">
        <v>200</v>
      </c>
      <c r="R48" s="22">
        <f>COUNT('G-Influent'!$F$4:$F$56)</f>
        <v>35</v>
      </c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</row>
    <row r="49" spans="15:44" ht="15" thickBot="1" x14ac:dyDescent="0.35">
      <c r="P49" s="29"/>
      <c r="Q49" s="29" t="s">
        <v>174</v>
      </c>
      <c r="R49" s="22">
        <f>MIN('G-Influent'!$F$4:$F$56)</f>
        <v>1633.5</v>
      </c>
      <c r="S49" s="29"/>
      <c r="T49" s="29" t="s">
        <v>399</v>
      </c>
      <c r="U49" s="29"/>
      <c r="V49" s="29"/>
      <c r="W49" s="29"/>
      <c r="X49" s="29" t="s">
        <v>288</v>
      </c>
      <c r="Y49" s="29">
        <v>0.05</v>
      </c>
      <c r="Z49" s="29"/>
      <c r="AA49" s="29"/>
      <c r="AB49" s="29"/>
      <c r="AC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</row>
    <row r="50" spans="15:44" ht="15" thickTop="1" x14ac:dyDescent="0.3">
      <c r="P50" s="29"/>
      <c r="Q50" s="29" t="s">
        <v>175</v>
      </c>
      <c r="R50" s="22">
        <f>MAX('G-Influent'!$F$4:$F$56)</f>
        <v>4356</v>
      </c>
      <c r="S50" s="29"/>
      <c r="T50" s="191" t="s">
        <v>400</v>
      </c>
      <c r="U50" s="191" t="s">
        <v>401</v>
      </c>
      <c r="V50" s="191" t="s">
        <v>402</v>
      </c>
      <c r="W50" s="191" t="s">
        <v>205</v>
      </c>
      <c r="X50" s="191" t="s">
        <v>311</v>
      </c>
      <c r="Y50" s="191" t="s">
        <v>403</v>
      </c>
      <c r="Z50" s="191" t="s">
        <v>404</v>
      </c>
      <c r="AA50" s="191" t="s">
        <v>405</v>
      </c>
      <c r="AB50" s="191" t="s">
        <v>406</v>
      </c>
      <c r="AC50" s="191" t="s">
        <v>407</v>
      </c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</row>
    <row r="51" spans="15:44" x14ac:dyDescent="0.3">
      <c r="P51" s="29" t="s">
        <v>391</v>
      </c>
      <c r="Q51" s="29" t="s">
        <v>388</v>
      </c>
      <c r="R51" s="22">
        <f>AVERAGE('G-Influent'!$F$57:$F$93)</f>
        <v>2196.2432432432433</v>
      </c>
      <c r="S51" s="29"/>
      <c r="T51" s="29" t="s">
        <v>408</v>
      </c>
      <c r="U51" s="29">
        <f>SQRT(W47*(1/U45+1/U46))</f>
        <v>113.21492584247456</v>
      </c>
      <c r="V51" s="29">
        <f>(ABS(V45-V46-X43))/U51</f>
        <v>4.1327177022253778</v>
      </c>
      <c r="W51" s="29">
        <f>U45+U46-2</f>
        <v>67</v>
      </c>
      <c r="X51" s="29">
        <f>TDIST(V51,W51,1)</f>
        <v>5.0910801678152809E-5</v>
      </c>
      <c r="Y51" s="29">
        <f>TINV(Y49*2,W51)</f>
        <v>1.6679161141074239</v>
      </c>
      <c r="Z51" s="29"/>
      <c r="AA51" s="29"/>
      <c r="AB51" s="183" t="str">
        <f>IF(X51&lt;Y49,"yes","no")</f>
        <v>yes</v>
      </c>
      <c r="AC51" s="29">
        <f>SQRT(V51^2/(V51^2+W51))</f>
        <v>0.45070362719544788</v>
      </c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</row>
    <row r="52" spans="15:44" x14ac:dyDescent="0.3">
      <c r="P52" s="29" t="s">
        <v>412</v>
      </c>
      <c r="Q52" s="29" t="s">
        <v>389</v>
      </c>
      <c r="R52" s="22">
        <f>STDEV('G-Influent'!$F$57:$F$96)</f>
        <v>399.07040630594122</v>
      </c>
      <c r="S52" s="29"/>
      <c r="T52" s="29" t="s">
        <v>409</v>
      </c>
      <c r="U52" s="29">
        <f>U51</f>
        <v>113.21492584247456</v>
      </c>
      <c r="V52" s="29">
        <f>V51</f>
        <v>4.1327177022253778</v>
      </c>
      <c r="W52" s="29">
        <f t="shared" ref="W52" si="6">W51</f>
        <v>67</v>
      </c>
      <c r="X52" s="29">
        <f>TDIST(V52,W52,2)</f>
        <v>1.0182160335630562E-4</v>
      </c>
      <c r="Y52" s="29">
        <f>TINV(Y49,W52)</f>
        <v>1.9960083540252964</v>
      </c>
      <c r="Z52" s="29">
        <f>(V45-V46)-Y52*U52</f>
        <v>241.9073904033944</v>
      </c>
      <c r="AA52" s="29">
        <f>(V45-V46)+Y52*U52</f>
        <v>693.86326596726167</v>
      </c>
      <c r="AB52" s="183" t="str">
        <f>IF(X52&lt;Y49,"yes","no")</f>
        <v>yes</v>
      </c>
      <c r="AC52" s="29">
        <f>AC51</f>
        <v>0.45070362719544788</v>
      </c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</row>
    <row r="53" spans="15:44" x14ac:dyDescent="0.3">
      <c r="P53" s="29"/>
      <c r="Q53" s="29" t="s">
        <v>200</v>
      </c>
      <c r="R53" s="22">
        <f>COUNT('G-Influent'!$F$57:$F$90)</f>
        <v>34</v>
      </c>
      <c r="S53" s="29"/>
      <c r="T53" s="8"/>
      <c r="U53" s="8"/>
      <c r="V53" s="8"/>
      <c r="W53" s="8"/>
      <c r="X53" s="8"/>
      <c r="Y53" s="8"/>
      <c r="Z53" s="8"/>
      <c r="AA53" s="8"/>
      <c r="AB53" s="8"/>
      <c r="AC53" s="8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</row>
    <row r="54" spans="15:44" ht="15" thickBot="1" x14ac:dyDescent="0.35">
      <c r="P54" s="29"/>
      <c r="Q54" s="29" t="s">
        <v>174</v>
      </c>
      <c r="R54" s="22">
        <f>MIN('G-Influent'!$F$57:$F$93)</f>
        <v>954</v>
      </c>
      <c r="S54" s="29"/>
      <c r="T54" s="29" t="s">
        <v>410</v>
      </c>
      <c r="U54" s="29"/>
      <c r="V54" s="29"/>
      <c r="W54" s="29"/>
      <c r="X54" s="29" t="s">
        <v>288</v>
      </c>
      <c r="Y54" s="29">
        <f>Y49</f>
        <v>0.05</v>
      </c>
      <c r="Z54" s="29"/>
      <c r="AA54" s="29"/>
      <c r="AB54" s="29"/>
      <c r="AC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</row>
    <row r="55" spans="15:44" ht="15" thickTop="1" x14ac:dyDescent="0.3">
      <c r="P55" s="29"/>
      <c r="Q55" s="29" t="s">
        <v>175</v>
      </c>
      <c r="R55" s="22">
        <f>MAX('G-Influent'!$F$57:$F$93)</f>
        <v>2704.5</v>
      </c>
      <c r="S55" s="29"/>
      <c r="T55" s="191" t="s">
        <v>400</v>
      </c>
      <c r="U55" s="191" t="s">
        <v>401</v>
      </c>
      <c r="V55" s="191" t="s">
        <v>402</v>
      </c>
      <c r="W55" s="191" t="s">
        <v>205</v>
      </c>
      <c r="X55" s="191" t="s">
        <v>311</v>
      </c>
      <c r="Y55" s="191" t="s">
        <v>403</v>
      </c>
      <c r="Z55" s="191" t="s">
        <v>404</v>
      </c>
      <c r="AA55" s="191" t="s">
        <v>405</v>
      </c>
      <c r="AB55" s="191" t="s">
        <v>406</v>
      </c>
      <c r="AC55" s="191" t="s">
        <v>407</v>
      </c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</row>
    <row r="56" spans="15:44" x14ac:dyDescent="0.3">
      <c r="P56" s="29"/>
      <c r="Q56" s="29"/>
      <c r="R56" s="29"/>
      <c r="S56" s="29"/>
      <c r="T56" s="29" t="s">
        <v>408</v>
      </c>
      <c r="U56" s="29">
        <f>SQRT(W45/U45+W46/U46)</f>
        <v>112.75528091419906</v>
      </c>
      <c r="V56" s="29">
        <f>(ABS(V45-V46-X43))/U56</f>
        <v>4.1495646535736501</v>
      </c>
      <c r="W56" s="29">
        <f>(W45/U45+W46/U46)^2/((W45/U45)^2/(U45-1)+(W46/U46)^2/(U46-1))</f>
        <v>63.110410285071808</v>
      </c>
      <c r="X56" s="29" t="e">
        <f ca="1">[1]!T_DIST_RT(V56,W56)</f>
        <v>#NAME?</v>
      </c>
      <c r="Y56" s="29" t="e">
        <f ca="1">[1]!T_INV(1-Y54,W56)</f>
        <v>#NAME?</v>
      </c>
      <c r="Z56" s="29"/>
      <c r="AA56" s="29"/>
      <c r="AB56" s="183" t="e">
        <f ca="1">IF(X56&lt;Y54,"yes","no")</f>
        <v>#NAME?</v>
      </c>
      <c r="AC56" s="29">
        <f>SQRT(V56^2/(V56^2+W56))</f>
        <v>0.46298354105517187</v>
      </c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</row>
    <row r="57" spans="15:44" x14ac:dyDescent="0.3">
      <c r="P57" s="29"/>
      <c r="Q57" s="29"/>
      <c r="R57" s="29"/>
      <c r="S57" s="29"/>
      <c r="T57" s="29" t="s">
        <v>409</v>
      </c>
      <c r="U57" s="29">
        <f>U56</f>
        <v>112.75528091419906</v>
      </c>
      <c r="V57" s="29">
        <f t="shared" ref="V57:W57" si="7">V56</f>
        <v>4.1495646535736501</v>
      </c>
      <c r="W57" s="29">
        <f t="shared" si="7"/>
        <v>63.110410285071808</v>
      </c>
      <c r="X57" s="29" t="e">
        <f ca="1">[1]!T_DIST_2T(V57,W57)</f>
        <v>#NAME?</v>
      </c>
      <c r="Y57" s="29" t="e">
        <f ca="1">[1]!T_INV_2T(Y54,W57)</f>
        <v>#NAME?</v>
      </c>
      <c r="Z57" s="29" t="e">
        <f ca="1">(V45-V46)-Y57*U57</f>
        <v>#NAME?</v>
      </c>
      <c r="AA57" s="29" t="e">
        <f ca="1">(V45-V46)+Y57*U57</f>
        <v>#NAME?</v>
      </c>
      <c r="AB57" s="183" t="e">
        <f ca="1">IF(X57&lt;Y54,"yes","no")</f>
        <v>#NAME?</v>
      </c>
      <c r="AC57" s="29">
        <f>AC56</f>
        <v>0.46298354105517187</v>
      </c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</row>
    <row r="58" spans="15:44" x14ac:dyDescent="0.3"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</row>
    <row r="59" spans="15:44" x14ac:dyDescent="0.3">
      <c r="O59" s="227" t="s">
        <v>420</v>
      </c>
      <c r="P59" s="362" t="s">
        <v>417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227" t="s">
        <v>474</v>
      </c>
      <c r="AE59" s="358" t="s">
        <v>459</v>
      </c>
      <c r="AF59" s="358"/>
      <c r="AG59" s="358"/>
      <c r="AH59" s="358"/>
      <c r="AI59" s="358"/>
      <c r="AJ59" s="358"/>
      <c r="AK59" s="358"/>
      <c r="AL59" s="358"/>
      <c r="AM59" s="358"/>
      <c r="AN59" s="358"/>
      <c r="AO59" s="358"/>
      <c r="AP59" s="358"/>
      <c r="AQ59" s="358"/>
      <c r="AR59" s="358"/>
    </row>
    <row r="60" spans="15:44" x14ac:dyDescent="0.3">
      <c r="P60" s="29" t="s">
        <v>387</v>
      </c>
      <c r="Q60" s="29" t="s">
        <v>388</v>
      </c>
      <c r="R60" s="22">
        <f>AVERAGE('G-Influent'!$I$4:$I$93)</f>
        <v>331.59999999999997</v>
      </c>
      <c r="S60" s="29"/>
      <c r="T60" s="29" t="s">
        <v>393</v>
      </c>
      <c r="U60" s="29"/>
      <c r="V60" s="29"/>
      <c r="W60" s="29"/>
      <c r="X60" s="29"/>
      <c r="Y60" s="29"/>
      <c r="Z60" s="29"/>
      <c r="AA60" s="29"/>
      <c r="AB60" s="29"/>
      <c r="AC60" s="29"/>
      <c r="AE60" s="29" t="s">
        <v>387</v>
      </c>
      <c r="AF60" s="29" t="s">
        <v>388</v>
      </c>
      <c r="AG60" s="6">
        <f>AVERAGE('stable G-SBR'!$X$4:$X$93)</f>
        <v>15.807416666666668</v>
      </c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</row>
    <row r="61" spans="15:44" x14ac:dyDescent="0.3">
      <c r="P61" s="29" t="s">
        <v>438</v>
      </c>
      <c r="Q61" s="29" t="s">
        <v>389</v>
      </c>
      <c r="R61" s="22">
        <f>STDEV('G-Influent'!$I$4:$I$93)</f>
        <v>256.99202911822601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E61" s="29" t="s">
        <v>438</v>
      </c>
      <c r="AF61" s="29" t="s">
        <v>389</v>
      </c>
      <c r="AG61" s="6">
        <f>STDEV('stable G-SBR'!$X$4:$X$93)</f>
        <v>24.054071926913977</v>
      </c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</row>
    <row r="62" spans="15:44" ht="15" thickBot="1" x14ac:dyDescent="0.35">
      <c r="P62" s="29"/>
      <c r="Q62" s="29" t="s">
        <v>200</v>
      </c>
      <c r="R62" s="22">
        <f>COUNT('G-Influent'!$I$4:$I$93)</f>
        <v>67</v>
      </c>
      <c r="S62" s="29"/>
      <c r="T62" s="29" t="s">
        <v>394</v>
      </c>
      <c r="U62" s="29"/>
      <c r="V62" s="29"/>
      <c r="W62" s="29" t="s">
        <v>395</v>
      </c>
      <c r="X62" s="6">
        <v>0</v>
      </c>
      <c r="Y62" s="29"/>
      <c r="Z62" s="29"/>
      <c r="AA62" s="29"/>
      <c r="AB62" s="29"/>
      <c r="AC62" s="29"/>
      <c r="AE62" s="29"/>
      <c r="AF62" s="29" t="s">
        <v>200</v>
      </c>
      <c r="AG62" s="22">
        <f>COUNT('stable G-SBR'!$X$4:$X$93)</f>
        <v>12</v>
      </c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</row>
    <row r="63" spans="15:44" ht="15" thickTop="1" x14ac:dyDescent="0.3">
      <c r="P63" s="29"/>
      <c r="Q63" s="29" t="s">
        <v>174</v>
      </c>
      <c r="R63" s="22">
        <f>MIN('G-Influent'!$I$4:$I$93)</f>
        <v>88</v>
      </c>
      <c r="S63" s="29"/>
      <c r="T63" s="191" t="s">
        <v>396</v>
      </c>
      <c r="U63" s="191" t="s">
        <v>290</v>
      </c>
      <c r="V63" s="191" t="s">
        <v>292</v>
      </c>
      <c r="W63" s="191" t="s">
        <v>293</v>
      </c>
      <c r="X63" s="191" t="s">
        <v>397</v>
      </c>
      <c r="Y63" s="29"/>
      <c r="Z63" s="29"/>
      <c r="AA63" s="29"/>
      <c r="AB63" s="29"/>
      <c r="AC63" s="29"/>
      <c r="AE63" s="29"/>
      <c r="AF63" s="29" t="s">
        <v>174</v>
      </c>
      <c r="AG63" s="6">
        <f>MIN('stable G-SBR'!$X$4:$X$93)</f>
        <v>8.0000000000000002E-3</v>
      </c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</row>
    <row r="64" spans="15:44" x14ac:dyDescent="0.3">
      <c r="P64" s="29"/>
      <c r="Q64" s="29" t="s">
        <v>175</v>
      </c>
      <c r="R64" s="22">
        <f>MAX('G-Influent'!$I$4:$I$93)</f>
        <v>1270</v>
      </c>
      <c r="S64" s="29"/>
      <c r="T64" s="29" t="str">
        <f>P66</f>
        <v>Period 1</v>
      </c>
      <c r="U64" s="22">
        <f>R67</f>
        <v>35</v>
      </c>
      <c r="V64" s="6">
        <f>R65</f>
        <v>432.72571428571428</v>
      </c>
      <c r="W64" s="20">
        <f>R61^2</f>
        <v>66044.903030303132</v>
      </c>
      <c r="X64" s="29"/>
      <c r="Y64" s="29"/>
      <c r="Z64" s="29"/>
      <c r="AA64" s="29"/>
      <c r="AB64" s="29"/>
      <c r="AC64" s="29"/>
      <c r="AE64" s="29"/>
      <c r="AF64" s="29" t="s">
        <v>175</v>
      </c>
      <c r="AG64" s="6">
        <f>MAX('stable G-SBR'!$X$4:$X$93)</f>
        <v>82.146000000000001</v>
      </c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5:44" x14ac:dyDescent="0.3">
      <c r="P65" s="29" t="s">
        <v>392</v>
      </c>
      <c r="Q65" s="29" t="s">
        <v>388</v>
      </c>
      <c r="R65" s="22">
        <f>AVERAGE('G-Influent'!$I$4:$I$56)</f>
        <v>432.72571428571428</v>
      </c>
      <c r="S65" s="29"/>
      <c r="T65" s="29" t="str">
        <f>P71</f>
        <v>Period 2</v>
      </c>
      <c r="U65" s="22">
        <f>R72</f>
        <v>32</v>
      </c>
      <c r="V65" s="20">
        <f>R70</f>
        <v>220.99375000000003</v>
      </c>
      <c r="W65" s="20">
        <f>R71^2</f>
        <v>12433.346411290309</v>
      </c>
      <c r="X65" s="29"/>
      <c r="Y65" s="29"/>
      <c r="Z65" s="29"/>
      <c r="AA65" s="29"/>
      <c r="AB65" s="29"/>
      <c r="AC65" s="29"/>
      <c r="AE65" s="29"/>
      <c r="AF65" s="29" t="s">
        <v>442</v>
      </c>
      <c r="AG65" s="6">
        <f>DEVSQ('stable G-SBR'!$X$4:$X$93)</f>
        <v>6364.5821389166676</v>
      </c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5:44" x14ac:dyDescent="0.3">
      <c r="P66" s="29" t="s">
        <v>411</v>
      </c>
      <c r="Q66" s="29" t="s">
        <v>389</v>
      </c>
      <c r="R66" s="22">
        <f>STDEV('G-Influent'!$I$4:$I$56)</f>
        <v>307.94029916322989</v>
      </c>
      <c r="S66" s="29"/>
      <c r="T66" s="8" t="s">
        <v>398</v>
      </c>
      <c r="U66" s="8"/>
      <c r="V66" s="8"/>
      <c r="W66" s="8">
        <f>((U64-1)*W64+(U65-1)*W65)/(U64+U65-2)</f>
        <v>40476.314488927783</v>
      </c>
      <c r="X66" s="8">
        <f>ABS(V64-V65-X62)/SQRT(W66)</f>
        <v>1.0524123740484714</v>
      </c>
      <c r="Y66" s="29"/>
      <c r="Z66" s="29"/>
      <c r="AA66" s="29"/>
      <c r="AB66" s="29"/>
      <c r="AC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5:44" x14ac:dyDescent="0.3">
      <c r="P67" s="29"/>
      <c r="Q67" s="29" t="s">
        <v>200</v>
      </c>
      <c r="R67" s="22">
        <f>COUNT('G-Influent'!$I$4:$I$56)</f>
        <v>35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5:44" ht="15" thickBot="1" x14ac:dyDescent="0.35">
      <c r="P68" s="29"/>
      <c r="Q68" s="29" t="s">
        <v>174</v>
      </c>
      <c r="R68" s="22">
        <f>MIN('G-Influent'!$I$4:$I$56)</f>
        <v>128</v>
      </c>
      <c r="S68" s="29"/>
      <c r="T68" s="29" t="s">
        <v>399</v>
      </c>
      <c r="U68" s="29"/>
      <c r="V68" s="29"/>
      <c r="W68" s="29"/>
      <c r="X68" s="29" t="s">
        <v>288</v>
      </c>
      <c r="Y68" s="29">
        <v>0.05</v>
      </c>
      <c r="Z68" s="29"/>
      <c r="AA68" s="29"/>
      <c r="AB68" s="29"/>
      <c r="AC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5:44" ht="15" thickTop="1" x14ac:dyDescent="0.3">
      <c r="P69" s="29"/>
      <c r="Q69" s="29" t="s">
        <v>175</v>
      </c>
      <c r="R69" s="22">
        <f>MAX('G-Influent'!$I$4:$I$56)</f>
        <v>1270</v>
      </c>
      <c r="S69" s="29"/>
      <c r="T69" s="191" t="s">
        <v>400</v>
      </c>
      <c r="U69" s="191" t="s">
        <v>401</v>
      </c>
      <c r="V69" s="191" t="s">
        <v>402</v>
      </c>
      <c r="W69" s="191" t="s">
        <v>205</v>
      </c>
      <c r="X69" s="191" t="s">
        <v>311</v>
      </c>
      <c r="Y69" s="191" t="s">
        <v>403</v>
      </c>
      <c r="Z69" s="191" t="s">
        <v>404</v>
      </c>
      <c r="AA69" s="191" t="s">
        <v>405</v>
      </c>
      <c r="AB69" s="191" t="s">
        <v>406</v>
      </c>
      <c r="AC69" s="191" t="s">
        <v>407</v>
      </c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5:44" x14ac:dyDescent="0.3">
      <c r="P70" s="29" t="s">
        <v>391</v>
      </c>
      <c r="Q70" s="29" t="s">
        <v>388</v>
      </c>
      <c r="R70" s="22">
        <f>AVERAGE('G-Influent'!$I$57:$I$93)</f>
        <v>220.99375000000003</v>
      </c>
      <c r="S70" s="29"/>
      <c r="T70" s="29" t="s">
        <v>408</v>
      </c>
      <c r="U70" s="29">
        <f>SQRT(W66*(1/U64+1/U65))</f>
        <v>49.207224632507703</v>
      </c>
      <c r="V70" s="29">
        <f>(ABS(V64-V65-X62))/U70</f>
        <v>4.3028633674624688</v>
      </c>
      <c r="W70" s="29">
        <f>U64+U65-2</f>
        <v>65</v>
      </c>
      <c r="X70" s="29">
        <f>TDIST(V70,W70,1)</f>
        <v>2.8966761044327764E-5</v>
      </c>
      <c r="Y70" s="29">
        <f>TINV(Y68*2,W70)</f>
        <v>1.6686359758475535</v>
      </c>
      <c r="Z70" s="29"/>
      <c r="AA70" s="29"/>
      <c r="AB70" s="183" t="str">
        <f>IF(X70&lt;Y68,"yes","no")</f>
        <v>yes</v>
      </c>
      <c r="AC70" s="29">
        <f>SQRT(V70^2/(V70^2+W70))</f>
        <v>0.47084316121923081</v>
      </c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5:44" x14ac:dyDescent="0.3">
      <c r="P71" s="29" t="s">
        <v>412</v>
      </c>
      <c r="Q71" s="29" t="s">
        <v>389</v>
      </c>
      <c r="R71" s="22">
        <f>STDEV('G-Influent'!$I$57:$I$96)</f>
        <v>111.50491653416144</v>
      </c>
      <c r="S71" s="29"/>
      <c r="T71" s="29" t="s">
        <v>409</v>
      </c>
      <c r="U71" s="29">
        <f>U70</f>
        <v>49.207224632507703</v>
      </c>
      <c r="V71" s="29">
        <f>V70</f>
        <v>4.3028633674624688</v>
      </c>
      <c r="W71" s="29">
        <f t="shared" ref="W71" si="8">W70</f>
        <v>65</v>
      </c>
      <c r="X71" s="29">
        <f>TDIST(V71,W71,2)</f>
        <v>5.7933522088655527E-5</v>
      </c>
      <c r="Y71" s="29">
        <f>TINV(Y68,W71)</f>
        <v>1.9971379083920051</v>
      </c>
      <c r="Z71" s="29">
        <f>(V64-V65)-Y71*U71</f>
        <v>113.45835060537226</v>
      </c>
      <c r="AA71" s="29">
        <f>(V64-V65)+Y71*U71</f>
        <v>310.00557796605619</v>
      </c>
      <c r="AB71" s="183" t="str">
        <f>IF(X71&lt;Y68,"yes","no")</f>
        <v>yes</v>
      </c>
      <c r="AC71" s="29">
        <f>AC70</f>
        <v>0.47084316121923081</v>
      </c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5:44" x14ac:dyDescent="0.3">
      <c r="P72" s="29"/>
      <c r="Q72" s="29" t="s">
        <v>200</v>
      </c>
      <c r="R72" s="22">
        <f>COUNT('G-Influent'!$I$57:$I$90)</f>
        <v>32</v>
      </c>
      <c r="S72" s="29"/>
      <c r="T72" s="8"/>
      <c r="U72" s="8"/>
      <c r="V72" s="8"/>
      <c r="W72" s="8"/>
      <c r="X72" s="8"/>
      <c r="Y72" s="8"/>
      <c r="Z72" s="8"/>
      <c r="AA72" s="8"/>
      <c r="AB72" s="8"/>
      <c r="AC72" s="8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5:44" ht="15" thickBot="1" x14ac:dyDescent="0.35">
      <c r="P73" s="29"/>
      <c r="Q73" s="29" t="s">
        <v>174</v>
      </c>
      <c r="R73" s="22">
        <f>MIN('G-Influent'!$I$57:$I$93)</f>
        <v>88</v>
      </c>
      <c r="S73" s="29"/>
      <c r="T73" s="29" t="s">
        <v>410</v>
      </c>
      <c r="U73" s="29"/>
      <c r="V73" s="29"/>
      <c r="W73" s="29"/>
      <c r="X73" s="29" t="s">
        <v>288</v>
      </c>
      <c r="Y73" s="29">
        <f>Y68</f>
        <v>0.05</v>
      </c>
      <c r="Z73" s="29"/>
      <c r="AA73" s="29"/>
      <c r="AB73" s="29"/>
      <c r="AC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5:44" ht="15" thickTop="1" x14ac:dyDescent="0.3">
      <c r="P74" s="29"/>
      <c r="Q74" s="29" t="s">
        <v>175</v>
      </c>
      <c r="R74" s="22">
        <f>MAX('G-Influent'!$I$57:$I$93)</f>
        <v>554</v>
      </c>
      <c r="S74" s="29"/>
      <c r="T74" s="191" t="s">
        <v>400</v>
      </c>
      <c r="U74" s="191" t="s">
        <v>401</v>
      </c>
      <c r="V74" s="191" t="s">
        <v>402</v>
      </c>
      <c r="W74" s="191" t="s">
        <v>205</v>
      </c>
      <c r="X74" s="191" t="s">
        <v>311</v>
      </c>
      <c r="Y74" s="191" t="s">
        <v>403</v>
      </c>
      <c r="Z74" s="191" t="s">
        <v>404</v>
      </c>
      <c r="AA74" s="191" t="s">
        <v>405</v>
      </c>
      <c r="AB74" s="191" t="s">
        <v>406</v>
      </c>
      <c r="AC74" s="191" t="s">
        <v>407</v>
      </c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5:44" x14ac:dyDescent="0.3">
      <c r="P75" s="29"/>
      <c r="Q75" s="29"/>
      <c r="R75" s="29"/>
      <c r="S75" s="29"/>
      <c r="T75" s="29" t="s">
        <v>408</v>
      </c>
      <c r="U75" s="29">
        <f>SQRT(W64/U64+W65/U65)</f>
        <v>47.702613186177281</v>
      </c>
      <c r="V75" s="29">
        <f>(ABS(V64-V65-X62))/U75</f>
        <v>4.4385820847874955</v>
      </c>
      <c r="W75" s="29">
        <f>(W64/U64+W65/U65)^2/((W64/U64)^2/(U64-1)+(W65/U65)^2/(U65-1))</f>
        <v>47.246097004444621</v>
      </c>
      <c r="X75" s="29" t="e">
        <f ca="1">[1]!T_DIST_RT(V75,W75)</f>
        <v>#NAME?</v>
      </c>
      <c r="Y75" s="29" t="e">
        <f ca="1">[1]!T_INV(1-Y73,W75)</f>
        <v>#NAME?</v>
      </c>
      <c r="Z75" s="29"/>
      <c r="AA75" s="29"/>
      <c r="AB75" s="183" t="e">
        <f ca="1">IF(X75&lt;Y73,"yes","no")</f>
        <v>#NAME?</v>
      </c>
      <c r="AC75" s="29">
        <f>SQRT(V75^2/(V75^2+W75))</f>
        <v>0.54247327270323087</v>
      </c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5:44" x14ac:dyDescent="0.3">
      <c r="P76" s="29"/>
      <c r="Q76" s="29"/>
      <c r="R76" s="29"/>
      <c r="S76" s="29"/>
      <c r="T76" s="29" t="s">
        <v>409</v>
      </c>
      <c r="U76" s="29">
        <f>U75</f>
        <v>47.702613186177281</v>
      </c>
      <c r="V76" s="29">
        <f t="shared" ref="V76:W76" si="9">V75</f>
        <v>4.4385820847874955</v>
      </c>
      <c r="W76" s="29">
        <f t="shared" si="9"/>
        <v>47.246097004444621</v>
      </c>
      <c r="X76" s="29" t="e">
        <f ca="1">[1]!T_DIST_2T(V76,W76)</f>
        <v>#NAME?</v>
      </c>
      <c r="Y76" s="29" t="e">
        <f ca="1">[1]!T_INV_2T(Y73,W76)</f>
        <v>#NAME?</v>
      </c>
      <c r="Z76" s="29" t="e">
        <f ca="1">(V64-V65)-Y76*U76</f>
        <v>#NAME?</v>
      </c>
      <c r="AA76" s="29" t="e">
        <f ca="1">(V64-V65)+Y76*U76</f>
        <v>#NAME?</v>
      </c>
      <c r="AB76" s="183" t="e">
        <f ca="1">IF(X76&lt;Y73,"yes","no")</f>
        <v>#NAME?</v>
      </c>
      <c r="AC76" s="29">
        <f>AC75</f>
        <v>0.54247327270323087</v>
      </c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5:44" x14ac:dyDescent="0.3"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5:44" x14ac:dyDescent="0.3">
      <c r="O78" s="227" t="s">
        <v>92</v>
      </c>
      <c r="P78" s="362" t="s">
        <v>418</v>
      </c>
      <c r="Q78" s="362"/>
      <c r="R78" s="362"/>
      <c r="S78" s="362"/>
      <c r="T78" s="362"/>
      <c r="U78" s="362"/>
      <c r="V78" s="362"/>
      <c r="W78" s="362"/>
      <c r="X78" s="362"/>
      <c r="Y78" s="362"/>
      <c r="Z78" s="362"/>
      <c r="AA78" s="362"/>
      <c r="AB78" s="362"/>
      <c r="AC78" s="362"/>
      <c r="AD78" s="227" t="s">
        <v>475</v>
      </c>
      <c r="AE78" s="358" t="s">
        <v>460</v>
      </c>
      <c r="AF78" s="358"/>
      <c r="AG78" s="358"/>
      <c r="AH78" s="358"/>
      <c r="AI78" s="358"/>
      <c r="AJ78" s="358"/>
      <c r="AK78" s="358"/>
      <c r="AL78" s="358"/>
      <c r="AM78" s="358"/>
      <c r="AN78" s="358"/>
      <c r="AO78" s="358"/>
      <c r="AP78" s="358"/>
      <c r="AQ78" s="358"/>
      <c r="AR78" s="358"/>
    </row>
    <row r="79" spans="15:44" x14ac:dyDescent="0.3">
      <c r="P79" s="29" t="s">
        <v>387</v>
      </c>
      <c r="Q79" s="29" t="s">
        <v>388</v>
      </c>
      <c r="R79" s="6">
        <f>AVERAGE('G-Influent'!$H$4:$H$93)</f>
        <v>8.4026666666666667</v>
      </c>
      <c r="S79" s="29"/>
      <c r="T79" s="29" t="s">
        <v>393</v>
      </c>
      <c r="U79" s="29"/>
      <c r="V79" s="29"/>
      <c r="W79" s="29"/>
      <c r="X79" s="29"/>
      <c r="Y79" s="29"/>
      <c r="Z79" s="29"/>
      <c r="AA79" s="29"/>
      <c r="AB79" s="29"/>
      <c r="AC79" s="29"/>
      <c r="AE79" s="29" t="s">
        <v>387</v>
      </c>
      <c r="AF79" s="29" t="s">
        <v>388</v>
      </c>
      <c r="AG79" s="6">
        <f>AVERAGE('stable G-SBR'!$Y$4:$Y$93)</f>
        <v>22.700916666666668</v>
      </c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5:44" x14ac:dyDescent="0.3">
      <c r="P80" s="29" t="s">
        <v>438</v>
      </c>
      <c r="Q80" s="29" t="s">
        <v>389</v>
      </c>
      <c r="R80" s="6">
        <f>STDEV('G-Influent'!$H$4:$H$93)</f>
        <v>0.12517375311329634</v>
      </c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E80" s="29" t="s">
        <v>438</v>
      </c>
      <c r="AF80" s="29" t="s">
        <v>389</v>
      </c>
      <c r="AG80" s="6">
        <f>STDEV('stable G-SBR'!$Y$4:$Y$93)</f>
        <v>20.132025569670795</v>
      </c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6:44" ht="15" thickBot="1" x14ac:dyDescent="0.35">
      <c r="P81" s="29"/>
      <c r="Q81" s="29" t="s">
        <v>200</v>
      </c>
      <c r="R81" s="22">
        <f>COUNT('G-Influent'!$H$4:$H$93)</f>
        <v>75</v>
      </c>
      <c r="S81" s="29"/>
      <c r="T81" s="29" t="s">
        <v>394</v>
      </c>
      <c r="U81" s="29"/>
      <c r="V81" s="29"/>
      <c r="W81" s="29" t="s">
        <v>395</v>
      </c>
      <c r="X81" s="6">
        <v>0</v>
      </c>
      <c r="Y81" s="29"/>
      <c r="Z81" s="29"/>
      <c r="AA81" s="29"/>
      <c r="AB81" s="29"/>
      <c r="AC81" s="29"/>
      <c r="AE81" s="29"/>
      <c r="AF81" s="29" t="s">
        <v>200</v>
      </c>
      <c r="AG81" s="22">
        <f>COUNT('stable G-SBR'!$Y$4:$Y$93)</f>
        <v>12</v>
      </c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6:44" ht="15" thickTop="1" x14ac:dyDescent="0.3">
      <c r="P82" s="29"/>
      <c r="Q82" s="29" t="s">
        <v>174</v>
      </c>
      <c r="R82" s="6">
        <f>MIN('G-Influent'!$H$4:$H$93)</f>
        <v>7.8</v>
      </c>
      <c r="S82" s="29"/>
      <c r="T82" s="191" t="s">
        <v>396</v>
      </c>
      <c r="U82" s="191" t="s">
        <v>290</v>
      </c>
      <c r="V82" s="191" t="s">
        <v>292</v>
      </c>
      <c r="W82" s="191" t="s">
        <v>293</v>
      </c>
      <c r="X82" s="191" t="s">
        <v>397</v>
      </c>
      <c r="Y82" s="29"/>
      <c r="Z82" s="29"/>
      <c r="AA82" s="29"/>
      <c r="AB82" s="29"/>
      <c r="AC82" s="29"/>
      <c r="AE82" s="29"/>
      <c r="AF82" s="29" t="s">
        <v>174</v>
      </c>
      <c r="AG82" s="6">
        <f>MIN('stable G-SBR'!$Y$4:$Y$93)</f>
        <v>0.59400000000000008</v>
      </c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6:44" x14ac:dyDescent="0.3">
      <c r="P83" s="29"/>
      <c r="Q83" s="29" t="s">
        <v>175</v>
      </c>
      <c r="R83" s="6">
        <f>MAX('G-Influent'!$H$4:$H$93)</f>
        <v>8.6</v>
      </c>
      <c r="S83" s="29"/>
      <c r="T83" s="29" t="str">
        <f>P85</f>
        <v>Period 1</v>
      </c>
      <c r="U83" s="22">
        <f>R86</f>
        <v>38</v>
      </c>
      <c r="V83" s="6">
        <f>R84</f>
        <v>8.4</v>
      </c>
      <c r="W83" s="20">
        <f>R80^2</f>
        <v>1.5668468468468467E-2</v>
      </c>
      <c r="X83" s="29"/>
      <c r="Y83" s="29"/>
      <c r="Z83" s="29"/>
      <c r="AA83" s="29"/>
      <c r="AB83" s="29"/>
      <c r="AC83" s="29"/>
      <c r="AE83" s="29"/>
      <c r="AF83" s="29" t="s">
        <v>175</v>
      </c>
      <c r="AG83" s="6">
        <f>MAX('stable G-SBR'!$Y$4:$Y$93)</f>
        <v>76.954999999999998</v>
      </c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6:44" x14ac:dyDescent="0.3">
      <c r="P84" s="29" t="s">
        <v>392</v>
      </c>
      <c r="Q84" s="29" t="s">
        <v>388</v>
      </c>
      <c r="R84" s="6">
        <f>AVERAGE('G-Influent'!$H$4:$H$56)</f>
        <v>8.4</v>
      </c>
      <c r="S84" s="29"/>
      <c r="T84" s="29" t="str">
        <f>P90</f>
        <v>Period 2</v>
      </c>
      <c r="U84" s="22">
        <f>R91</f>
        <v>34</v>
      </c>
      <c r="V84" s="20">
        <f>R89</f>
        <v>8.4054054054054053</v>
      </c>
      <c r="W84" s="20">
        <f>R90^2</f>
        <v>1.4414414414414418E-2</v>
      </c>
      <c r="X84" s="29"/>
      <c r="Y84" s="29"/>
      <c r="Z84" s="29"/>
      <c r="AA84" s="29"/>
      <c r="AB84" s="29"/>
      <c r="AC84" s="29"/>
      <c r="AE84" s="29"/>
      <c r="AF84" s="29" t="s">
        <v>442</v>
      </c>
      <c r="AG84" s="6">
        <f>DEVSQ('stable G-SBR'!$Y$4:$Y$93)</f>
        <v>4458.282988916666</v>
      </c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6:44" x14ac:dyDescent="0.3">
      <c r="P85" s="29" t="s">
        <v>411</v>
      </c>
      <c r="Q85" s="29" t="s">
        <v>389</v>
      </c>
      <c r="R85" s="6">
        <f>STDEV('G-Influent'!$H$4:$H$56)</f>
        <v>0.13151918984428579</v>
      </c>
      <c r="S85" s="29"/>
      <c r="T85" s="8" t="s">
        <v>398</v>
      </c>
      <c r="U85" s="8"/>
      <c r="V85" s="8"/>
      <c r="W85" s="8">
        <f>((U83-1)*W83+(U84-1)*W84)/(U83+U84-2)</f>
        <v>1.5077271557271558E-2</v>
      </c>
      <c r="X85" s="8">
        <f>ABS(V83-V84-X81)/SQRT(W85)</f>
        <v>4.4021708440516567E-2</v>
      </c>
      <c r="Y85" s="29"/>
      <c r="Z85" s="29"/>
      <c r="AA85" s="29"/>
      <c r="AB85" s="29"/>
      <c r="AC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6:44" x14ac:dyDescent="0.3">
      <c r="P86" s="29"/>
      <c r="Q86" s="29" t="s">
        <v>200</v>
      </c>
      <c r="R86" s="22">
        <f>COUNT('G-Influent'!$H$4:$H$56)</f>
        <v>38</v>
      </c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6:44" ht="15" thickBot="1" x14ac:dyDescent="0.35">
      <c r="P87" s="29"/>
      <c r="Q87" s="29" t="s">
        <v>174</v>
      </c>
      <c r="R87" s="6">
        <f>MIN('G-Influent'!$H$4:$H$56)</f>
        <v>7.8</v>
      </c>
      <c r="S87" s="29"/>
      <c r="T87" s="29" t="s">
        <v>399</v>
      </c>
      <c r="U87" s="29"/>
      <c r="V87" s="29"/>
      <c r="W87" s="29"/>
      <c r="X87" s="29" t="s">
        <v>288</v>
      </c>
      <c r="Y87" s="29">
        <v>0.05</v>
      </c>
      <c r="Z87" s="29"/>
      <c r="AA87" s="29"/>
      <c r="AB87" s="29"/>
      <c r="AC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6:44" ht="15" thickTop="1" x14ac:dyDescent="0.3">
      <c r="P88" s="29"/>
      <c r="Q88" s="29" t="s">
        <v>175</v>
      </c>
      <c r="R88" s="6">
        <f>MAX('G-Influent'!$H$4:$H$56)</f>
        <v>8.6</v>
      </c>
      <c r="S88" s="29"/>
      <c r="T88" s="191" t="s">
        <v>400</v>
      </c>
      <c r="U88" s="191" t="s">
        <v>401</v>
      </c>
      <c r="V88" s="191" t="s">
        <v>402</v>
      </c>
      <c r="W88" s="191" t="s">
        <v>205</v>
      </c>
      <c r="X88" s="191" t="s">
        <v>311</v>
      </c>
      <c r="Y88" s="191" t="s">
        <v>403</v>
      </c>
      <c r="Z88" s="191" t="s">
        <v>404</v>
      </c>
      <c r="AA88" s="191" t="s">
        <v>405</v>
      </c>
      <c r="AB88" s="191" t="s">
        <v>406</v>
      </c>
      <c r="AC88" s="191" t="s">
        <v>407</v>
      </c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6:44" x14ac:dyDescent="0.3">
      <c r="P89" s="29" t="s">
        <v>391</v>
      </c>
      <c r="Q89" s="29" t="s">
        <v>388</v>
      </c>
      <c r="R89" s="6">
        <f>AVERAGE('G-Influent'!$H$57:$H$93)</f>
        <v>8.4054054054054053</v>
      </c>
      <c r="S89" s="29"/>
      <c r="T89" s="29" t="s">
        <v>408</v>
      </c>
      <c r="U89" s="29">
        <f>SQRT(W85*(1/U83+1/U84))</f>
        <v>2.8986539420701615E-2</v>
      </c>
      <c r="V89" s="29">
        <f>(ABS(V83-V84-X81))/U89</f>
        <v>0.18647984593650638</v>
      </c>
      <c r="W89" s="29">
        <f>U83+U84-2</f>
        <v>70</v>
      </c>
      <c r="X89" s="29">
        <f>TDIST(V89,W89,1)</f>
        <v>0.42630393393697497</v>
      </c>
      <c r="Y89" s="29">
        <f>TINV(Y87*2,W89)</f>
        <v>1.6669144790559576</v>
      </c>
      <c r="Z89" s="29"/>
      <c r="AA89" s="29"/>
      <c r="AB89" s="183" t="str">
        <f>IF(X89&lt;Y87,"yes","no")</f>
        <v>no</v>
      </c>
      <c r="AC89" s="29">
        <f>SQRT(V89^2/(V89^2+W89))</f>
        <v>2.2283070466965971E-2</v>
      </c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6:44" x14ac:dyDescent="0.3">
      <c r="P90" s="29" t="s">
        <v>412</v>
      </c>
      <c r="Q90" s="29" t="s">
        <v>389</v>
      </c>
      <c r="R90" s="6">
        <f>STDEV('G-Influent'!$H$57:$H$96)</f>
        <v>0.12006004503753286</v>
      </c>
      <c r="S90" s="29"/>
      <c r="T90" s="29" t="s">
        <v>409</v>
      </c>
      <c r="U90" s="29">
        <f>U89</f>
        <v>2.8986539420701615E-2</v>
      </c>
      <c r="V90" s="29">
        <f>V89</f>
        <v>0.18647984593650638</v>
      </c>
      <c r="W90" s="29">
        <f t="shared" ref="W90" si="10">W89</f>
        <v>70</v>
      </c>
      <c r="X90" s="29">
        <f>TDIST(V90,W90,2)</f>
        <v>0.85260786787394993</v>
      </c>
      <c r="Y90" s="29">
        <f>TINV(Y87,W90)</f>
        <v>1.9944371117711854</v>
      </c>
      <c r="Z90" s="29">
        <f>(V83-V84)-Y90*U90</f>
        <v>-6.3217235367870647E-2</v>
      </c>
      <c r="AA90" s="29">
        <f>(V83-V84)+Y90*U90</f>
        <v>5.2406424557060835E-2</v>
      </c>
      <c r="AB90" s="183" t="str">
        <f>IF(X90&lt;Y87,"yes","no")</f>
        <v>no</v>
      </c>
      <c r="AC90" s="29">
        <f>AC89</f>
        <v>2.2283070466965971E-2</v>
      </c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6:44" x14ac:dyDescent="0.3">
      <c r="P91" s="29"/>
      <c r="Q91" s="29" t="s">
        <v>200</v>
      </c>
      <c r="R91" s="22">
        <f>COUNT('G-Influent'!$H$57:$H$90)</f>
        <v>34</v>
      </c>
      <c r="S91" s="29"/>
      <c r="T91" s="8"/>
      <c r="U91" s="8"/>
      <c r="V91" s="8"/>
      <c r="W91" s="8"/>
      <c r="X91" s="8"/>
      <c r="Y91" s="8"/>
      <c r="Z91" s="8"/>
      <c r="AA91" s="8"/>
      <c r="AB91" s="8"/>
      <c r="AC91" s="8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6:44" ht="15" thickBot="1" x14ac:dyDescent="0.35">
      <c r="P92" s="29"/>
      <c r="Q92" s="29" t="s">
        <v>174</v>
      </c>
      <c r="R92" s="6">
        <f>MIN('G-Influent'!$H$57:$H$93)</f>
        <v>8.1999999999999993</v>
      </c>
      <c r="S92" s="29"/>
      <c r="T92" s="29" t="s">
        <v>410</v>
      </c>
      <c r="U92" s="29"/>
      <c r="V92" s="29"/>
      <c r="W92" s="29"/>
      <c r="X92" s="29" t="s">
        <v>288</v>
      </c>
      <c r="Y92" s="29">
        <f>Y87</f>
        <v>0.05</v>
      </c>
      <c r="Z92" s="29"/>
      <c r="AA92" s="29"/>
      <c r="AB92" s="29"/>
      <c r="AC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6:44" ht="15" thickTop="1" x14ac:dyDescent="0.3">
      <c r="P93" s="29"/>
      <c r="Q93" s="29" t="s">
        <v>175</v>
      </c>
      <c r="R93" s="6">
        <f>MAX('G-Influent'!$H$57:$H$93)</f>
        <v>8.6</v>
      </c>
      <c r="S93" s="29"/>
      <c r="T93" s="191" t="s">
        <v>400</v>
      </c>
      <c r="U93" s="191" t="s">
        <v>401</v>
      </c>
      <c r="V93" s="191" t="s">
        <v>402</v>
      </c>
      <c r="W93" s="191" t="s">
        <v>205</v>
      </c>
      <c r="X93" s="191" t="s">
        <v>311</v>
      </c>
      <c r="Y93" s="191" t="s">
        <v>403</v>
      </c>
      <c r="Z93" s="191" t="s">
        <v>404</v>
      </c>
      <c r="AA93" s="191" t="s">
        <v>405</v>
      </c>
      <c r="AB93" s="191" t="s">
        <v>406</v>
      </c>
      <c r="AC93" s="191" t="s">
        <v>407</v>
      </c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6:44" x14ac:dyDescent="0.3">
      <c r="P94" s="29"/>
      <c r="Q94" s="29"/>
      <c r="R94" s="29"/>
      <c r="S94" s="29"/>
      <c r="T94" s="29" t="s">
        <v>408</v>
      </c>
      <c r="U94" s="29">
        <f>SQRT(W83/U83+W84/U84)</f>
        <v>2.8918531821672953E-2</v>
      </c>
      <c r="V94" s="29">
        <f>(ABS(V83-V84-X81))/U94</f>
        <v>0.18691838986631515</v>
      </c>
      <c r="W94" s="29">
        <f>(W83/U83+W84/U84)^2/((W83/U83)^2/(U83-1)+(W84/U84)^2/(U84-1))</f>
        <v>69.647321204666838</v>
      </c>
      <c r="X94" s="29" t="e">
        <f ca="1">[1]!T_DIST_RT(V94,W94)</f>
        <v>#NAME?</v>
      </c>
      <c r="Y94" s="29" t="e">
        <f ca="1">[1]!T_INV(1-Y92,W94)</f>
        <v>#NAME?</v>
      </c>
      <c r="Z94" s="29"/>
      <c r="AA94" s="29"/>
      <c r="AB94" s="183" t="e">
        <f ca="1">IF(X94&lt;Y92,"yes","no")</f>
        <v>#NAME?</v>
      </c>
      <c r="AC94" s="29">
        <f>SQRT(V94^2/(V94^2+W94))</f>
        <v>2.2391898582063949E-2</v>
      </c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6:44" x14ac:dyDescent="0.3">
      <c r="P95" s="29"/>
      <c r="Q95" s="29"/>
      <c r="R95" s="29"/>
      <c r="S95" s="29"/>
      <c r="T95" s="29" t="s">
        <v>409</v>
      </c>
      <c r="U95" s="29">
        <f>U94</f>
        <v>2.8918531821672953E-2</v>
      </c>
      <c r="V95" s="29">
        <f t="shared" ref="V95:W95" si="11">V94</f>
        <v>0.18691838986631515</v>
      </c>
      <c r="W95" s="29">
        <f t="shared" si="11"/>
        <v>69.647321204666838</v>
      </c>
      <c r="X95" s="29" t="e">
        <f ca="1">[1]!T_DIST_2T(V95,W95)</f>
        <v>#NAME?</v>
      </c>
      <c r="Y95" s="29" t="e">
        <f ca="1">[1]!T_INV_2T(Y92,W95)</f>
        <v>#NAME?</v>
      </c>
      <c r="Z95" s="29" t="e">
        <f ca="1">(V83-V84)-Y95*U95</f>
        <v>#NAME?</v>
      </c>
      <c r="AA95" s="29" t="e">
        <f ca="1">(V83-V84)+Y95*U95</f>
        <v>#NAME?</v>
      </c>
      <c r="AB95" s="183" t="e">
        <f ca="1">IF(X95&lt;Y92,"yes","no")</f>
        <v>#NAME?</v>
      </c>
      <c r="AC95" s="29">
        <f>AC94</f>
        <v>2.2391898582063949E-2</v>
      </c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6:44" x14ac:dyDescent="0.3"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5:44" x14ac:dyDescent="0.3">
      <c r="O97" s="227" t="s">
        <v>421</v>
      </c>
      <c r="P97" s="362" t="s">
        <v>419</v>
      </c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227" t="s">
        <v>485</v>
      </c>
      <c r="AE97" s="358" t="s">
        <v>461</v>
      </c>
      <c r="AF97" s="358"/>
      <c r="AG97" s="358"/>
      <c r="AH97" s="358"/>
      <c r="AI97" s="358"/>
      <c r="AJ97" s="358"/>
      <c r="AK97" s="358"/>
      <c r="AL97" s="358"/>
      <c r="AM97" s="358"/>
      <c r="AN97" s="358"/>
      <c r="AO97" s="358"/>
      <c r="AP97" s="358"/>
      <c r="AQ97" s="358"/>
      <c r="AR97" s="358"/>
    </row>
    <row r="98" spans="15:44" x14ac:dyDescent="0.3">
      <c r="P98" s="29" t="s">
        <v>387</v>
      </c>
      <c r="Q98" s="29" t="s">
        <v>388</v>
      </c>
      <c r="R98" s="22">
        <f>AVERAGE('G-Influent'!$G$4:$G$93)</f>
        <v>4725.8666666666668</v>
      </c>
      <c r="S98" s="29"/>
      <c r="T98" s="29" t="s">
        <v>393</v>
      </c>
      <c r="U98" s="29"/>
      <c r="V98" s="29"/>
      <c r="W98" s="29"/>
      <c r="X98" s="29"/>
      <c r="Y98" s="29"/>
      <c r="Z98" s="29"/>
      <c r="AA98" s="29"/>
      <c r="AB98" s="29"/>
      <c r="AC98" s="29"/>
      <c r="AE98" s="29" t="s">
        <v>387</v>
      </c>
      <c r="AF98" s="29" t="s">
        <v>388</v>
      </c>
      <c r="AG98" s="280">
        <f>AVERAGE('stable G-SBR'!$AA$4:$AA$93)</f>
        <v>2.1721135162790586E-2</v>
      </c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5:44" x14ac:dyDescent="0.3">
      <c r="P99" s="29" t="s">
        <v>438</v>
      </c>
      <c r="Q99" s="29" t="s">
        <v>389</v>
      </c>
      <c r="R99" s="22">
        <f>STDEV('G-Influent'!$G$4:$G$93)</f>
        <v>455.00868222584597</v>
      </c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E99" s="29" t="s">
        <v>438</v>
      </c>
      <c r="AF99" s="29" t="s">
        <v>389</v>
      </c>
      <c r="AG99" s="280">
        <f>STDEV('stable G-SBR'!$AA$4:$AA$93)</f>
        <v>1.6725911639042669E-2</v>
      </c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5:44" ht="15" thickBot="1" x14ac:dyDescent="0.35">
      <c r="P100" s="29"/>
      <c r="Q100" s="29" t="s">
        <v>200</v>
      </c>
      <c r="R100" s="22">
        <f>COUNT('G-Influent'!$G$4:$G$93)</f>
        <v>75</v>
      </c>
      <c r="S100" s="29"/>
      <c r="T100" s="29" t="s">
        <v>394</v>
      </c>
      <c r="U100" s="29"/>
      <c r="V100" s="29"/>
      <c r="W100" s="29" t="s">
        <v>395</v>
      </c>
      <c r="X100" s="6">
        <v>0</v>
      </c>
      <c r="Y100" s="29"/>
      <c r="Z100" s="29"/>
      <c r="AA100" s="29"/>
      <c r="AB100" s="29"/>
      <c r="AC100" s="29"/>
      <c r="AE100" s="29"/>
      <c r="AF100" s="29" t="s">
        <v>200</v>
      </c>
      <c r="AG100" s="184">
        <f>COUNT('stable G-SBR'!$AA$4:$AA$93)</f>
        <v>12</v>
      </c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5:44" ht="15" thickTop="1" x14ac:dyDescent="0.3">
      <c r="P101" s="29"/>
      <c r="Q101" s="29" t="s">
        <v>174</v>
      </c>
      <c r="R101" s="22">
        <f>MIN('G-Influent'!$G$4:$G$93)</f>
        <v>3009</v>
      </c>
      <c r="S101" s="29"/>
      <c r="T101" s="191" t="s">
        <v>396</v>
      </c>
      <c r="U101" s="191" t="s">
        <v>290</v>
      </c>
      <c r="V101" s="191" t="s">
        <v>292</v>
      </c>
      <c r="W101" s="191" t="s">
        <v>293</v>
      </c>
      <c r="X101" s="191" t="s">
        <v>397</v>
      </c>
      <c r="Y101" s="29"/>
      <c r="Z101" s="29"/>
      <c r="AA101" s="29"/>
      <c r="AB101" s="29"/>
      <c r="AC101" s="29"/>
      <c r="AE101" s="29"/>
      <c r="AF101" s="29" t="s">
        <v>174</v>
      </c>
      <c r="AG101" s="280">
        <f>MIN('stable G-SBR'!$AA$4:$AA$93)</f>
        <v>4.218750000000002E-3</v>
      </c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5:44" x14ac:dyDescent="0.3">
      <c r="P102" s="29"/>
      <c r="Q102" s="29" t="s">
        <v>175</v>
      </c>
      <c r="R102" s="22">
        <f>MAX('G-Influent'!$G$4:$G$93)</f>
        <v>5678</v>
      </c>
      <c r="S102" s="29"/>
      <c r="T102" s="29" t="str">
        <f>P104</f>
        <v>Period 1</v>
      </c>
      <c r="U102" s="22">
        <f>R105</f>
        <v>38</v>
      </c>
      <c r="V102" s="6">
        <f>R103</f>
        <v>4880.5526315789475</v>
      </c>
      <c r="W102" s="20">
        <f>R99^2</f>
        <v>207032.90090090089</v>
      </c>
      <c r="X102" s="29"/>
      <c r="Y102" s="29"/>
      <c r="Z102" s="29"/>
      <c r="AA102" s="29"/>
      <c r="AB102" s="29"/>
      <c r="AC102" s="29"/>
      <c r="AE102" s="29"/>
      <c r="AF102" s="29" t="s">
        <v>175</v>
      </c>
      <c r="AG102" s="280">
        <f>MAX('stable G-SBR'!$AA$4:$AA$93)</f>
        <v>6.8153639052730391E-2</v>
      </c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5:44" x14ac:dyDescent="0.3">
      <c r="P103" s="29" t="s">
        <v>392</v>
      </c>
      <c r="Q103" s="29" t="s">
        <v>388</v>
      </c>
      <c r="R103" s="22">
        <f>AVERAGE('G-Influent'!$G$4:$G$56)</f>
        <v>4880.5526315789475</v>
      </c>
      <c r="S103" s="29"/>
      <c r="T103" s="29" t="str">
        <f>P109</f>
        <v>Period 2</v>
      </c>
      <c r="U103" s="22">
        <f>R110</f>
        <v>34</v>
      </c>
      <c r="V103" s="20">
        <f>R108</f>
        <v>4567</v>
      </c>
      <c r="W103" s="20">
        <f>R109^2</f>
        <v>48598.777777777781</v>
      </c>
      <c r="X103" s="29"/>
      <c r="Y103" s="29"/>
      <c r="Z103" s="29"/>
      <c r="AA103" s="29"/>
      <c r="AB103" s="29"/>
      <c r="AC103" s="29"/>
      <c r="AE103" s="29"/>
      <c r="AF103" s="29" t="s">
        <v>442</v>
      </c>
      <c r="AG103" s="280">
        <f>DEVSQ('stable G-SBR'!$AA$4:$AA$93)</f>
        <v>3.0773173217276935E-3</v>
      </c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5:44" x14ac:dyDescent="0.3">
      <c r="P104" s="29" t="s">
        <v>411</v>
      </c>
      <c r="Q104" s="29" t="s">
        <v>389</v>
      </c>
      <c r="R104" s="22">
        <f>STDEV('G-Influent'!$G$4:$G$56)</f>
        <v>562.99861731712713</v>
      </c>
      <c r="S104" s="29"/>
      <c r="T104" s="8" t="s">
        <v>398</v>
      </c>
      <c r="U104" s="8"/>
      <c r="V104" s="8"/>
      <c r="W104" s="8">
        <f>((U102-1)*W102+(U103-1)*W103)/(U102+U103-2)</f>
        <v>132342.52857142859</v>
      </c>
      <c r="X104" s="8">
        <f>ABS(V102-V103-X100)/SQRT(W104)</f>
        <v>0.8619076512309507</v>
      </c>
      <c r="Y104" s="29"/>
      <c r="Z104" s="29"/>
      <c r="AA104" s="29"/>
      <c r="AB104" s="29"/>
      <c r="AC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5:44" x14ac:dyDescent="0.3">
      <c r="P105" s="29"/>
      <c r="Q105" s="29" t="s">
        <v>200</v>
      </c>
      <c r="R105" s="22">
        <f>COUNT('G-Influent'!$G$4:$G$56)</f>
        <v>38</v>
      </c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5:44" ht="15" thickBot="1" x14ac:dyDescent="0.35">
      <c r="P106" s="29"/>
      <c r="Q106" s="29" t="s">
        <v>174</v>
      </c>
      <c r="R106" s="22">
        <f>MIN('G-Influent'!$G$4:$G$56)</f>
        <v>3009</v>
      </c>
      <c r="S106" s="29"/>
      <c r="T106" s="29" t="s">
        <v>399</v>
      </c>
      <c r="U106" s="29"/>
      <c r="V106" s="29"/>
      <c r="W106" s="29"/>
      <c r="X106" s="29" t="s">
        <v>288</v>
      </c>
      <c r="Y106" s="29">
        <v>0.05</v>
      </c>
      <c r="Z106" s="29"/>
      <c r="AA106" s="29"/>
      <c r="AB106" s="29"/>
      <c r="AC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5:44" ht="15" thickTop="1" x14ac:dyDescent="0.3">
      <c r="P107" s="29"/>
      <c r="Q107" s="29" t="s">
        <v>175</v>
      </c>
      <c r="R107" s="22">
        <f>MAX('G-Influent'!$G$4:$G$56)</f>
        <v>5678</v>
      </c>
      <c r="S107" s="29"/>
      <c r="T107" s="191" t="s">
        <v>400</v>
      </c>
      <c r="U107" s="191" t="s">
        <v>401</v>
      </c>
      <c r="V107" s="191" t="s">
        <v>402</v>
      </c>
      <c r="W107" s="191" t="s">
        <v>205</v>
      </c>
      <c r="X107" s="191" t="s">
        <v>311</v>
      </c>
      <c r="Y107" s="191" t="s">
        <v>403</v>
      </c>
      <c r="Z107" s="191" t="s">
        <v>404</v>
      </c>
      <c r="AA107" s="191" t="s">
        <v>405</v>
      </c>
      <c r="AB107" s="191" t="s">
        <v>406</v>
      </c>
      <c r="AC107" s="191" t="s">
        <v>407</v>
      </c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5:44" x14ac:dyDescent="0.3">
      <c r="P108" s="29" t="s">
        <v>391</v>
      </c>
      <c r="Q108" s="29" t="s">
        <v>388</v>
      </c>
      <c r="R108" s="22">
        <f>AVERAGE('G-Influent'!$G$57:$G$93)</f>
        <v>4567</v>
      </c>
      <c r="S108" s="29"/>
      <c r="T108" s="29" t="s">
        <v>408</v>
      </c>
      <c r="U108" s="29">
        <f>SQRT(W104*(1/U102+1/U103))</f>
        <v>85.878550472310152</v>
      </c>
      <c r="V108" s="29">
        <f>(ABS(V102-V103-X100))/U108</f>
        <v>3.6511169535872217</v>
      </c>
      <c r="W108" s="29">
        <f>U102+U103-2</f>
        <v>70</v>
      </c>
      <c r="X108" s="29">
        <f>TDIST(V108,W108,1)</f>
        <v>2.4983374053500715E-4</v>
      </c>
      <c r="Y108" s="29">
        <f>TINV(Y106*2,W108)</f>
        <v>1.6669144790559576</v>
      </c>
      <c r="Z108" s="29"/>
      <c r="AA108" s="29"/>
      <c r="AB108" s="183" t="str">
        <f>IF(X108&lt;Y106,"yes","no")</f>
        <v>yes</v>
      </c>
      <c r="AC108" s="29">
        <f>SQRT(V108^2/(V108^2+W108))</f>
        <v>0.39996625060209401</v>
      </c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5:44" x14ac:dyDescent="0.3">
      <c r="P109" s="29" t="s">
        <v>412</v>
      </c>
      <c r="Q109" s="29" t="s">
        <v>389</v>
      </c>
      <c r="R109" s="22">
        <f>STDEV('G-Influent'!$G$57:$G$96)</f>
        <v>220.4513047767642</v>
      </c>
      <c r="S109" s="29"/>
      <c r="T109" s="29" t="s">
        <v>409</v>
      </c>
      <c r="U109" s="29">
        <f>U108</f>
        <v>85.878550472310152</v>
      </c>
      <c r="V109" s="29">
        <f>V108</f>
        <v>3.6511169535872217</v>
      </c>
      <c r="W109" s="29">
        <f t="shared" ref="W109" si="12">W108</f>
        <v>70</v>
      </c>
      <c r="X109" s="29">
        <f>TDIST(V109,W109,2)</f>
        <v>4.9966748107001431E-4</v>
      </c>
      <c r="Y109" s="29">
        <f>TINV(Y106,W109)</f>
        <v>1.9944371117711854</v>
      </c>
      <c r="Z109" s="29">
        <f>(V102-V103)-Y109*U109</f>
        <v>142.27326341185727</v>
      </c>
      <c r="AA109" s="29">
        <f>(V102-V103)+Y109*U109</f>
        <v>484.83199974603775</v>
      </c>
      <c r="AB109" s="183" t="str">
        <f>IF(X109&lt;Y106,"yes","no")</f>
        <v>yes</v>
      </c>
      <c r="AC109" s="29">
        <f>AC108</f>
        <v>0.39996625060209401</v>
      </c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5:44" x14ac:dyDescent="0.3">
      <c r="P110" s="29"/>
      <c r="Q110" s="29" t="s">
        <v>200</v>
      </c>
      <c r="R110" s="22">
        <f>COUNT('G-Influent'!$G$57:$G$90)</f>
        <v>34</v>
      </c>
      <c r="S110" s="29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5:44" ht="15" thickBot="1" x14ac:dyDescent="0.35">
      <c r="P111" s="29"/>
      <c r="Q111" s="29" t="s">
        <v>174</v>
      </c>
      <c r="R111" s="22">
        <f>MIN('G-Influent'!$G$57:$G$93)</f>
        <v>4148</v>
      </c>
      <c r="S111" s="29"/>
      <c r="T111" s="29" t="s">
        <v>410</v>
      </c>
      <c r="U111" s="29"/>
      <c r="V111" s="29"/>
      <c r="W111" s="29"/>
      <c r="X111" s="29" t="s">
        <v>288</v>
      </c>
      <c r="Y111" s="29">
        <f>Y106</f>
        <v>0.05</v>
      </c>
      <c r="Z111" s="29"/>
      <c r="AA111" s="29"/>
      <c r="AB111" s="29"/>
      <c r="AC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5:44" ht="15" thickTop="1" x14ac:dyDescent="0.3">
      <c r="P112" s="29"/>
      <c r="Q112" s="29" t="s">
        <v>175</v>
      </c>
      <c r="R112" s="22">
        <f>MAX('G-Influent'!$G$57:$G$93)</f>
        <v>5050</v>
      </c>
      <c r="S112" s="29"/>
      <c r="T112" s="191" t="s">
        <v>400</v>
      </c>
      <c r="U112" s="191" t="s">
        <v>401</v>
      </c>
      <c r="V112" s="191" t="s">
        <v>402</v>
      </c>
      <c r="W112" s="191" t="s">
        <v>205</v>
      </c>
      <c r="X112" s="191" t="s">
        <v>311</v>
      </c>
      <c r="Y112" s="191" t="s">
        <v>403</v>
      </c>
      <c r="Z112" s="191" t="s">
        <v>404</v>
      </c>
      <c r="AA112" s="191" t="s">
        <v>405</v>
      </c>
      <c r="AB112" s="191" t="s">
        <v>406</v>
      </c>
      <c r="AC112" s="191" t="s">
        <v>407</v>
      </c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5:44" x14ac:dyDescent="0.3">
      <c r="P113" s="29"/>
      <c r="Q113" s="29"/>
      <c r="R113" s="29"/>
      <c r="S113" s="29"/>
      <c r="T113" s="29" t="s">
        <v>408</v>
      </c>
      <c r="U113" s="29">
        <f>SQRT(W102/U102+W103/U103)</f>
        <v>82.931357466447508</v>
      </c>
      <c r="V113" s="29">
        <f>(ABS(V102-V103-X100))/U113</f>
        <v>3.780869397993456</v>
      </c>
      <c r="W113" s="29">
        <f>(W102/U102+W103/U103)^2/((W102/U102)^2/(U102-1)+(W103/U103)^2/(U103-1))</f>
        <v>54.736818847776654</v>
      </c>
      <c r="X113" s="29" t="e">
        <f ca="1">[1]!T_DIST_RT(V113,W113)</f>
        <v>#NAME?</v>
      </c>
      <c r="Y113" s="29" t="e">
        <f ca="1">[1]!T_INV(1-Y111,W113)</f>
        <v>#NAME?</v>
      </c>
      <c r="Z113" s="29"/>
      <c r="AA113" s="29"/>
      <c r="AB113" s="183" t="e">
        <f ca="1">IF(X113&lt;Y111,"yes","no")</f>
        <v>#NAME?</v>
      </c>
      <c r="AC113" s="29">
        <f>SQRT(V113^2/(V113^2+W113))</f>
        <v>0.45505836422896229</v>
      </c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15:44" x14ac:dyDescent="0.3">
      <c r="P114" s="29"/>
      <c r="Q114" s="29"/>
      <c r="R114" s="29"/>
      <c r="S114" s="29"/>
      <c r="T114" s="29" t="s">
        <v>409</v>
      </c>
      <c r="U114" s="29">
        <f>U113</f>
        <v>82.931357466447508</v>
      </c>
      <c r="V114" s="29">
        <f t="shared" ref="V114:W114" si="13">V113</f>
        <v>3.780869397993456</v>
      </c>
      <c r="W114" s="29">
        <f t="shared" si="13"/>
        <v>54.736818847776654</v>
      </c>
      <c r="X114" s="29" t="e">
        <f ca="1">[1]!T_DIST_2T(V114,W114)</f>
        <v>#NAME?</v>
      </c>
      <c r="Y114" s="29" t="e">
        <f ca="1">[1]!T_INV_2T(Y111,W114)</f>
        <v>#NAME?</v>
      </c>
      <c r="Z114" s="29" t="e">
        <f ca="1">(V102-V103)-Y114*U114</f>
        <v>#NAME?</v>
      </c>
      <c r="AA114" s="29" t="e">
        <f ca="1">(V102-V103)+Y114*U114</f>
        <v>#NAME?</v>
      </c>
      <c r="AB114" s="183" t="e">
        <f ca="1">IF(X114&lt;Y111,"yes","no")</f>
        <v>#NAME?</v>
      </c>
      <c r="AC114" s="29">
        <f>AC113</f>
        <v>0.45505836422896229</v>
      </c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15:44" x14ac:dyDescent="0.3"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  <row r="116" spans="15:44" x14ac:dyDescent="0.3">
      <c r="O116" s="227" t="s">
        <v>422</v>
      </c>
      <c r="P116" s="362" t="s">
        <v>423</v>
      </c>
      <c r="Q116" s="362"/>
      <c r="R116" s="362"/>
      <c r="S116" s="362"/>
      <c r="T116" s="362"/>
      <c r="U116" s="362"/>
      <c r="V116" s="362"/>
      <c r="W116" s="362"/>
      <c r="X116" s="362"/>
      <c r="Y116" s="362"/>
      <c r="Z116" s="362"/>
      <c r="AA116" s="362"/>
      <c r="AB116" s="362"/>
      <c r="AC116" s="362"/>
      <c r="AD116" s="227" t="s">
        <v>477</v>
      </c>
      <c r="AE116" s="358" t="s">
        <v>462</v>
      </c>
      <c r="AF116" s="358"/>
      <c r="AG116" s="358"/>
      <c r="AH116" s="358"/>
      <c r="AI116" s="358"/>
      <c r="AJ116" s="358"/>
      <c r="AK116" s="358"/>
      <c r="AL116" s="358"/>
      <c r="AM116" s="358"/>
      <c r="AN116" s="358"/>
      <c r="AO116" s="358"/>
      <c r="AP116" s="358"/>
      <c r="AQ116" s="358"/>
      <c r="AR116" s="358"/>
    </row>
    <row r="117" spans="15:44" x14ac:dyDescent="0.3">
      <c r="P117" s="29" t="s">
        <v>387</v>
      </c>
      <c r="Q117" s="29" t="s">
        <v>388</v>
      </c>
      <c r="R117" s="6">
        <f>AVERAGE('G-Influent'!$K$4:$K$93)</f>
        <v>14.884133333333336</v>
      </c>
      <c r="S117" s="29"/>
      <c r="T117" s="29" t="s">
        <v>393</v>
      </c>
      <c r="U117" s="29"/>
      <c r="V117" s="29"/>
      <c r="W117" s="29"/>
      <c r="X117" s="29"/>
      <c r="Y117" s="29"/>
      <c r="Z117" s="29"/>
      <c r="AA117" s="29"/>
      <c r="AB117" s="29"/>
      <c r="AC117" s="29"/>
      <c r="AE117" s="29" t="s">
        <v>387</v>
      </c>
      <c r="AF117" s="29" t="s">
        <v>388</v>
      </c>
      <c r="AG117" s="6">
        <f>AVERAGE('stable G-SBR'!$AB$4:$AB$93)</f>
        <v>7.3465482177171346E-2</v>
      </c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</row>
    <row r="118" spans="15:44" x14ac:dyDescent="0.3">
      <c r="P118" s="29" t="s">
        <v>438</v>
      </c>
      <c r="Q118" s="29" t="s">
        <v>389</v>
      </c>
      <c r="R118" s="6">
        <f>STDEV('G-Influent'!$K$4:$K$93)</f>
        <v>2.9044993490218687</v>
      </c>
      <c r="S118" s="29" t="s">
        <v>400</v>
      </c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E118" s="29" t="s">
        <v>438</v>
      </c>
      <c r="AF118" s="29" t="s">
        <v>389</v>
      </c>
      <c r="AG118" s="6">
        <f>STDEV('stable G-SBR'!$AB$4:$AB$93)</f>
        <v>9.9912517196250022E-2</v>
      </c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</row>
    <row r="119" spans="15:44" ht="15" thickBot="1" x14ac:dyDescent="0.35">
      <c r="P119" s="29"/>
      <c r="Q119" s="29" t="s">
        <v>200</v>
      </c>
      <c r="R119" s="22">
        <f>COUNT('G-Influent'!$K$4:$K$93)</f>
        <v>75</v>
      </c>
      <c r="S119" s="29"/>
      <c r="T119" s="29" t="s">
        <v>394</v>
      </c>
      <c r="U119" s="29"/>
      <c r="V119" s="29"/>
      <c r="W119" s="29" t="s">
        <v>395</v>
      </c>
      <c r="X119" s="6">
        <v>0</v>
      </c>
      <c r="Y119" s="29"/>
      <c r="Z119" s="29"/>
      <c r="AA119" s="29"/>
      <c r="AB119" s="29"/>
      <c r="AC119" s="29"/>
      <c r="AE119" s="29"/>
      <c r="AF119" s="29" t="s">
        <v>200</v>
      </c>
      <c r="AG119" s="22">
        <f>COUNT('stable G-SBR'!$AB$4:$AB$93)</f>
        <v>12</v>
      </c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</row>
    <row r="120" spans="15:44" ht="15" thickTop="1" x14ac:dyDescent="0.3">
      <c r="P120" s="29"/>
      <c r="Q120" s="29" t="s">
        <v>174</v>
      </c>
      <c r="R120" s="6">
        <f>MIN('G-Influent'!$K$4:$K$93)</f>
        <v>8.6999999999999993</v>
      </c>
      <c r="S120" s="29"/>
      <c r="T120" s="191" t="s">
        <v>396</v>
      </c>
      <c r="U120" s="191" t="s">
        <v>290</v>
      </c>
      <c r="V120" s="191" t="s">
        <v>292</v>
      </c>
      <c r="W120" s="191" t="s">
        <v>293</v>
      </c>
      <c r="X120" s="191" t="s">
        <v>397</v>
      </c>
      <c r="Y120" s="29"/>
      <c r="Z120" s="29"/>
      <c r="AA120" s="29"/>
      <c r="AB120" s="29"/>
      <c r="AC120" s="29"/>
      <c r="AE120" s="29"/>
      <c r="AF120" s="29" t="s">
        <v>174</v>
      </c>
      <c r="AG120" s="6">
        <f>MIN('stable G-SBR'!$AB$4:$AB$93)</f>
        <v>1.1490950876185004E-4</v>
      </c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</row>
    <row r="121" spans="15:44" x14ac:dyDescent="0.3">
      <c r="P121" s="29"/>
      <c r="Q121" s="29" t="s">
        <v>175</v>
      </c>
      <c r="R121" s="6">
        <f>MAX('G-Influent'!$K$4:$K$93)</f>
        <v>23.16</v>
      </c>
      <c r="S121" s="29"/>
      <c r="T121" s="29" t="str">
        <f>P123</f>
        <v>Period 1</v>
      </c>
      <c r="U121" s="22">
        <f>R124</f>
        <v>38</v>
      </c>
      <c r="V121" s="6">
        <f>R122</f>
        <v>13.413157894736841</v>
      </c>
      <c r="W121" s="20">
        <f>R118^2</f>
        <v>8.4361164684684589</v>
      </c>
      <c r="X121" s="29"/>
      <c r="Y121" s="29"/>
      <c r="Z121" s="29"/>
      <c r="AA121" s="29"/>
      <c r="AB121" s="29"/>
      <c r="AC121" s="29"/>
      <c r="AE121" s="29"/>
      <c r="AF121" s="29" t="s">
        <v>175</v>
      </c>
      <c r="AG121" s="6">
        <f>MAX('stable G-SBR'!$AB$4:$AB$93)</f>
        <v>0.36695255963548645</v>
      </c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</row>
    <row r="122" spans="15:44" x14ac:dyDescent="0.3">
      <c r="P122" s="29" t="s">
        <v>392</v>
      </c>
      <c r="Q122" s="29" t="s">
        <v>388</v>
      </c>
      <c r="R122" s="6">
        <f>AVERAGE('G-Influent'!$K$4:$K$56)</f>
        <v>13.413157894736841</v>
      </c>
      <c r="S122" s="29"/>
      <c r="T122" s="29" t="str">
        <f>P128</f>
        <v>Period 2</v>
      </c>
      <c r="U122" s="22">
        <f>R129</f>
        <v>34</v>
      </c>
      <c r="V122" s="20">
        <f>R127</f>
        <v>16.394864864864864</v>
      </c>
      <c r="W122" s="20">
        <f>R128^2</f>
        <v>7.6345367867867644</v>
      </c>
      <c r="X122" s="29"/>
      <c r="Y122" s="29"/>
      <c r="Z122" s="29"/>
      <c r="AA122" s="29"/>
      <c r="AB122" s="29"/>
      <c r="AC122" s="29"/>
      <c r="AE122" s="29"/>
      <c r="AF122" s="29" t="s">
        <v>442</v>
      </c>
      <c r="AG122" s="6">
        <f>DEVSQ('stable G-SBR'!$AB$4:$AB$93)</f>
        <v>0.10980762201740048</v>
      </c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</row>
    <row r="123" spans="15:44" x14ac:dyDescent="0.3">
      <c r="P123" s="29" t="s">
        <v>411</v>
      </c>
      <c r="Q123" s="29" t="s">
        <v>389</v>
      </c>
      <c r="R123" s="6">
        <f>STDEV('G-Influent'!$K$4:$K$56)</f>
        <v>2.2224932496333265</v>
      </c>
      <c r="S123" s="29"/>
      <c r="T123" s="8" t="s">
        <v>398</v>
      </c>
      <c r="U123" s="8"/>
      <c r="V123" s="8"/>
      <c r="W123" s="8">
        <f>((U121-1)*W121+(U122-1)*W122)/(U121+U122-2)</f>
        <v>8.0582289042470876</v>
      </c>
      <c r="X123" s="8">
        <f>ABS(V121-V122-X119)/SQRT(W123)</f>
        <v>1.0503768962478157</v>
      </c>
      <c r="Y123" s="29"/>
      <c r="Z123" s="29"/>
      <c r="AA123" s="29"/>
      <c r="AB123" s="29"/>
      <c r="AC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</row>
    <row r="124" spans="15:44" x14ac:dyDescent="0.3">
      <c r="P124" s="29"/>
      <c r="Q124" s="29" t="s">
        <v>200</v>
      </c>
      <c r="R124" s="22">
        <f>COUNT('G-Influent'!$K$4:$K$56)</f>
        <v>38</v>
      </c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</row>
    <row r="125" spans="15:44" ht="15" thickBot="1" x14ac:dyDescent="0.35">
      <c r="P125" s="29"/>
      <c r="Q125" s="29" t="s">
        <v>174</v>
      </c>
      <c r="R125" s="6">
        <f>MIN('G-Influent'!$K$4:$K$56)</f>
        <v>8.6999999999999993</v>
      </c>
      <c r="S125" s="29"/>
      <c r="T125" s="29" t="s">
        <v>399</v>
      </c>
      <c r="U125" s="29"/>
      <c r="V125" s="29"/>
      <c r="W125" s="29"/>
      <c r="X125" s="29" t="s">
        <v>288</v>
      </c>
      <c r="Y125" s="29">
        <v>0.05</v>
      </c>
      <c r="Z125" s="29"/>
      <c r="AA125" s="29"/>
      <c r="AB125" s="29"/>
      <c r="AC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</row>
    <row r="126" spans="15:44" ht="15" thickTop="1" x14ac:dyDescent="0.3">
      <c r="P126" s="29"/>
      <c r="Q126" s="29" t="s">
        <v>175</v>
      </c>
      <c r="R126" s="6">
        <f>MAX('G-Influent'!$K$4:$K$56)</f>
        <v>19.89</v>
      </c>
      <c r="S126" s="29"/>
      <c r="T126" s="191" t="s">
        <v>400</v>
      </c>
      <c r="U126" s="191" t="s">
        <v>401</v>
      </c>
      <c r="V126" s="191" t="s">
        <v>402</v>
      </c>
      <c r="W126" s="191" t="s">
        <v>205</v>
      </c>
      <c r="X126" s="191" t="s">
        <v>311</v>
      </c>
      <c r="Y126" s="191" t="s">
        <v>403</v>
      </c>
      <c r="Z126" s="191" t="s">
        <v>404</v>
      </c>
      <c r="AA126" s="191" t="s">
        <v>405</v>
      </c>
      <c r="AB126" s="191" t="s">
        <v>406</v>
      </c>
      <c r="AC126" s="191" t="s">
        <v>407</v>
      </c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</row>
    <row r="127" spans="15:44" x14ac:dyDescent="0.3">
      <c r="P127" s="29" t="s">
        <v>391</v>
      </c>
      <c r="Q127" s="29" t="s">
        <v>388</v>
      </c>
      <c r="R127" s="6">
        <f>AVERAGE('G-Influent'!$K$57:$K$93)</f>
        <v>16.394864864864864</v>
      </c>
      <c r="S127" s="29"/>
      <c r="T127" s="29" t="s">
        <v>408</v>
      </c>
      <c r="U127" s="29">
        <f>SQRT(W123*(1/U121+1/U122))</f>
        <v>0.67012341240459494</v>
      </c>
      <c r="V127" s="29">
        <f>(ABS(V121-V122-X119))/U127</f>
        <v>4.4494893253002514</v>
      </c>
      <c r="W127" s="29">
        <f>U121+U122-2</f>
        <v>70</v>
      </c>
      <c r="X127" s="29">
        <f>TDIST(V127,W127,1)</f>
        <v>1.584899574284758E-5</v>
      </c>
      <c r="Y127" s="29">
        <f>TINV(Y125*2,W127)</f>
        <v>1.6669144790559576</v>
      </c>
      <c r="Z127" s="29"/>
      <c r="AA127" s="29"/>
      <c r="AB127" s="183" t="str">
        <f>IF(X127&lt;Y125,"yes","no")</f>
        <v>yes</v>
      </c>
      <c r="AC127" s="29">
        <f>SQRT(V127^2/(V127^2+W127))</f>
        <v>0.46954470276847571</v>
      </c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</row>
    <row r="128" spans="15:44" x14ac:dyDescent="0.3">
      <c r="P128" s="29" t="s">
        <v>412</v>
      </c>
      <c r="Q128" s="29" t="s">
        <v>389</v>
      </c>
      <c r="R128" s="6">
        <f>STDEV('G-Influent'!$K$57:$K$96)</f>
        <v>2.7630665548963464</v>
      </c>
      <c r="S128" s="29"/>
      <c r="T128" s="29" t="s">
        <v>409</v>
      </c>
      <c r="U128" s="29">
        <f>U127</f>
        <v>0.67012341240459494</v>
      </c>
      <c r="V128" s="29">
        <f>V127</f>
        <v>4.4494893253002514</v>
      </c>
      <c r="W128" s="29">
        <f t="shared" ref="W128" si="14">W127</f>
        <v>70</v>
      </c>
      <c r="X128" s="29">
        <f>TDIST(V128,W128,2)</f>
        <v>3.1697991485695159E-5</v>
      </c>
      <c r="Y128" s="29">
        <f>TINV(Y125,W128)</f>
        <v>1.9944371117711854</v>
      </c>
      <c r="Z128" s="29">
        <f>(V121-V122)-Y128*U128</f>
        <v>-4.3182259732944948</v>
      </c>
      <c r="AA128" s="29">
        <f>(V121-V122)+Y128*U128</f>
        <v>-1.6451879669615519</v>
      </c>
      <c r="AB128" s="183" t="str">
        <f>IF(X128&lt;Y125,"yes","no")</f>
        <v>yes</v>
      </c>
      <c r="AC128" s="29">
        <f>AC127</f>
        <v>0.46954470276847571</v>
      </c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</row>
    <row r="129" spans="15:44" x14ac:dyDescent="0.3">
      <c r="P129" s="29"/>
      <c r="Q129" s="29" t="s">
        <v>200</v>
      </c>
      <c r="R129" s="22">
        <f>COUNT('G-Influent'!$K$57:$K$90)</f>
        <v>34</v>
      </c>
      <c r="S129" s="29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</row>
    <row r="130" spans="15:44" ht="15" thickBot="1" x14ac:dyDescent="0.35">
      <c r="P130" s="29"/>
      <c r="Q130" s="29" t="s">
        <v>174</v>
      </c>
      <c r="R130" s="6">
        <f>MIN('G-Influent'!$K$57:$K$93)</f>
        <v>12.2</v>
      </c>
      <c r="S130" s="29"/>
      <c r="T130" s="29" t="s">
        <v>410</v>
      </c>
      <c r="U130" s="29"/>
      <c r="V130" s="29"/>
      <c r="W130" s="29"/>
      <c r="X130" s="29" t="s">
        <v>288</v>
      </c>
      <c r="Y130" s="29">
        <f>Y125</f>
        <v>0.05</v>
      </c>
      <c r="Z130" s="29"/>
      <c r="AA130" s="29"/>
      <c r="AB130" s="29"/>
      <c r="AC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</row>
    <row r="131" spans="15:44" ht="15" thickTop="1" x14ac:dyDescent="0.3">
      <c r="P131" s="29"/>
      <c r="Q131" s="29" t="s">
        <v>175</v>
      </c>
      <c r="R131" s="6">
        <f>MAX('G-Influent'!$K$57:$K$93)</f>
        <v>23.16</v>
      </c>
      <c r="S131" s="29"/>
      <c r="T131" s="191" t="s">
        <v>400</v>
      </c>
      <c r="U131" s="191" t="s">
        <v>401</v>
      </c>
      <c r="V131" s="191" t="s">
        <v>402</v>
      </c>
      <c r="W131" s="191" t="s">
        <v>205</v>
      </c>
      <c r="X131" s="191" t="s">
        <v>311</v>
      </c>
      <c r="Y131" s="191" t="s">
        <v>403</v>
      </c>
      <c r="Z131" s="191" t="s">
        <v>404</v>
      </c>
      <c r="AA131" s="191" t="s">
        <v>405</v>
      </c>
      <c r="AB131" s="191" t="s">
        <v>406</v>
      </c>
      <c r="AC131" s="191" t="s">
        <v>407</v>
      </c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</row>
    <row r="132" spans="15:44" x14ac:dyDescent="0.3">
      <c r="P132" s="29"/>
      <c r="Q132" s="29"/>
      <c r="R132" s="29"/>
      <c r="S132" s="29"/>
      <c r="T132" s="29" t="s">
        <v>408</v>
      </c>
      <c r="U132" s="29">
        <f>SQRT(W121/U121+W122/U122)</f>
        <v>0.66824266892430007</v>
      </c>
      <c r="V132" s="29">
        <f>(ABS(V121-V122-X119))/U132</f>
        <v>4.4620122431388731</v>
      </c>
      <c r="W132" s="29">
        <f>(W121/U121+W122/U122)^2/((W121/U121)^2/(U121-1)+(W122/U122)^2/(U122-1))</f>
        <v>69.723805773340857</v>
      </c>
      <c r="X132" s="29" t="e">
        <f ca="1">[1]!T_DIST_RT(V132,W132)</f>
        <v>#NAME?</v>
      </c>
      <c r="Y132" s="29" t="e">
        <f ca="1">[1]!T_INV(1-Y130,W132)</f>
        <v>#NAME?</v>
      </c>
      <c r="Z132" s="29"/>
      <c r="AA132" s="29"/>
      <c r="AB132" s="183" t="e">
        <f ca="1">IF(X132&lt;Y130,"yes","no")</f>
        <v>#NAME?</v>
      </c>
      <c r="AC132" s="29">
        <f>SQRT(V132^2/(V132^2+W132))</f>
        <v>0.47129835246691981</v>
      </c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</row>
    <row r="133" spans="15:44" x14ac:dyDescent="0.3">
      <c r="P133" s="29"/>
      <c r="Q133" s="29"/>
      <c r="R133" s="29"/>
      <c r="S133" s="29"/>
      <c r="T133" s="29" t="s">
        <v>409</v>
      </c>
      <c r="U133" s="29">
        <f>U132</f>
        <v>0.66824266892430007</v>
      </c>
      <c r="V133" s="29">
        <f t="shared" ref="V133:W133" si="15">V132</f>
        <v>4.4620122431388731</v>
      </c>
      <c r="W133" s="29">
        <f t="shared" si="15"/>
        <v>69.723805773340857</v>
      </c>
      <c r="X133" s="29" t="e">
        <f ca="1">[1]!T_DIST_2T(V133,W133)</f>
        <v>#NAME?</v>
      </c>
      <c r="Y133" s="29" t="e">
        <f ca="1">[1]!T_INV_2T(Y130,W133)</f>
        <v>#NAME?</v>
      </c>
      <c r="Z133" s="29" t="e">
        <f ca="1">(V121-V122)-Y133*U133</f>
        <v>#NAME?</v>
      </c>
      <c r="AA133" s="29" t="e">
        <f ca="1">(V121-V122)+Y133*U133</f>
        <v>#NAME?</v>
      </c>
      <c r="AB133" s="183" t="e">
        <f ca="1">IF(X133&lt;Y130,"yes","no")</f>
        <v>#NAME?</v>
      </c>
      <c r="AC133" s="29">
        <f>AC132</f>
        <v>0.47129835246691981</v>
      </c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</row>
    <row r="134" spans="15:44" x14ac:dyDescent="0.3"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</row>
    <row r="135" spans="15:44" x14ac:dyDescent="0.3">
      <c r="O135" s="227" t="s">
        <v>98</v>
      </c>
      <c r="P135" s="362" t="s">
        <v>424</v>
      </c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227" t="s">
        <v>98</v>
      </c>
      <c r="AE135" s="358" t="s">
        <v>469</v>
      </c>
      <c r="AF135" s="358"/>
      <c r="AG135" s="358"/>
      <c r="AH135" s="358"/>
      <c r="AI135" s="358"/>
      <c r="AJ135" s="358"/>
      <c r="AK135" s="358"/>
      <c r="AL135" s="358"/>
      <c r="AM135" s="358"/>
      <c r="AN135" s="358"/>
      <c r="AO135" s="358"/>
      <c r="AP135" s="358"/>
      <c r="AQ135" s="358"/>
      <c r="AR135" s="358"/>
    </row>
    <row r="136" spans="15:44" x14ac:dyDescent="0.3">
      <c r="P136" s="29" t="s">
        <v>387</v>
      </c>
      <c r="Q136" s="29" t="s">
        <v>388</v>
      </c>
      <c r="R136" s="6">
        <f>AVERAGE('G-Influent'!$P$4:$P$93)</f>
        <v>1298.646666666667</v>
      </c>
      <c r="S136" s="29"/>
      <c r="T136" s="29" t="s">
        <v>393</v>
      </c>
      <c r="U136" s="29"/>
      <c r="V136" s="29"/>
      <c r="W136" s="29"/>
      <c r="X136" s="29"/>
      <c r="Y136" s="29"/>
      <c r="Z136" s="29"/>
      <c r="AA136" s="29"/>
      <c r="AB136" s="29"/>
      <c r="AC136" s="29"/>
      <c r="AE136" s="29" t="s">
        <v>387</v>
      </c>
      <c r="AF136" s="29" t="s">
        <v>388</v>
      </c>
      <c r="AG136" s="6">
        <f>AVERAGE('stable G-SBR'!$P$4:$P$93)</f>
        <v>179.65599999999998</v>
      </c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</row>
    <row r="137" spans="15:44" x14ac:dyDescent="0.3">
      <c r="P137" s="29" t="s">
        <v>438</v>
      </c>
      <c r="Q137" s="29" t="s">
        <v>389</v>
      </c>
      <c r="R137" s="6">
        <f>STDEV('G-Influent'!$P$4:$P$93)</f>
        <v>120.02050032472867</v>
      </c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E137" s="29" t="s">
        <v>438</v>
      </c>
      <c r="AF137" s="29" t="s">
        <v>389</v>
      </c>
      <c r="AG137" s="6">
        <f>STDEV('stable G-SBR'!$P$4:$P$93)</f>
        <v>274.85714635060884</v>
      </c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</row>
    <row r="138" spans="15:44" ht="15" thickBot="1" x14ac:dyDescent="0.35">
      <c r="P138" s="29"/>
      <c r="Q138" s="29" t="s">
        <v>200</v>
      </c>
      <c r="R138" s="22">
        <f>COUNT('G-Influent'!$P$4:$P$93)</f>
        <v>75</v>
      </c>
      <c r="S138" s="29"/>
      <c r="T138" s="29" t="s">
        <v>394</v>
      </c>
      <c r="U138" s="29"/>
      <c r="V138" s="29"/>
      <c r="W138" s="29" t="s">
        <v>395</v>
      </c>
      <c r="X138" s="6">
        <v>0</v>
      </c>
      <c r="Y138" s="29"/>
      <c r="Z138" s="29"/>
      <c r="AA138" s="29"/>
      <c r="AB138" s="29"/>
      <c r="AC138" s="29"/>
      <c r="AE138" s="29"/>
      <c r="AF138" s="29" t="s">
        <v>200</v>
      </c>
      <c r="AG138" s="22">
        <f>COUNT('stable G-SBR'!$P$4:$P$93)</f>
        <v>25</v>
      </c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</row>
    <row r="139" spans="15:44" ht="15" thickTop="1" x14ac:dyDescent="0.3">
      <c r="P139" s="29"/>
      <c r="Q139" s="29" t="s">
        <v>174</v>
      </c>
      <c r="R139" s="6">
        <f>MIN('G-Influent'!$P$4:$P$93)</f>
        <v>861.04</v>
      </c>
      <c r="S139" s="29"/>
      <c r="T139" s="191" t="s">
        <v>396</v>
      </c>
      <c r="U139" s="191" t="s">
        <v>290</v>
      </c>
      <c r="V139" s="191" t="s">
        <v>292</v>
      </c>
      <c r="W139" s="191" t="s">
        <v>293</v>
      </c>
      <c r="X139" s="191" t="s">
        <v>397</v>
      </c>
      <c r="Y139" s="29"/>
      <c r="Z139" s="29"/>
      <c r="AA139" s="29"/>
      <c r="AB139" s="29"/>
      <c r="AC139" s="29"/>
      <c r="AE139" s="29"/>
      <c r="AF139" s="29" t="s">
        <v>174</v>
      </c>
      <c r="AG139" s="6">
        <f>MIN('stable G-SBR'!$P$4:$P$93)</f>
        <v>30</v>
      </c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</row>
    <row r="140" spans="15:44" x14ac:dyDescent="0.3">
      <c r="P140" s="29"/>
      <c r="Q140" s="29" t="s">
        <v>175</v>
      </c>
      <c r="R140" s="6">
        <f>MAX('G-Influent'!$P$4:$P$93)</f>
        <v>1501.4</v>
      </c>
      <c r="S140" s="29"/>
      <c r="T140" s="29" t="str">
        <f>P142</f>
        <v>Period 1</v>
      </c>
      <c r="U140" s="22">
        <f>R143</f>
        <v>38</v>
      </c>
      <c r="V140" s="6">
        <f>R141</f>
        <v>1317.0431578947369</v>
      </c>
      <c r="W140" s="20">
        <f>R137^2</f>
        <v>14404.920498198195</v>
      </c>
      <c r="X140" s="29"/>
      <c r="Y140" s="29"/>
      <c r="Z140" s="29"/>
      <c r="AA140" s="29"/>
      <c r="AB140" s="29"/>
      <c r="AC140" s="29"/>
      <c r="AE140" s="29"/>
      <c r="AF140" s="29" t="s">
        <v>175</v>
      </c>
      <c r="AG140" s="6">
        <f>MAX('stable G-SBR'!$P$4:$P$93)</f>
        <v>1360</v>
      </c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</row>
    <row r="141" spans="15:44" x14ac:dyDescent="0.3">
      <c r="P141" s="29" t="s">
        <v>392</v>
      </c>
      <c r="Q141" s="29" t="s">
        <v>388</v>
      </c>
      <c r="R141" s="6">
        <f>AVERAGE('G-Influent'!$P$4:$P$56)</f>
        <v>1317.0431578947369</v>
      </c>
      <c r="S141" s="29"/>
      <c r="T141" s="29" t="str">
        <f>P147</f>
        <v>Period 2</v>
      </c>
      <c r="U141" s="22">
        <f>R148</f>
        <v>34</v>
      </c>
      <c r="V141" s="20">
        <f>R146</f>
        <v>1279.7529729729727</v>
      </c>
      <c r="W141" s="20">
        <f>R147^2</f>
        <v>6595.543354804804</v>
      </c>
      <c r="X141" s="29"/>
      <c r="Y141" s="29"/>
      <c r="Z141" s="29"/>
      <c r="AA141" s="29"/>
      <c r="AB141" s="29"/>
      <c r="AC141" s="29"/>
      <c r="AE141" s="29"/>
      <c r="AF141" s="29" t="s">
        <v>442</v>
      </c>
      <c r="AG141" s="6">
        <f>DEVSQ('stable G-SBR'!$P$4:$P$93)</f>
        <v>1813114.8216000001</v>
      </c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</row>
    <row r="142" spans="15:44" x14ac:dyDescent="0.3">
      <c r="P142" s="29" t="s">
        <v>411</v>
      </c>
      <c r="Q142" s="29" t="s">
        <v>389</v>
      </c>
      <c r="R142" s="6">
        <f>STDEV('G-Influent'!$P$4:$P$56)</f>
        <v>147.26848352043007</v>
      </c>
      <c r="S142" s="29"/>
      <c r="T142" s="8" t="s">
        <v>398</v>
      </c>
      <c r="U142" s="8"/>
      <c r="V142" s="8"/>
      <c r="W142" s="8">
        <f>((U140-1)*W140+(U141-1)*W141)/(U140+U141-2)</f>
        <v>10723.35698774131</v>
      </c>
      <c r="X142" s="8">
        <f>ABS(V140-V141-X138)/SQRT(W142)</f>
        <v>0.36010500283239888</v>
      </c>
      <c r="Y142" s="29"/>
      <c r="Z142" s="29"/>
      <c r="AA142" s="29"/>
      <c r="AB142" s="29"/>
      <c r="AC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</row>
    <row r="143" spans="15:44" x14ac:dyDescent="0.3">
      <c r="P143" s="29"/>
      <c r="Q143" s="29" t="s">
        <v>200</v>
      </c>
      <c r="R143" s="22">
        <f>COUNT('G-Influent'!$P$4:$P$56)</f>
        <v>38</v>
      </c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</row>
    <row r="144" spans="15:44" ht="15" thickBot="1" x14ac:dyDescent="0.35">
      <c r="P144" s="29"/>
      <c r="Q144" s="29" t="s">
        <v>174</v>
      </c>
      <c r="R144" s="6">
        <f>MIN('G-Influent'!$P$4:$P$56)</f>
        <v>861.04</v>
      </c>
      <c r="S144" s="29"/>
      <c r="T144" s="29" t="s">
        <v>399</v>
      </c>
      <c r="U144" s="29"/>
      <c r="V144" s="29"/>
      <c r="W144" s="29"/>
      <c r="X144" s="29" t="s">
        <v>288</v>
      </c>
      <c r="Y144" s="29">
        <v>0.05</v>
      </c>
      <c r="Z144" s="29"/>
      <c r="AA144" s="29"/>
      <c r="AB144" s="29"/>
      <c r="AC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</row>
    <row r="145" spans="15:44" ht="15" thickTop="1" x14ac:dyDescent="0.3">
      <c r="P145" s="29"/>
      <c r="Q145" s="29" t="s">
        <v>175</v>
      </c>
      <c r="R145" s="6">
        <f>MAX('G-Influent'!$P$4:$P$56)</f>
        <v>1501.4</v>
      </c>
      <c r="S145" s="29"/>
      <c r="T145" s="191" t="s">
        <v>400</v>
      </c>
      <c r="U145" s="191" t="s">
        <v>401</v>
      </c>
      <c r="V145" s="191" t="s">
        <v>402</v>
      </c>
      <c r="W145" s="191" t="s">
        <v>205</v>
      </c>
      <c r="X145" s="191" t="s">
        <v>311</v>
      </c>
      <c r="Y145" s="191" t="s">
        <v>403</v>
      </c>
      <c r="Z145" s="191" t="s">
        <v>404</v>
      </c>
      <c r="AA145" s="191" t="s">
        <v>405</v>
      </c>
      <c r="AB145" s="191" t="s">
        <v>406</v>
      </c>
      <c r="AC145" s="191" t="s">
        <v>407</v>
      </c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</row>
    <row r="146" spans="15:44" x14ac:dyDescent="0.3">
      <c r="P146" s="29" t="s">
        <v>391</v>
      </c>
      <c r="Q146" s="29" t="s">
        <v>388</v>
      </c>
      <c r="R146" s="6">
        <f>AVERAGE('G-Influent'!$P$57:$P$93)</f>
        <v>1279.7529729729727</v>
      </c>
      <c r="S146" s="29"/>
      <c r="T146" s="29" t="s">
        <v>408</v>
      </c>
      <c r="U146" s="29">
        <f>SQRT(W142*(1/U140+1/U141))</f>
        <v>24.445581554162043</v>
      </c>
      <c r="V146" s="29">
        <f>(ABS(V140-V141-X138))/U146</f>
        <v>1.5254366045309018</v>
      </c>
      <c r="W146" s="29">
        <f>U140+U141-2</f>
        <v>70</v>
      </c>
      <c r="X146" s="29">
        <f>TDIST(V146,W146,1)</f>
        <v>6.5827986945480352E-2</v>
      </c>
      <c r="Y146" s="29">
        <f>TINV(Y144*2,W146)</f>
        <v>1.6669144790559576</v>
      </c>
      <c r="Z146" s="29"/>
      <c r="AA146" s="29"/>
      <c r="AB146" s="183" t="str">
        <f>IF(X146&lt;Y144,"yes","no")</f>
        <v>no</v>
      </c>
      <c r="AC146" s="29">
        <f>SQRT(V146^2/(V146^2+W146))</f>
        <v>0.17936762896779856</v>
      </c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</row>
    <row r="147" spans="15:44" x14ac:dyDescent="0.3">
      <c r="P147" s="29" t="s">
        <v>412</v>
      </c>
      <c r="Q147" s="29" t="s">
        <v>389</v>
      </c>
      <c r="R147" s="6">
        <f>STDEV('G-Influent'!$P$57:$P$96)</f>
        <v>81.21295065939178</v>
      </c>
      <c r="S147" s="29"/>
      <c r="T147" s="29" t="s">
        <v>409</v>
      </c>
      <c r="U147" s="29">
        <f>U146</f>
        <v>24.445581554162043</v>
      </c>
      <c r="V147" s="29">
        <f>V146</f>
        <v>1.5254366045309018</v>
      </c>
      <c r="W147" s="29">
        <f t="shared" ref="W147" si="16">W146</f>
        <v>70</v>
      </c>
      <c r="X147" s="29">
        <f>TDIST(V147,W147,2)</f>
        <v>0.1316559738909607</v>
      </c>
      <c r="Y147" s="29">
        <f>TINV(Y144,W147)</f>
        <v>1.9944371117711854</v>
      </c>
      <c r="Z147" s="29">
        <f>(V140-V141)-Y147*U147</f>
        <v>-11.464990148685715</v>
      </c>
      <c r="AA147" s="29">
        <f>(V140-V141)+Y147*U147</f>
        <v>86.045359992214102</v>
      </c>
      <c r="AB147" s="183" t="str">
        <f>IF(X147&lt;Y144,"yes","no")</f>
        <v>no</v>
      </c>
      <c r="AC147" s="29">
        <f>AC146</f>
        <v>0.17936762896779856</v>
      </c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</row>
    <row r="148" spans="15:44" x14ac:dyDescent="0.3">
      <c r="P148" s="29"/>
      <c r="Q148" s="29" t="s">
        <v>200</v>
      </c>
      <c r="R148" s="22">
        <f>COUNT('G-Influent'!$P$57:$P$90)</f>
        <v>34</v>
      </c>
      <c r="S148" s="29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</row>
    <row r="149" spans="15:44" ht="15" thickBot="1" x14ac:dyDescent="0.35">
      <c r="P149" s="29"/>
      <c r="Q149" s="29" t="s">
        <v>174</v>
      </c>
      <c r="R149" s="6">
        <f>MIN('G-Influent'!$P$57:$P$93)</f>
        <v>1153.3</v>
      </c>
      <c r="S149" s="29"/>
      <c r="T149" s="29" t="s">
        <v>410</v>
      </c>
      <c r="U149" s="29"/>
      <c r="V149" s="29"/>
      <c r="W149" s="29"/>
      <c r="X149" s="29" t="s">
        <v>288</v>
      </c>
      <c r="Y149" s="29">
        <f>Y144</f>
        <v>0.05</v>
      </c>
      <c r="Z149" s="29"/>
      <c r="AA149" s="29"/>
      <c r="AB149" s="29"/>
      <c r="AC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</row>
    <row r="150" spans="15:44" ht="15" thickTop="1" x14ac:dyDescent="0.3">
      <c r="P150" s="29"/>
      <c r="Q150" s="29" t="s">
        <v>175</v>
      </c>
      <c r="R150" s="6">
        <f>MAX('G-Influent'!$P$57:$P$93)</f>
        <v>1457.6</v>
      </c>
      <c r="S150" s="29"/>
      <c r="T150" s="191" t="s">
        <v>400</v>
      </c>
      <c r="U150" s="191" t="s">
        <v>401</v>
      </c>
      <c r="V150" s="191" t="s">
        <v>402</v>
      </c>
      <c r="W150" s="191" t="s">
        <v>205</v>
      </c>
      <c r="X150" s="191" t="s">
        <v>311</v>
      </c>
      <c r="Y150" s="191" t="s">
        <v>403</v>
      </c>
      <c r="Z150" s="191" t="s">
        <v>404</v>
      </c>
      <c r="AA150" s="191" t="s">
        <v>405</v>
      </c>
      <c r="AB150" s="191" t="s">
        <v>406</v>
      </c>
      <c r="AC150" s="191" t="s">
        <v>407</v>
      </c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</row>
    <row r="151" spans="15:44" x14ac:dyDescent="0.3">
      <c r="P151" s="29"/>
      <c r="Q151" s="29"/>
      <c r="R151" s="212"/>
      <c r="S151" s="29"/>
      <c r="T151" s="29" t="s">
        <v>408</v>
      </c>
      <c r="U151" s="29">
        <f>SQRT(W140/U140+W141/U141)</f>
        <v>23.938743168234769</v>
      </c>
      <c r="V151" s="29">
        <f>(ABS(V140-V141-X138))/U151</f>
        <v>1.5577336144884149</v>
      </c>
      <c r="W151" s="29">
        <f>(W140/U140+W141/U141)^2/((W140/U140)^2/(U140-1)+(W141/U141)^2/(U141-1))</f>
        <v>65.365396973141415</v>
      </c>
      <c r="X151" s="29" t="e">
        <f ca="1">[1]!T_DIST_RT(V151,W151)</f>
        <v>#NAME?</v>
      </c>
      <c r="Y151" s="29" t="e">
        <f ca="1">[1]!T_INV(1-Y149,W151)</f>
        <v>#NAME?</v>
      </c>
      <c r="Z151" s="29"/>
      <c r="AA151" s="29"/>
      <c r="AB151" s="183" t="e">
        <f ca="1">IF(X151&lt;Y149,"yes","no")</f>
        <v>#NAME?</v>
      </c>
      <c r="AC151" s="29">
        <f>SQRT(V151^2/(V151^2+W151))</f>
        <v>0.18919261909470947</v>
      </c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</row>
    <row r="152" spans="15:44" x14ac:dyDescent="0.3">
      <c r="P152" s="29"/>
      <c r="Q152" s="29"/>
      <c r="R152" s="29"/>
      <c r="S152" s="29"/>
      <c r="T152" s="29" t="s">
        <v>409</v>
      </c>
      <c r="U152" s="29">
        <f>U151</f>
        <v>23.938743168234769</v>
      </c>
      <c r="V152" s="29">
        <f t="shared" ref="V152:W152" si="17">V151</f>
        <v>1.5577336144884149</v>
      </c>
      <c r="W152" s="29">
        <f t="shared" si="17"/>
        <v>65.365396973141415</v>
      </c>
      <c r="X152" s="29" t="e">
        <f ca="1">[1]!T_DIST_2T(V152,W152)</f>
        <v>#NAME?</v>
      </c>
      <c r="Y152" s="29" t="e">
        <f ca="1">[1]!T_INV_2T(Y149,W152)</f>
        <v>#NAME?</v>
      </c>
      <c r="Z152" s="29" t="e">
        <f ca="1">(V140-V141)-Y152*U152</f>
        <v>#NAME?</v>
      </c>
      <c r="AA152" s="29" t="e">
        <f ca="1">(V140-V141)+Y152*U152</f>
        <v>#NAME?</v>
      </c>
      <c r="AB152" s="183" t="e">
        <f ca="1">IF(X152&lt;Y149,"yes","no")</f>
        <v>#NAME?</v>
      </c>
      <c r="AC152" s="29">
        <f>AC151</f>
        <v>0.18919261909470947</v>
      </c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</row>
    <row r="153" spans="15:44" x14ac:dyDescent="0.3"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</row>
    <row r="154" spans="15:44" x14ac:dyDescent="0.3">
      <c r="O154" s="227" t="s">
        <v>235</v>
      </c>
      <c r="P154" s="362" t="s">
        <v>425</v>
      </c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  <c r="AA154" s="362"/>
      <c r="AB154" s="362"/>
      <c r="AC154" s="362"/>
      <c r="AD154" s="227" t="s">
        <v>487</v>
      </c>
      <c r="AE154" s="358" t="s">
        <v>463</v>
      </c>
      <c r="AF154" s="358"/>
      <c r="AG154" s="358"/>
      <c r="AH154" s="358"/>
      <c r="AI154" s="358"/>
      <c r="AJ154" s="358"/>
      <c r="AK154" s="358"/>
      <c r="AL154" s="358"/>
      <c r="AM154" s="358"/>
      <c r="AN154" s="358"/>
      <c r="AO154" s="358"/>
      <c r="AP154" s="358"/>
      <c r="AQ154" s="358"/>
      <c r="AR154" s="358"/>
    </row>
    <row r="155" spans="15:44" x14ac:dyDescent="0.3">
      <c r="P155" s="29" t="s">
        <v>387</v>
      </c>
      <c r="Q155" s="29" t="s">
        <v>388</v>
      </c>
      <c r="R155" s="6">
        <f>AVERAGE('G-Influent'!$Q$4:$Q$93)</f>
        <v>4.5826133333333319</v>
      </c>
      <c r="S155" s="29"/>
      <c r="T155" s="29" t="s">
        <v>393</v>
      </c>
      <c r="U155" s="29"/>
      <c r="V155" s="29"/>
      <c r="W155" s="29"/>
      <c r="X155" s="29"/>
      <c r="Y155" s="29"/>
      <c r="Z155" s="29"/>
      <c r="AA155" s="29"/>
      <c r="AB155" s="29"/>
      <c r="AC155" s="29"/>
      <c r="AE155" s="29" t="s">
        <v>387</v>
      </c>
      <c r="AF155" s="29" t="s">
        <v>388</v>
      </c>
      <c r="AG155" s="6">
        <f>AVERAGE('stable G-SBR'!$M$4:$M$93)</f>
        <v>1289.0133333333331</v>
      </c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</row>
    <row r="156" spans="15:44" x14ac:dyDescent="0.3">
      <c r="P156" s="29" t="s">
        <v>438</v>
      </c>
      <c r="Q156" s="29" t="s">
        <v>389</v>
      </c>
      <c r="R156" s="6">
        <f>STDEV('G-Influent'!$Q$4:$Q$93)</f>
        <v>8.9661543971087578</v>
      </c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E156" s="29" t="s">
        <v>438</v>
      </c>
      <c r="AF156" s="29" t="s">
        <v>389</v>
      </c>
      <c r="AG156" s="6">
        <f>STDEV('stable G-SBR'!$M$4:$M$93)</f>
        <v>405.26199251189712</v>
      </c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</row>
    <row r="157" spans="15:44" ht="15" thickBot="1" x14ac:dyDescent="0.35">
      <c r="P157" s="29"/>
      <c r="Q157" s="29" t="s">
        <v>200</v>
      </c>
      <c r="R157" s="22">
        <f>COUNT('G-Influent'!$Q$4:$Q$93)</f>
        <v>75</v>
      </c>
      <c r="S157" s="29"/>
      <c r="T157" s="29" t="s">
        <v>394</v>
      </c>
      <c r="U157" s="29"/>
      <c r="V157" s="29"/>
      <c r="W157" s="29" t="s">
        <v>395</v>
      </c>
      <c r="X157" s="6">
        <v>0</v>
      </c>
      <c r="Y157" s="29"/>
      <c r="Z157" s="29"/>
      <c r="AA157" s="29"/>
      <c r="AB157" s="29"/>
      <c r="AC157" s="29"/>
      <c r="AE157" s="29"/>
      <c r="AF157" s="29" t="s">
        <v>200</v>
      </c>
      <c r="AG157" s="22">
        <f>COUNT('stable G-SBR'!$M$4:$M$93)</f>
        <v>30</v>
      </c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</row>
    <row r="158" spans="15:44" ht="15" thickTop="1" x14ac:dyDescent="0.3">
      <c r="P158" s="29"/>
      <c r="Q158" s="29" t="s">
        <v>174</v>
      </c>
      <c r="R158" s="6">
        <f>MIN('G-Influent'!$Q$4:$Q$93)</f>
        <v>8.0000000000000002E-3</v>
      </c>
      <c r="S158" s="29"/>
      <c r="T158" s="191" t="s">
        <v>396</v>
      </c>
      <c r="U158" s="191" t="s">
        <v>290</v>
      </c>
      <c r="V158" s="191" t="s">
        <v>292</v>
      </c>
      <c r="W158" s="191" t="s">
        <v>293</v>
      </c>
      <c r="X158" s="191" t="s">
        <v>397</v>
      </c>
      <c r="Y158" s="29"/>
      <c r="Z158" s="29"/>
      <c r="AA158" s="29"/>
      <c r="AB158" s="29"/>
      <c r="AC158" s="29"/>
      <c r="AE158" s="29"/>
      <c r="AF158" s="29" t="s">
        <v>174</v>
      </c>
      <c r="AG158" s="6">
        <f>MIN('stable G-SBR'!$M$4:$M$93)</f>
        <v>365.6</v>
      </c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</row>
    <row r="159" spans="15:44" x14ac:dyDescent="0.3">
      <c r="P159" s="29"/>
      <c r="Q159" s="29" t="s">
        <v>175</v>
      </c>
      <c r="R159" s="6">
        <f>MAX('G-Influent'!$Q$4:$Q$93)</f>
        <v>39.195999999999998</v>
      </c>
      <c r="S159" s="29"/>
      <c r="T159" s="29" t="str">
        <f>P161</f>
        <v>Period 1</v>
      </c>
      <c r="U159" s="22">
        <f>R162</f>
        <v>38</v>
      </c>
      <c r="V159" s="6">
        <f>R160</f>
        <v>5.2073421052631597</v>
      </c>
      <c r="W159" s="20">
        <f>R156^2</f>
        <v>80.391924672792712</v>
      </c>
      <c r="X159" s="29"/>
      <c r="Y159" s="29"/>
      <c r="Z159" s="29"/>
      <c r="AA159" s="29"/>
      <c r="AB159" s="29"/>
      <c r="AC159" s="29"/>
      <c r="AE159" s="29"/>
      <c r="AF159" s="29" t="s">
        <v>175</v>
      </c>
      <c r="AG159" s="6">
        <f>MAX('stable G-SBR'!$M$4:$M$93)</f>
        <v>1888</v>
      </c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</row>
    <row r="160" spans="15:44" x14ac:dyDescent="0.3">
      <c r="P160" s="29" t="s">
        <v>392</v>
      </c>
      <c r="Q160" s="29" t="s">
        <v>388</v>
      </c>
      <c r="R160" s="6">
        <f>AVERAGE('G-Influent'!$Q$4:$Q$56)</f>
        <v>5.2073421052631597</v>
      </c>
      <c r="S160" s="29"/>
      <c r="T160" s="29" t="str">
        <f>P166</f>
        <v>Period 2</v>
      </c>
      <c r="U160" s="22">
        <f>R167</f>
        <v>34</v>
      </c>
      <c r="V160" s="20">
        <f>R165</f>
        <v>3.9409999999999985</v>
      </c>
      <c r="W160" s="20">
        <f>R166^2</f>
        <v>41.856171555555598</v>
      </c>
      <c r="X160" s="29"/>
      <c r="Y160" s="29"/>
      <c r="Z160" s="29"/>
      <c r="AA160" s="29"/>
      <c r="AB160" s="29"/>
      <c r="AC160" s="29"/>
      <c r="AE160" s="29"/>
      <c r="AF160" s="29" t="s">
        <v>442</v>
      </c>
      <c r="AG160" s="6">
        <f>DEVSQ('stable G-SBR'!$M$4:$M$93)</f>
        <v>4762881.1946666678</v>
      </c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</row>
    <row r="161" spans="15:44" x14ac:dyDescent="0.3">
      <c r="P161" s="29" t="s">
        <v>411</v>
      </c>
      <c r="Q161" s="29" t="s">
        <v>389</v>
      </c>
      <c r="R161" s="6">
        <f>STDEV('G-Influent'!$Q$4:$Q$56)</f>
        <v>10.92000108473491</v>
      </c>
      <c r="S161" s="29"/>
      <c r="T161" s="8" t="s">
        <v>398</v>
      </c>
      <c r="U161" s="8"/>
      <c r="V161" s="8"/>
      <c r="W161" s="8">
        <f>((U159-1)*W159+(U160-1)*W160)/(U159+U160-2)</f>
        <v>62.225069631809504</v>
      </c>
      <c r="X161" s="8">
        <f>ABS(V159-V160-X157)/SQRT(W161)</f>
        <v>0.16053448958795238</v>
      </c>
      <c r="Y161" s="29"/>
      <c r="Z161" s="29"/>
      <c r="AA161" s="29"/>
      <c r="AB161" s="29"/>
      <c r="AC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</row>
    <row r="162" spans="15:44" x14ac:dyDescent="0.3">
      <c r="P162" s="29"/>
      <c r="Q162" s="29" t="s">
        <v>200</v>
      </c>
      <c r="R162" s="22">
        <f>COUNT('G-Influent'!$Q$4:$Q$56)</f>
        <v>38</v>
      </c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</row>
    <row r="163" spans="15:44" ht="15" thickBot="1" x14ac:dyDescent="0.35">
      <c r="P163" s="29"/>
      <c r="Q163" s="29" t="s">
        <v>174</v>
      </c>
      <c r="R163" s="6">
        <f>MIN('G-Influent'!$Q$4:$Q$56)</f>
        <v>8.0000000000000002E-3</v>
      </c>
      <c r="S163" s="29"/>
      <c r="T163" s="29" t="s">
        <v>399</v>
      </c>
      <c r="U163" s="29"/>
      <c r="V163" s="29"/>
      <c r="W163" s="29"/>
      <c r="X163" s="29" t="s">
        <v>288</v>
      </c>
      <c r="Y163" s="29">
        <v>0.05</v>
      </c>
      <c r="Z163" s="29"/>
      <c r="AA163" s="29"/>
      <c r="AB163" s="29"/>
      <c r="AC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</row>
    <row r="164" spans="15:44" ht="15" thickTop="1" x14ac:dyDescent="0.3">
      <c r="P164" s="29"/>
      <c r="Q164" s="29" t="s">
        <v>175</v>
      </c>
      <c r="R164" s="6">
        <f>MAX('G-Influent'!$Q$4:$Q$56)</f>
        <v>39.195999999999998</v>
      </c>
      <c r="S164" s="29"/>
      <c r="T164" s="191" t="s">
        <v>400</v>
      </c>
      <c r="U164" s="191" t="s">
        <v>401</v>
      </c>
      <c r="V164" s="191" t="s">
        <v>402</v>
      </c>
      <c r="W164" s="191" t="s">
        <v>205</v>
      </c>
      <c r="X164" s="191" t="s">
        <v>311</v>
      </c>
      <c r="Y164" s="191" t="s">
        <v>403</v>
      </c>
      <c r="Z164" s="191" t="s">
        <v>404</v>
      </c>
      <c r="AA164" s="191" t="s">
        <v>405</v>
      </c>
      <c r="AB164" s="191" t="s">
        <v>406</v>
      </c>
      <c r="AC164" s="191" t="s">
        <v>407</v>
      </c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</row>
    <row r="165" spans="15:44" x14ac:dyDescent="0.3">
      <c r="P165" s="29" t="s">
        <v>391</v>
      </c>
      <c r="Q165" s="29" t="s">
        <v>388</v>
      </c>
      <c r="R165" s="6">
        <f>AVERAGE('G-Influent'!$Q$57:$Q$93)</f>
        <v>3.9409999999999985</v>
      </c>
      <c r="S165" s="29"/>
      <c r="T165" s="29" t="s">
        <v>408</v>
      </c>
      <c r="U165" s="29">
        <f>SQRT(W161*(1/U159+1/U160))</f>
        <v>1.8621629733280507</v>
      </c>
      <c r="V165" s="29">
        <f>(ABS(V159-V160-X157))/U165</f>
        <v>0.68003827989338617</v>
      </c>
      <c r="W165" s="29">
        <f>U159+U160-2</f>
        <v>70</v>
      </c>
      <c r="X165" s="29">
        <f>TDIST(V165,W165,1)</f>
        <v>0.24936157507184581</v>
      </c>
      <c r="Y165" s="29">
        <f>TINV(Y163*2,W165)</f>
        <v>1.6669144790559576</v>
      </c>
      <c r="Z165" s="29"/>
      <c r="AA165" s="29"/>
      <c r="AB165" s="183" t="str">
        <f>IF(X165&lt;Y163,"yes","no")</f>
        <v>no</v>
      </c>
      <c r="AC165" s="29">
        <f>SQRT(V165^2/(V165^2+W165))</f>
        <v>8.1012956932439095E-2</v>
      </c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</row>
    <row r="166" spans="15:44" x14ac:dyDescent="0.3">
      <c r="P166" s="29" t="s">
        <v>412</v>
      </c>
      <c r="Q166" s="29" t="s">
        <v>389</v>
      </c>
      <c r="R166" s="6">
        <f>STDEV('G-Influent'!$Q$57:$Q$96)</f>
        <v>6.4696345766631671</v>
      </c>
      <c r="S166" s="29"/>
      <c r="T166" s="29" t="s">
        <v>409</v>
      </c>
      <c r="U166" s="29">
        <f>U165</f>
        <v>1.8621629733280507</v>
      </c>
      <c r="V166" s="29">
        <f>V165</f>
        <v>0.68003827989338617</v>
      </c>
      <c r="W166" s="29">
        <f t="shared" ref="W166" si="18">W165</f>
        <v>70</v>
      </c>
      <c r="X166" s="29">
        <f>TDIST(V166,W166,2)</f>
        <v>0.49872315014369162</v>
      </c>
      <c r="Y166" s="29">
        <f>TINV(Y163,W166)</f>
        <v>1.9944371117711854</v>
      </c>
      <c r="Z166" s="29">
        <f>(V159-V160)-Y166*U166</f>
        <v>-2.4476248369084792</v>
      </c>
      <c r="AA166" s="29">
        <f>(V159-V160)+Y166*U166</f>
        <v>4.9803090474348011</v>
      </c>
      <c r="AB166" s="183" t="str">
        <f>IF(X166&lt;Y163,"yes","no")</f>
        <v>no</v>
      </c>
      <c r="AC166" s="29">
        <f>AC165</f>
        <v>8.1012956932439095E-2</v>
      </c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</row>
    <row r="167" spans="15:44" x14ac:dyDescent="0.3">
      <c r="P167" s="29"/>
      <c r="Q167" s="29" t="s">
        <v>200</v>
      </c>
      <c r="R167" s="22">
        <f>COUNT('G-Influent'!$Q$57:$Q$90)</f>
        <v>34</v>
      </c>
      <c r="S167" s="29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</row>
    <row r="168" spans="15:44" ht="15" thickBot="1" x14ac:dyDescent="0.35">
      <c r="P168" s="29"/>
      <c r="Q168" s="29" t="s">
        <v>174</v>
      </c>
      <c r="R168" s="6">
        <f>MIN('G-Influent'!$Q$57:$Q$93)</f>
        <v>8.0000000000000002E-3</v>
      </c>
      <c r="S168" s="29"/>
      <c r="T168" s="29" t="s">
        <v>410</v>
      </c>
      <c r="U168" s="29"/>
      <c r="V168" s="29"/>
      <c r="W168" s="29"/>
      <c r="X168" s="29" t="s">
        <v>288</v>
      </c>
      <c r="Y168" s="29">
        <f>Y163</f>
        <v>0.05</v>
      </c>
      <c r="Z168" s="29"/>
      <c r="AA168" s="29"/>
      <c r="AB168" s="29"/>
      <c r="AC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</row>
    <row r="169" spans="15:44" ht="15" thickTop="1" x14ac:dyDescent="0.3">
      <c r="P169" s="29"/>
      <c r="Q169" s="29" t="s">
        <v>175</v>
      </c>
      <c r="R169" s="6">
        <f>MAX('G-Influent'!$Q$57:$Q$93)</f>
        <v>20.667999999999999</v>
      </c>
      <c r="S169" s="29"/>
      <c r="T169" s="191" t="s">
        <v>400</v>
      </c>
      <c r="U169" s="191" t="s">
        <v>401</v>
      </c>
      <c r="V169" s="191" t="s">
        <v>402</v>
      </c>
      <c r="W169" s="191" t="s">
        <v>205</v>
      </c>
      <c r="X169" s="191" t="s">
        <v>311</v>
      </c>
      <c r="Y169" s="191" t="s">
        <v>403</v>
      </c>
      <c r="Z169" s="191" t="s">
        <v>404</v>
      </c>
      <c r="AA169" s="191" t="s">
        <v>405</v>
      </c>
      <c r="AB169" s="191" t="s">
        <v>406</v>
      </c>
      <c r="AC169" s="191" t="s">
        <v>407</v>
      </c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</row>
    <row r="170" spans="15:44" x14ac:dyDescent="0.3">
      <c r="P170" s="29"/>
      <c r="Q170" s="29"/>
      <c r="R170" s="212"/>
      <c r="S170" s="29"/>
      <c r="T170" s="29" t="s">
        <v>408</v>
      </c>
      <c r="U170" s="29">
        <f>SQRT(W159/U159+W160/U160)</f>
        <v>1.8293826374912765</v>
      </c>
      <c r="V170" s="29">
        <f>(ABS(V159-V160-X157))/U170</f>
        <v>0.69222374767903072</v>
      </c>
      <c r="W170" s="29">
        <f>(W159/U159+W160/U160)^2/((W159/U159)^2/(U159-1)+(W160/U160)^2/(U160-1))</f>
        <v>67.110608959312188</v>
      </c>
      <c r="X170" s="29" t="e">
        <f ca="1">[1]!T_DIST_RT(V170,W170)</f>
        <v>#NAME?</v>
      </c>
      <c r="Y170" s="29" t="e">
        <f ca="1">[1]!T_INV(1-Y168,W170)</f>
        <v>#NAME?</v>
      </c>
      <c r="Z170" s="29"/>
      <c r="AA170" s="29"/>
      <c r="AB170" s="183" t="e">
        <f ca="1">IF(X170&lt;Y168,"yes","no")</f>
        <v>#NAME?</v>
      </c>
      <c r="AC170" s="29">
        <f>SQRT(V170^2/(V170^2+W170))</f>
        <v>8.4198813042090231E-2</v>
      </c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</row>
    <row r="171" spans="15:44" x14ac:dyDescent="0.3">
      <c r="P171" s="29"/>
      <c r="Q171" s="29"/>
      <c r="R171" s="29"/>
      <c r="S171" s="29"/>
      <c r="T171" s="29" t="s">
        <v>409</v>
      </c>
      <c r="U171" s="29">
        <f>U170</f>
        <v>1.8293826374912765</v>
      </c>
      <c r="V171" s="29">
        <f t="shared" ref="V171:W171" si="19">V170</f>
        <v>0.69222374767903072</v>
      </c>
      <c r="W171" s="29">
        <f t="shared" si="19"/>
        <v>67.110608959312188</v>
      </c>
      <c r="X171" s="29" t="e">
        <f ca="1">[1]!T_DIST_2T(V171,W171)</f>
        <v>#NAME?</v>
      </c>
      <c r="Y171" s="29" t="e">
        <f ca="1">[1]!T_INV_2T(Y168,W171)</f>
        <v>#NAME?</v>
      </c>
      <c r="Z171" s="29" t="e">
        <f ca="1">(V159-V160)-Y171*U171</f>
        <v>#NAME?</v>
      </c>
      <c r="AA171" s="29" t="e">
        <f ca="1">(V159-V160)+Y171*U171</f>
        <v>#NAME?</v>
      </c>
      <c r="AB171" s="183" t="e">
        <f ca="1">IF(X171&lt;Y168,"yes","no")</f>
        <v>#NAME?</v>
      </c>
      <c r="AC171" s="29">
        <f>AC170</f>
        <v>8.4198813042090231E-2</v>
      </c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</row>
    <row r="172" spans="15:44" x14ac:dyDescent="0.3"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</row>
    <row r="173" spans="15:44" x14ac:dyDescent="0.3">
      <c r="O173" s="227" t="s">
        <v>427</v>
      </c>
      <c r="P173" s="362" t="s">
        <v>426</v>
      </c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  <c r="AB173" s="362"/>
      <c r="AC173" s="362"/>
      <c r="AD173" s="227" t="s">
        <v>427</v>
      </c>
      <c r="AE173" s="358" t="s">
        <v>464</v>
      </c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</row>
    <row r="174" spans="15:44" x14ac:dyDescent="0.3">
      <c r="P174" s="29" t="s">
        <v>387</v>
      </c>
      <c r="Q174" s="29" t="s">
        <v>388</v>
      </c>
      <c r="R174" s="6">
        <f>AVERAGE('G-Influent'!$R$4:$R$93)</f>
        <v>1.2370400000000004</v>
      </c>
      <c r="S174" s="29"/>
      <c r="T174" s="29" t="s">
        <v>393</v>
      </c>
      <c r="U174" s="29"/>
      <c r="V174" s="29"/>
      <c r="W174" s="29"/>
      <c r="X174" s="29"/>
      <c r="Y174" s="29"/>
      <c r="Z174" s="29"/>
      <c r="AA174" s="29"/>
      <c r="AB174" s="29"/>
      <c r="AC174" s="29"/>
      <c r="AE174" s="29" t="s">
        <v>387</v>
      </c>
      <c r="AF174" s="29" t="s">
        <v>388</v>
      </c>
      <c r="AG174" s="6">
        <f>AVERAGE('stable G-SBR'!$R$4:$R$93)</f>
        <v>4.9963333333333333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</row>
    <row r="175" spans="15:44" x14ac:dyDescent="0.3">
      <c r="P175" s="29" t="s">
        <v>438</v>
      </c>
      <c r="Q175" s="29" t="s">
        <v>389</v>
      </c>
      <c r="R175" s="6">
        <f>STDEV('G-Influent'!$R$4:$R$93)</f>
        <v>3.9596400138041496</v>
      </c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E175" s="29" t="s">
        <v>438</v>
      </c>
      <c r="AF175" s="29" t="s">
        <v>389</v>
      </c>
      <c r="AG175" s="6">
        <f>STDEV('stable G-SBR'!$R$4:$R$93)</f>
        <v>3.0138696438109371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</row>
    <row r="176" spans="15:44" ht="15" thickBot="1" x14ac:dyDescent="0.35">
      <c r="P176" s="29"/>
      <c r="Q176" s="29" t="s">
        <v>200</v>
      </c>
      <c r="R176" s="22">
        <f>COUNT('G-Influent'!$R$4:$R$93)</f>
        <v>75</v>
      </c>
      <c r="S176" s="29"/>
      <c r="T176" s="29" t="s">
        <v>394</v>
      </c>
      <c r="U176" s="29"/>
      <c r="V176" s="29"/>
      <c r="W176" s="29" t="s">
        <v>395</v>
      </c>
      <c r="X176" s="6">
        <v>0</v>
      </c>
      <c r="Y176" s="29"/>
      <c r="Z176" s="29"/>
      <c r="AA176" s="29"/>
      <c r="AB176" s="29"/>
      <c r="AC176" s="29"/>
      <c r="AE176" s="29"/>
      <c r="AF176" s="29" t="s">
        <v>200</v>
      </c>
      <c r="AG176" s="22">
        <f>COUNT('stable G-SBR'!$R$4:$R$93)</f>
        <v>30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</row>
    <row r="177" spans="16:44" ht="15" thickTop="1" x14ac:dyDescent="0.3">
      <c r="P177" s="29"/>
      <c r="Q177" s="29" t="s">
        <v>174</v>
      </c>
      <c r="R177" s="6">
        <f>MIN('G-Influent'!$R$4:$R$93)</f>
        <v>2.200000000000002E-2</v>
      </c>
      <c r="S177" s="29"/>
      <c r="T177" s="191" t="s">
        <v>396</v>
      </c>
      <c r="U177" s="191" t="s">
        <v>290</v>
      </c>
      <c r="V177" s="191" t="s">
        <v>292</v>
      </c>
      <c r="W177" s="191" t="s">
        <v>293</v>
      </c>
      <c r="X177" s="191" t="s">
        <v>397</v>
      </c>
      <c r="Y177" s="29"/>
      <c r="Z177" s="29"/>
      <c r="AA177" s="29"/>
      <c r="AB177" s="29"/>
      <c r="AC177" s="29"/>
      <c r="AE177" s="29"/>
      <c r="AF177" s="29" t="s">
        <v>174</v>
      </c>
      <c r="AG177" s="6">
        <f>MIN('stable G-SBR'!$R$4:$R$93)</f>
        <v>0.1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</row>
    <row r="178" spans="16:44" x14ac:dyDescent="0.3">
      <c r="P178" s="29"/>
      <c r="Q178" s="29" t="s">
        <v>175</v>
      </c>
      <c r="R178" s="6">
        <f>MAX('G-Influent'!$R$4:$R$93)</f>
        <v>29.788000000000004</v>
      </c>
      <c r="S178" s="29"/>
      <c r="T178" s="29" t="str">
        <f>P180</f>
        <v>Period 1</v>
      </c>
      <c r="U178" s="22">
        <f>R181</f>
        <v>38</v>
      </c>
      <c r="V178" s="6">
        <f>R179</f>
        <v>0.53963157894736835</v>
      </c>
      <c r="W178" s="20">
        <f>R175^2</f>
        <v>15.678749038918927</v>
      </c>
      <c r="X178" s="29"/>
      <c r="Y178" s="29"/>
      <c r="Z178" s="29"/>
      <c r="AA178" s="29"/>
      <c r="AB178" s="29"/>
      <c r="AC178" s="29"/>
      <c r="AE178" s="29"/>
      <c r="AF178" s="29" t="s">
        <v>175</v>
      </c>
      <c r="AG178" s="6">
        <f>MAX('stable G-SBR'!$R$4:$R$93)</f>
        <v>9.98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</row>
    <row r="179" spans="16:44" x14ac:dyDescent="0.3">
      <c r="P179" s="29" t="s">
        <v>392</v>
      </c>
      <c r="Q179" s="29" t="s">
        <v>388</v>
      </c>
      <c r="R179" s="6">
        <f>AVERAGE('G-Influent'!$R$4:$R$56)</f>
        <v>0.53963157894736835</v>
      </c>
      <c r="S179" s="29"/>
      <c r="T179" s="29" t="str">
        <f>P185</f>
        <v>Period 2</v>
      </c>
      <c r="U179" s="22">
        <f>R186</f>
        <v>34</v>
      </c>
      <c r="V179" s="20">
        <f>R184</f>
        <v>1.9532972972972975</v>
      </c>
      <c r="W179" s="20">
        <f>R185^2</f>
        <v>28.1226209924925</v>
      </c>
      <c r="X179" s="29"/>
      <c r="Y179" s="29"/>
      <c r="Z179" s="29"/>
      <c r="AA179" s="29"/>
      <c r="AB179" s="29"/>
      <c r="AC179" s="29"/>
      <c r="AE179" s="29"/>
      <c r="AF179" s="29" t="s">
        <v>442</v>
      </c>
      <c r="AG179" s="6">
        <f>DEVSQ('stable G-SBR'!$R$4:$R$93)</f>
        <v>263.41889666666668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</row>
    <row r="180" spans="16:44" x14ac:dyDescent="0.3">
      <c r="P180" s="29" t="s">
        <v>411</v>
      </c>
      <c r="Q180" s="29" t="s">
        <v>389</v>
      </c>
      <c r="R180" s="6">
        <f>STDEV('G-Influent'!$R$4:$R$56)</f>
        <v>1.7269625173329948</v>
      </c>
      <c r="S180" s="29"/>
      <c r="T180" s="8" t="s">
        <v>398</v>
      </c>
      <c r="U180" s="8"/>
      <c r="V180" s="8"/>
      <c r="W180" s="8">
        <f>((U178-1)*W178+(U179-1)*W179)/(U178+U179-2)</f>
        <v>21.545145817032186</v>
      </c>
      <c r="X180" s="8">
        <f>ABS(V178-V179-X176)/SQRT(W180)</f>
        <v>0.30455939952339428</v>
      </c>
      <c r="Y180" s="29"/>
      <c r="Z180" s="29"/>
      <c r="AA180" s="29"/>
      <c r="AB180" s="29"/>
      <c r="AC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</row>
    <row r="181" spans="16:44" x14ac:dyDescent="0.3">
      <c r="P181" s="29"/>
      <c r="Q181" s="29" t="s">
        <v>200</v>
      </c>
      <c r="R181" s="22">
        <f>COUNT('G-Influent'!$R$4:$R$56)</f>
        <v>38</v>
      </c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</row>
    <row r="182" spans="16:44" ht="15" thickBot="1" x14ac:dyDescent="0.35">
      <c r="P182" s="29"/>
      <c r="Q182" s="29" t="s">
        <v>174</v>
      </c>
      <c r="R182" s="6">
        <f>MIN('G-Influent'!$R$4:$R$56)</f>
        <v>2.8000000000000025E-2</v>
      </c>
      <c r="S182" s="29"/>
      <c r="T182" s="29" t="s">
        <v>399</v>
      </c>
      <c r="U182" s="29"/>
      <c r="V182" s="29"/>
      <c r="W182" s="29"/>
      <c r="X182" s="29" t="s">
        <v>288</v>
      </c>
      <c r="Y182" s="29">
        <v>0.05</v>
      </c>
      <c r="Z182" s="29"/>
      <c r="AA182" s="29"/>
      <c r="AB182" s="29"/>
      <c r="AC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</row>
    <row r="183" spans="16:44" ht="15" thickTop="1" x14ac:dyDescent="0.3">
      <c r="P183" s="29"/>
      <c r="Q183" s="29" t="s">
        <v>175</v>
      </c>
      <c r="R183" s="6">
        <f>MAX('G-Influent'!$R$4:$R$56)</f>
        <v>10.778</v>
      </c>
      <c r="S183" s="29"/>
      <c r="T183" s="191" t="s">
        <v>400</v>
      </c>
      <c r="U183" s="191" t="s">
        <v>401</v>
      </c>
      <c r="V183" s="191" t="s">
        <v>402</v>
      </c>
      <c r="W183" s="191" t="s">
        <v>205</v>
      </c>
      <c r="X183" s="191" t="s">
        <v>311</v>
      </c>
      <c r="Y183" s="191" t="s">
        <v>403</v>
      </c>
      <c r="Z183" s="191" t="s">
        <v>404</v>
      </c>
      <c r="AA183" s="191" t="s">
        <v>405</v>
      </c>
      <c r="AB183" s="191" t="s">
        <v>406</v>
      </c>
      <c r="AC183" s="191" t="s">
        <v>407</v>
      </c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</row>
    <row r="184" spans="16:44" x14ac:dyDescent="0.3">
      <c r="P184" s="29" t="s">
        <v>391</v>
      </c>
      <c r="Q184" s="29" t="s">
        <v>388</v>
      </c>
      <c r="R184" s="6">
        <f>AVERAGE('G-Influent'!$R$57:$R$93)</f>
        <v>1.9532972972972975</v>
      </c>
      <c r="S184" s="29"/>
      <c r="T184" s="29" t="s">
        <v>408</v>
      </c>
      <c r="U184" s="29">
        <f>SQRT(W180*(1/U178+1/U179))</f>
        <v>1.0957455365299569</v>
      </c>
      <c r="V184" s="29">
        <f>(ABS(V178-V179-X176))/U184</f>
        <v>1.2901405218831852</v>
      </c>
      <c r="W184" s="29">
        <f>U178+U179-2</f>
        <v>70</v>
      </c>
      <c r="X184" s="29">
        <f>TDIST(V184,W184,1)</f>
        <v>0.10062379300046229</v>
      </c>
      <c r="Y184" s="29">
        <f>TINV(Y182*2,W184)</f>
        <v>1.6669144790559576</v>
      </c>
      <c r="Z184" s="29"/>
      <c r="AA184" s="29"/>
      <c r="AB184" s="183" t="str">
        <f>IF(X184&lt;Y182,"yes","no")</f>
        <v>no</v>
      </c>
      <c r="AC184" s="29">
        <f>SQRT(V184^2/(V184^2+W184))</f>
        <v>0.15240004386296857</v>
      </c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</row>
    <row r="185" spans="16:44" x14ac:dyDescent="0.3">
      <c r="P185" s="29" t="s">
        <v>412</v>
      </c>
      <c r="Q185" s="29" t="s">
        <v>389</v>
      </c>
      <c r="R185" s="6">
        <f>STDEV('G-Influent'!$R$57:$R$96)</f>
        <v>5.3030765591769935</v>
      </c>
      <c r="S185" s="29"/>
      <c r="T185" s="29" t="s">
        <v>409</v>
      </c>
      <c r="U185" s="29">
        <f>U184</f>
        <v>1.0957455365299569</v>
      </c>
      <c r="V185" s="29">
        <f>V184</f>
        <v>1.2901405218831852</v>
      </c>
      <c r="W185" s="29">
        <f t="shared" ref="W185" si="20">W184</f>
        <v>70</v>
      </c>
      <c r="X185" s="29">
        <f>TDIST(V185,W185,2)</f>
        <v>0.20124758600092457</v>
      </c>
      <c r="Y185" s="29">
        <f>TINV(Y182,W185)</f>
        <v>1.9944371117711854</v>
      </c>
      <c r="Z185" s="29">
        <f>(V178-V179)-Y185*U185</f>
        <v>-3.5990612814629044</v>
      </c>
      <c r="AA185" s="29">
        <f>(V178-V179)+Y185*U185</f>
        <v>0.77172984476304585</v>
      </c>
      <c r="AB185" s="183" t="str">
        <f>IF(X185&lt;Y182,"yes","no")</f>
        <v>no</v>
      </c>
      <c r="AC185" s="29">
        <f>AC184</f>
        <v>0.15240004386296857</v>
      </c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</row>
    <row r="186" spans="16:44" x14ac:dyDescent="0.3">
      <c r="P186" s="29"/>
      <c r="Q186" s="29" t="s">
        <v>200</v>
      </c>
      <c r="R186" s="22">
        <f>COUNT('G-Influent'!$R$57:$R$90)</f>
        <v>34</v>
      </c>
      <c r="S186" s="29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</row>
    <row r="187" spans="16:44" ht="15" thickBot="1" x14ac:dyDescent="0.35">
      <c r="P187" s="29"/>
      <c r="Q187" s="29" t="s">
        <v>174</v>
      </c>
      <c r="R187" s="6">
        <f>MIN('G-Influent'!$R$57:$R$93)</f>
        <v>2.200000000000002E-2</v>
      </c>
      <c r="S187" s="29"/>
      <c r="T187" s="29" t="s">
        <v>410</v>
      </c>
      <c r="U187" s="29"/>
      <c r="V187" s="29"/>
      <c r="W187" s="29"/>
      <c r="X187" s="29" t="s">
        <v>288</v>
      </c>
      <c r="Y187" s="29">
        <f>Y182</f>
        <v>0.05</v>
      </c>
      <c r="Z187" s="29"/>
      <c r="AA187" s="29"/>
      <c r="AB187" s="29"/>
      <c r="AC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</row>
    <row r="188" spans="16:44" ht="15" thickTop="1" x14ac:dyDescent="0.3">
      <c r="P188" s="29"/>
      <c r="Q188" s="29" t="s">
        <v>175</v>
      </c>
      <c r="R188" s="6">
        <f>MAX('G-Influent'!$R$57:$R$93)</f>
        <v>29.788000000000004</v>
      </c>
      <c r="S188" s="29"/>
      <c r="T188" s="191" t="s">
        <v>400</v>
      </c>
      <c r="U188" s="191" t="s">
        <v>401</v>
      </c>
      <c r="V188" s="191" t="s">
        <v>402</v>
      </c>
      <c r="W188" s="191" t="s">
        <v>205</v>
      </c>
      <c r="X188" s="191" t="s">
        <v>311</v>
      </c>
      <c r="Y188" s="191" t="s">
        <v>403</v>
      </c>
      <c r="Z188" s="191" t="s">
        <v>404</v>
      </c>
      <c r="AA188" s="191" t="s">
        <v>405</v>
      </c>
      <c r="AB188" s="191" t="s">
        <v>406</v>
      </c>
      <c r="AC188" s="191" t="s">
        <v>407</v>
      </c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</row>
    <row r="189" spans="16:44" x14ac:dyDescent="0.3">
      <c r="P189" s="29"/>
      <c r="Q189" s="29"/>
      <c r="R189" s="212"/>
      <c r="S189" s="29"/>
      <c r="T189" s="29" t="s">
        <v>408</v>
      </c>
      <c r="U189" s="29">
        <f>SQRT(W178/U178+W179/U179)</f>
        <v>1.1134336848069653</v>
      </c>
      <c r="V189" s="29">
        <f>(ABS(V178-V179-X176))/U189</f>
        <v>1.2696451864531249</v>
      </c>
      <c r="W189" s="29">
        <f>(W178/U178+W179/U179)^2/((W178/U178)^2/(U178-1)+(W179/U179)^2/(U179-1))</f>
        <v>60.669669949368703</v>
      </c>
      <c r="X189" s="29" t="e">
        <f ca="1">[1]!T_DIST_RT(V189,W189)</f>
        <v>#NAME?</v>
      </c>
      <c r="Y189" s="29" t="e">
        <f ca="1">[1]!T_INV(1-Y187,W189)</f>
        <v>#NAME?</v>
      </c>
      <c r="Z189" s="29"/>
      <c r="AA189" s="29"/>
      <c r="AB189" s="183" t="e">
        <f ca="1">IF(X189&lt;Y187,"yes","no")</f>
        <v>#NAME?</v>
      </c>
      <c r="AC189" s="29">
        <f>SQRT(V189^2/(V189^2+W189))</f>
        <v>0.16088007126238993</v>
      </c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</row>
    <row r="190" spans="16:44" x14ac:dyDescent="0.3">
      <c r="P190" s="29"/>
      <c r="Q190" s="29"/>
      <c r="R190" s="29"/>
      <c r="S190" s="29"/>
      <c r="T190" s="29" t="s">
        <v>409</v>
      </c>
      <c r="U190" s="29">
        <f>U189</f>
        <v>1.1134336848069653</v>
      </c>
      <c r="V190" s="29">
        <f t="shared" ref="V190:W190" si="21">V189</f>
        <v>1.2696451864531249</v>
      </c>
      <c r="W190" s="29">
        <f t="shared" si="21"/>
        <v>60.669669949368703</v>
      </c>
      <c r="X190" s="29" t="e">
        <f ca="1">[1]!T_DIST_2T(V190,W190)</f>
        <v>#NAME?</v>
      </c>
      <c r="Y190" s="29" t="e">
        <f ca="1">[1]!T_INV_2T(Y187,W190)</f>
        <v>#NAME?</v>
      </c>
      <c r="Z190" s="29" t="e">
        <f ca="1">(V178-V179)-Y190*U190</f>
        <v>#NAME?</v>
      </c>
      <c r="AA190" s="29" t="e">
        <f ca="1">(V178-V179)+Y190*U190</f>
        <v>#NAME?</v>
      </c>
      <c r="AB190" s="183" t="e">
        <f ca="1">IF(X190&lt;Y187,"yes","no")</f>
        <v>#NAME?</v>
      </c>
      <c r="AC190" s="29">
        <f>AC189</f>
        <v>0.16088007126238993</v>
      </c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</row>
    <row r="191" spans="16:44" x14ac:dyDescent="0.3"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</row>
    <row r="192" spans="16:44" x14ac:dyDescent="0.3">
      <c r="AD192" s="227" t="s">
        <v>96</v>
      </c>
      <c r="AE192" s="358" t="s">
        <v>465</v>
      </c>
      <c r="AF192" s="358"/>
      <c r="AG192" s="358"/>
      <c r="AH192" s="358"/>
      <c r="AI192" s="358"/>
      <c r="AJ192" s="358"/>
      <c r="AK192" s="358"/>
      <c r="AL192" s="358"/>
      <c r="AM192" s="358"/>
      <c r="AN192" s="358"/>
      <c r="AO192" s="358"/>
      <c r="AP192" s="358"/>
      <c r="AQ192" s="358"/>
      <c r="AR192" s="358"/>
    </row>
    <row r="193" spans="31:44" x14ac:dyDescent="0.3">
      <c r="AE193" s="29" t="s">
        <v>387</v>
      </c>
      <c r="AF193" s="29" t="s">
        <v>388</v>
      </c>
      <c r="AG193" s="6">
        <f>AVERAGE('stable G-SBR'!$N$4:$N$93)</f>
        <v>770.23333333333335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</row>
    <row r="194" spans="31:44" x14ac:dyDescent="0.3">
      <c r="AE194" s="29" t="s">
        <v>438</v>
      </c>
      <c r="AF194" s="29" t="s">
        <v>389</v>
      </c>
      <c r="AG194" s="6">
        <f>STDEV('stable G-SBR'!$N$4:$N$93)</f>
        <v>939.90610988667311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</row>
    <row r="195" spans="31:44" x14ac:dyDescent="0.3">
      <c r="AE195" s="29"/>
      <c r="AF195" s="29" t="s">
        <v>200</v>
      </c>
      <c r="AG195" s="22">
        <f>COUNT('stable G-SBR'!$N$4:$N$93)</f>
        <v>30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</row>
    <row r="196" spans="31:44" x14ac:dyDescent="0.3">
      <c r="AE196" s="29"/>
      <c r="AF196" s="29" t="s">
        <v>174</v>
      </c>
      <c r="AG196" s="6">
        <f>MIN('stable G-SBR'!$N$4:$N$93)</f>
        <v>253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</row>
    <row r="197" spans="31:44" x14ac:dyDescent="0.3">
      <c r="AE197" s="29"/>
      <c r="AF197" s="29" t="s">
        <v>175</v>
      </c>
      <c r="AG197" s="6">
        <f>MAX('stable G-SBR'!$N$4:$N$93)</f>
        <v>4205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</row>
    <row r="198" spans="31:44" x14ac:dyDescent="0.3">
      <c r="AE198" s="29"/>
      <c r="AF198" s="29" t="s">
        <v>442</v>
      </c>
      <c r="AG198" s="6">
        <f>DEVSQ('stable G-SBR'!$N$4:$N$93)</f>
        <v>25619281.366666667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</row>
    <row r="199" spans="31:44" x14ac:dyDescent="0.3"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</row>
    <row r="200" spans="31:44" x14ac:dyDescent="0.3"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</row>
    <row r="201" spans="31:44" x14ac:dyDescent="0.3"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</row>
    <row r="202" spans="31:44" x14ac:dyDescent="0.3"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</row>
    <row r="203" spans="31:44" x14ac:dyDescent="0.3"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</row>
    <row r="204" spans="31:44" x14ac:dyDescent="0.3"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</row>
    <row r="205" spans="31:44" x14ac:dyDescent="0.3"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</row>
    <row r="206" spans="31:44" x14ac:dyDescent="0.3"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</row>
    <row r="207" spans="31:44" x14ac:dyDescent="0.3"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</row>
    <row r="208" spans="31:44" x14ac:dyDescent="0.3"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</row>
    <row r="209" spans="30:44" x14ac:dyDescent="0.3"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</row>
    <row r="210" spans="30:44" x14ac:dyDescent="0.3"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</row>
    <row r="211" spans="30:44" x14ac:dyDescent="0.3">
      <c r="AD211" s="227" t="s">
        <v>421</v>
      </c>
      <c r="AE211" s="358" t="s">
        <v>466</v>
      </c>
      <c r="AF211" s="358"/>
      <c r="AG211" s="358"/>
      <c r="AH211" s="358"/>
      <c r="AI211" s="358"/>
      <c r="AJ211" s="358"/>
      <c r="AK211" s="358"/>
      <c r="AL211" s="358"/>
      <c r="AM211" s="358"/>
      <c r="AN211" s="358"/>
      <c r="AO211" s="358"/>
      <c r="AP211" s="358"/>
      <c r="AQ211" s="358"/>
      <c r="AR211" s="358"/>
    </row>
    <row r="212" spans="30:44" x14ac:dyDescent="0.3">
      <c r="AE212" s="29" t="s">
        <v>387</v>
      </c>
      <c r="AF212" s="29" t="s">
        <v>388</v>
      </c>
      <c r="AG212" s="6">
        <f>AVERAGE('stable G-SBR'!$G$4:$G$93)</f>
        <v>0.5594658019196429</v>
      </c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</row>
    <row r="213" spans="30:44" x14ac:dyDescent="0.3">
      <c r="AE213" s="29" t="s">
        <v>438</v>
      </c>
      <c r="AF213" s="29" t="s">
        <v>389</v>
      </c>
      <c r="AG213" s="6">
        <f>STDEV('stable G-SBR'!$G$4:$G$93)</f>
        <v>0.28739893024809599</v>
      </c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</row>
    <row r="214" spans="30:44" x14ac:dyDescent="0.3">
      <c r="AE214" s="29"/>
      <c r="AF214" s="29" t="s">
        <v>200</v>
      </c>
      <c r="AG214" s="22">
        <f>COUNT('stable G-SBR'!$G$4:$G$93)</f>
        <v>28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</row>
    <row r="215" spans="30:44" x14ac:dyDescent="0.3">
      <c r="AE215" s="29"/>
      <c r="AF215" s="29" t="s">
        <v>174</v>
      </c>
      <c r="AG215" s="6">
        <f>MIN('stable G-SBR'!$G$4:$G$93)</f>
        <v>0.16673729125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</row>
    <row r="216" spans="30:44" x14ac:dyDescent="0.3">
      <c r="AE216" s="29"/>
      <c r="AF216" s="29" t="s">
        <v>175</v>
      </c>
      <c r="AG216" s="6">
        <f>MAX('stable G-SBR'!$G$4:$G$93)</f>
        <v>1.3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</row>
    <row r="217" spans="30:44" x14ac:dyDescent="0.3">
      <c r="AE217" s="29"/>
      <c r="AF217" s="29" t="s">
        <v>442</v>
      </c>
      <c r="AG217" s="6">
        <f>DEVSQ('stable G-SBR'!$G$4:$G$93)</f>
        <v>2.2301499179092485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</row>
    <row r="218" spans="30:44" x14ac:dyDescent="0.3"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</row>
    <row r="219" spans="30:44" x14ac:dyDescent="0.3"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</row>
    <row r="220" spans="30:44" x14ac:dyDescent="0.3"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</row>
    <row r="221" spans="30:44" x14ac:dyDescent="0.3"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</row>
    <row r="222" spans="30:44" x14ac:dyDescent="0.3"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</row>
    <row r="223" spans="30:44" x14ac:dyDescent="0.3"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</row>
    <row r="224" spans="30:44" x14ac:dyDescent="0.3"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</row>
    <row r="225" spans="30:44" x14ac:dyDescent="0.3"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</row>
    <row r="226" spans="30:44" x14ac:dyDescent="0.3"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</row>
    <row r="227" spans="30:44" x14ac:dyDescent="0.3"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</row>
    <row r="228" spans="30:44" x14ac:dyDescent="0.3"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</row>
    <row r="229" spans="30:44" x14ac:dyDescent="0.3"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</row>
    <row r="230" spans="30:44" x14ac:dyDescent="0.3">
      <c r="AD230" s="227" t="s">
        <v>91</v>
      </c>
      <c r="AE230" s="358" t="s">
        <v>467</v>
      </c>
      <c r="AF230" s="358"/>
      <c r="AG230" s="358"/>
      <c r="AH230" s="358"/>
      <c r="AI230" s="358"/>
      <c r="AJ230" s="358"/>
      <c r="AK230" s="358"/>
      <c r="AL230" s="358"/>
      <c r="AM230" s="358"/>
      <c r="AN230" s="358"/>
      <c r="AO230" s="358"/>
      <c r="AP230" s="358"/>
      <c r="AQ230" s="358"/>
      <c r="AR230" s="358"/>
    </row>
    <row r="231" spans="30:44" x14ac:dyDescent="0.3">
      <c r="AE231" s="29" t="s">
        <v>387</v>
      </c>
      <c r="AF231" s="29" t="s">
        <v>388</v>
      </c>
      <c r="AG231" s="6">
        <f>AVERAGE('stable G-SBR'!$F$4:$F$93)</f>
        <v>7.8027144208333343</v>
      </c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</row>
    <row r="232" spans="30:44" x14ac:dyDescent="0.3">
      <c r="AE232" s="29" t="s">
        <v>438</v>
      </c>
      <c r="AF232" s="29" t="s">
        <v>389</v>
      </c>
      <c r="AG232" s="6">
        <f>STDEV('stable G-SBR'!$F$4:$F$93)</f>
        <v>0.41932348496132693</v>
      </c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</row>
    <row r="233" spans="30:44" x14ac:dyDescent="0.3">
      <c r="AE233" s="29"/>
      <c r="AF233" s="29" t="s">
        <v>200</v>
      </c>
      <c r="AG233" s="22">
        <f>COUNT('stable G-SBR'!$F$4:$F$93)</f>
        <v>30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</row>
    <row r="234" spans="30:44" x14ac:dyDescent="0.3">
      <c r="AE234" s="29"/>
      <c r="AF234" s="29" t="s">
        <v>174</v>
      </c>
      <c r="AG234" s="6">
        <f>MIN('stable G-SBR'!$F$4:$F$93)</f>
        <v>7.3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</row>
    <row r="235" spans="30:44" x14ac:dyDescent="0.3">
      <c r="AE235" s="29"/>
      <c r="AF235" s="29" t="s">
        <v>175</v>
      </c>
      <c r="AG235" s="6">
        <f>MAX('stable G-SBR'!$F$4:$F$93)</f>
        <v>8.9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</row>
    <row r="236" spans="30:44" x14ac:dyDescent="0.3">
      <c r="AE236" s="29"/>
      <c r="AF236" s="29" t="s">
        <v>442</v>
      </c>
      <c r="AG236" s="6">
        <f>DEVSQ('stable G-SBR'!$F$4:$F$93)</f>
        <v>5.0991333661632527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</row>
    <row r="237" spans="30:44" x14ac:dyDescent="0.3"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</row>
    <row r="238" spans="30:44" x14ac:dyDescent="0.3"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</row>
    <row r="239" spans="30:44" x14ac:dyDescent="0.3"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</row>
    <row r="240" spans="30:44" x14ac:dyDescent="0.3"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</row>
    <row r="241" spans="30:44" x14ac:dyDescent="0.3"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</row>
    <row r="242" spans="30:44" x14ac:dyDescent="0.3"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</row>
    <row r="243" spans="30:44" x14ac:dyDescent="0.3"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</row>
    <row r="244" spans="30:44" x14ac:dyDescent="0.3"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</row>
    <row r="245" spans="30:44" x14ac:dyDescent="0.3"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</row>
    <row r="246" spans="30:44" x14ac:dyDescent="0.3"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</row>
    <row r="247" spans="30:44" x14ac:dyDescent="0.3"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</row>
    <row r="248" spans="30:44" x14ac:dyDescent="0.3"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</row>
    <row r="249" spans="30:44" x14ac:dyDescent="0.3">
      <c r="AD249" s="227" t="s">
        <v>488</v>
      </c>
      <c r="AE249" s="358" t="s">
        <v>472</v>
      </c>
      <c r="AF249" s="358"/>
      <c r="AG249" s="358"/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</row>
    <row r="250" spans="30:44" x14ac:dyDescent="0.3">
      <c r="AE250" s="29" t="s">
        <v>387</v>
      </c>
      <c r="AF250" s="29" t="s">
        <v>388</v>
      </c>
      <c r="AG250" s="6">
        <f>AVERAGE('stable G-SBR'!$AD$4:$AD$93)</f>
        <v>1.7257830096368105E-3</v>
      </c>
      <c r="AH250" s="29">
        <f>AG250*1000</f>
        <v>1.7257830096368105</v>
      </c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</row>
    <row r="251" spans="30:44" x14ac:dyDescent="0.3">
      <c r="AE251" s="29" t="s">
        <v>438</v>
      </c>
      <c r="AF251" s="29" t="s">
        <v>389</v>
      </c>
      <c r="AG251" s="6">
        <f>STDEV('stable G-SBR'!$AD$4:$AD$93)</f>
        <v>2.4147418232005249E-3</v>
      </c>
      <c r="AH251" s="29">
        <f t="shared" ref="AH251:AH255" si="22">AG251*1000</f>
        <v>2.4147418232005249</v>
      </c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</row>
    <row r="252" spans="30:44" x14ac:dyDescent="0.3">
      <c r="AE252" s="29"/>
      <c r="AF252" s="29" t="s">
        <v>200</v>
      </c>
      <c r="AG252" s="22">
        <f>COUNT('stable G-SBR'!$AD$4:$AD$93)</f>
        <v>12</v>
      </c>
      <c r="AH252" s="29">
        <f t="shared" si="22"/>
        <v>12000</v>
      </c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</row>
    <row r="253" spans="30:44" x14ac:dyDescent="0.3">
      <c r="AE253" s="29"/>
      <c r="AF253" s="29" t="s">
        <v>174</v>
      </c>
      <c r="AG253" s="6">
        <f>MIN('stable G-SBR'!$AD$4:$AD$93)</f>
        <v>6.1668398397370141E-7</v>
      </c>
      <c r="AH253" s="29">
        <f t="shared" si="22"/>
        <v>6.1668398397370138E-4</v>
      </c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</row>
    <row r="254" spans="30:44" x14ac:dyDescent="0.3">
      <c r="AE254" s="29"/>
      <c r="AF254" s="29" t="s">
        <v>175</v>
      </c>
      <c r="AG254" s="6">
        <f>MAX('stable G-SBR'!$AD$4:$AD$93)</f>
        <v>8.7769066237744532E-3</v>
      </c>
      <c r="AH254" s="29">
        <f t="shared" si="22"/>
        <v>8.7769066237744529</v>
      </c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</row>
    <row r="255" spans="30:44" x14ac:dyDescent="0.3">
      <c r="AE255" s="29"/>
      <c r="AF255" s="29" t="s">
        <v>442</v>
      </c>
      <c r="AG255" s="6">
        <f>DEVSQ('stable G-SBR'!$AD$4:$AD$93)</f>
        <v>6.4140758799851761E-5</v>
      </c>
      <c r="AH255" s="29">
        <f t="shared" si="22"/>
        <v>6.414075879985176E-2</v>
      </c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</row>
    <row r="256" spans="30:44" x14ac:dyDescent="0.3"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</row>
    <row r="257" spans="30:44" x14ac:dyDescent="0.3"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</row>
    <row r="258" spans="30:44" x14ac:dyDescent="0.3"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</row>
    <row r="259" spans="30:44" x14ac:dyDescent="0.3"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</row>
    <row r="260" spans="30:44" x14ac:dyDescent="0.3"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</row>
    <row r="261" spans="30:44" x14ac:dyDescent="0.3"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</row>
    <row r="262" spans="30:44" x14ac:dyDescent="0.3"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</row>
    <row r="263" spans="30:44" x14ac:dyDescent="0.3"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</row>
    <row r="264" spans="30:44" x14ac:dyDescent="0.3"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</row>
    <row r="265" spans="30:44" x14ac:dyDescent="0.3"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</row>
    <row r="266" spans="30:44" x14ac:dyDescent="0.3"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</row>
    <row r="267" spans="30:44" x14ac:dyDescent="0.3"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</row>
    <row r="268" spans="30:44" x14ac:dyDescent="0.3">
      <c r="AD268" s="227" t="s">
        <v>479</v>
      </c>
      <c r="AE268" s="358" t="s">
        <v>471</v>
      </c>
      <c r="AF268" s="358"/>
      <c r="AG268" s="358"/>
      <c r="AH268" s="358"/>
      <c r="AI268" s="358"/>
      <c r="AJ268" s="358"/>
      <c r="AK268" s="358"/>
      <c r="AL268" s="358"/>
      <c r="AM268" s="358"/>
      <c r="AN268" s="358"/>
      <c r="AO268" s="358"/>
      <c r="AP268" s="358"/>
      <c r="AQ268" s="358"/>
      <c r="AR268" s="358"/>
    </row>
    <row r="269" spans="30:44" x14ac:dyDescent="0.3">
      <c r="AE269" s="29" t="s">
        <v>387</v>
      </c>
      <c r="AF269" s="29" t="s">
        <v>388</v>
      </c>
      <c r="AG269" s="6">
        <f>AVERAGE('stable G-SBR'!$AE$4:$AE$93)</f>
        <v>119.37400030299811</v>
      </c>
    </row>
    <row r="270" spans="30:44" x14ac:dyDescent="0.3">
      <c r="AE270" s="29" t="s">
        <v>438</v>
      </c>
      <c r="AF270" s="29" t="s">
        <v>389</v>
      </c>
      <c r="AG270" s="6">
        <f>STDEV('stable G-SBR'!$AE$4:$AE$93)</f>
        <v>238.36237391149595</v>
      </c>
    </row>
    <row r="271" spans="30:44" x14ac:dyDescent="0.3">
      <c r="AE271" s="29"/>
      <c r="AF271" s="29" t="s">
        <v>200</v>
      </c>
      <c r="AG271" s="22">
        <f>COUNT('stable G-SBR'!$AE$4:$AE$93)</f>
        <v>12</v>
      </c>
    </row>
    <row r="272" spans="30:44" x14ac:dyDescent="0.3">
      <c r="AE272" s="29"/>
      <c r="AF272" s="29" t="s">
        <v>174</v>
      </c>
      <c r="AG272" s="6">
        <f>MIN('stable G-SBR'!$AE$4:$AE$93)</f>
        <v>1.5572403856393218</v>
      </c>
    </row>
    <row r="273" spans="30:44" x14ac:dyDescent="0.3">
      <c r="AE273" s="29"/>
      <c r="AF273" s="29" t="s">
        <v>175</v>
      </c>
      <c r="AG273" s="6">
        <f>MAX('stable G-SBR'!$AE$4:$AE$93)</f>
        <v>634.25582967714922</v>
      </c>
    </row>
    <row r="274" spans="30:44" x14ac:dyDescent="0.3">
      <c r="AE274" s="29"/>
      <c r="AF274" s="29" t="s">
        <v>442</v>
      </c>
      <c r="AG274" s="6">
        <f>DEVSQ('stable G-SBR'!$AE$4:$AE$93)</f>
        <v>624982.83426396153</v>
      </c>
    </row>
    <row r="280" spans="30:44" x14ac:dyDescent="0.3">
      <c r="AD280" s="227" t="s">
        <v>490</v>
      </c>
      <c r="AE280" s="358" t="s">
        <v>522</v>
      </c>
      <c r="AF280" s="358"/>
      <c r="AG280" s="358"/>
      <c r="AH280" s="358"/>
      <c r="AI280" s="358"/>
      <c r="AJ280" s="358"/>
      <c r="AK280" s="358"/>
      <c r="AL280" s="358"/>
      <c r="AM280" s="358"/>
      <c r="AN280" s="358"/>
      <c r="AO280" s="358"/>
      <c r="AP280" s="358"/>
      <c r="AQ280" s="358"/>
      <c r="AR280" s="358"/>
    </row>
    <row r="281" spans="30:44" x14ac:dyDescent="0.3">
      <c r="AE281" s="29" t="s">
        <v>387</v>
      </c>
      <c r="AF281" s="29" t="s">
        <v>388</v>
      </c>
      <c r="AG281" s="6">
        <f>AVERAGE('stable G-SBR'!$AL$4:$AL$93)</f>
        <v>0.72054379721969974</v>
      </c>
    </row>
    <row r="282" spans="30:44" x14ac:dyDescent="0.3">
      <c r="AE282" s="29" t="s">
        <v>438</v>
      </c>
      <c r="AF282" s="29" t="s">
        <v>389</v>
      </c>
      <c r="AG282" s="6">
        <f>STDEV('stable G-SBR'!$AL$4:$AL$93)</f>
        <v>0.46096829598774042</v>
      </c>
    </row>
    <row r="283" spans="30:44" x14ac:dyDescent="0.3">
      <c r="AE283" s="29"/>
      <c r="AF283" s="29" t="s">
        <v>200</v>
      </c>
      <c r="AG283" s="22">
        <f>COUNT('stable G-SBR'!$AL$4:$AL$93)</f>
        <v>30</v>
      </c>
    </row>
    <row r="284" spans="30:44" x14ac:dyDescent="0.3">
      <c r="AE284" s="29"/>
      <c r="AF284" s="29" t="s">
        <v>174</v>
      </c>
      <c r="AG284" s="6">
        <f>MIN('stable G-SBR'!$AL$4:$AL$93)</f>
        <v>0.26867765836375629</v>
      </c>
    </row>
    <row r="285" spans="30:44" x14ac:dyDescent="0.3">
      <c r="AE285" s="29"/>
      <c r="AF285" s="29" t="s">
        <v>175</v>
      </c>
      <c r="AG285" s="6">
        <f>MAX('stable G-SBR'!$AL$4:$AL$93)</f>
        <v>1.7305707779809105</v>
      </c>
    </row>
    <row r="286" spans="30:44" x14ac:dyDescent="0.3">
      <c r="AE286" s="29"/>
      <c r="AF286" s="29" t="s">
        <v>442</v>
      </c>
      <c r="AG286" s="6">
        <f>DEVSQ('stable G-SBR'!$AL$4:$AL$93)</f>
        <v>6.1622613272693973</v>
      </c>
    </row>
    <row r="292" spans="30:44" x14ac:dyDescent="0.3">
      <c r="AD292" s="227" t="s">
        <v>422</v>
      </c>
      <c r="AE292" s="358" t="s">
        <v>523</v>
      </c>
      <c r="AF292" s="358"/>
      <c r="AG292" s="358"/>
      <c r="AH292" s="358"/>
      <c r="AI292" s="358"/>
      <c r="AJ292" s="358"/>
      <c r="AK292" s="358"/>
      <c r="AL292" s="358"/>
      <c r="AM292" s="358"/>
      <c r="AN292" s="358"/>
      <c r="AO292" s="358"/>
      <c r="AP292" s="358"/>
      <c r="AQ292" s="358"/>
      <c r="AR292" s="358"/>
    </row>
    <row r="293" spans="30:44" x14ac:dyDescent="0.3">
      <c r="AE293" s="29" t="s">
        <v>387</v>
      </c>
      <c r="AF293" s="29" t="s">
        <v>388</v>
      </c>
      <c r="AG293" s="6">
        <f>AVERAGE('stable G-SBR'!$K$4:$K$93)</f>
        <v>2045.7272727272727</v>
      </c>
    </row>
    <row r="294" spans="30:44" x14ac:dyDescent="0.3">
      <c r="AE294" s="29" t="s">
        <v>438</v>
      </c>
      <c r="AF294" s="29" t="s">
        <v>389</v>
      </c>
      <c r="AG294" s="6">
        <f>STDEV('stable G-SBR'!$K$4:$K$93)</f>
        <v>1097.8801474577349</v>
      </c>
    </row>
    <row r="295" spans="30:44" x14ac:dyDescent="0.3">
      <c r="AE295" s="29"/>
      <c r="AF295" s="29" t="s">
        <v>200</v>
      </c>
      <c r="AG295" s="22">
        <f>COUNT('stable G-SBR'!$K$4:$K$93)</f>
        <v>11</v>
      </c>
    </row>
    <row r="296" spans="30:44" x14ac:dyDescent="0.3">
      <c r="AE296" s="29"/>
      <c r="AF296" s="29" t="s">
        <v>174</v>
      </c>
      <c r="AG296" s="6">
        <f>MIN('stable G-SBR'!$K$4:$K$93)</f>
        <v>355</v>
      </c>
    </row>
    <row r="297" spans="30:44" x14ac:dyDescent="0.3">
      <c r="AE297" s="29"/>
      <c r="AF297" s="29" t="s">
        <v>175</v>
      </c>
      <c r="AG297" s="6">
        <f>MAX('stable G-SBR'!$K$4:$K$93)</f>
        <v>4680</v>
      </c>
    </row>
    <row r="298" spans="30:44" x14ac:dyDescent="0.3">
      <c r="AE298" s="29"/>
      <c r="AF298" s="29" t="s">
        <v>442</v>
      </c>
      <c r="AG298" s="6">
        <f>DEVSQ('stable G-SBR'!$K$4:$K$93)</f>
        <v>12053408.181818184</v>
      </c>
    </row>
    <row r="302" spans="30:44" x14ac:dyDescent="0.3">
      <c r="AD302" s="227" t="s">
        <v>585</v>
      </c>
      <c r="AE302" s="358" t="s">
        <v>584</v>
      </c>
      <c r="AF302" s="358"/>
      <c r="AG302" s="358"/>
      <c r="AH302" s="358"/>
      <c r="AI302" s="358"/>
      <c r="AJ302" s="358"/>
      <c r="AK302" s="358"/>
      <c r="AL302" s="358"/>
      <c r="AM302" s="358"/>
      <c r="AN302" s="358"/>
      <c r="AO302" s="358"/>
      <c r="AP302" s="358"/>
      <c r="AQ302" s="358"/>
      <c r="AR302" s="358"/>
    </row>
    <row r="303" spans="30:44" x14ac:dyDescent="0.3">
      <c r="AE303" s="29" t="s">
        <v>387</v>
      </c>
      <c r="AF303" s="29" t="s">
        <v>388</v>
      </c>
      <c r="AG303" s="6">
        <f>AVERAGE('stable G-SBR'!$AK$4:$AK$93)</f>
        <v>0.51159674559713142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</row>
    <row r="304" spans="30:44" x14ac:dyDescent="0.3">
      <c r="AE304" s="29" t="s">
        <v>438</v>
      </c>
      <c r="AF304" s="29" t="s">
        <v>389</v>
      </c>
      <c r="AG304" s="6">
        <f>STDEV('stable G-SBR'!$AK$4:$AK$93)</f>
        <v>0.39678371505723775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</row>
    <row r="305" spans="30:44" x14ac:dyDescent="0.3">
      <c r="AE305" s="29"/>
      <c r="AF305" s="29" t="s">
        <v>200</v>
      </c>
      <c r="AG305" s="22">
        <f>COUNT('stable G-SBR'!$AK$4:$AK$93)</f>
        <v>30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</row>
    <row r="306" spans="30:44" x14ac:dyDescent="0.3">
      <c r="AE306" s="29"/>
      <c r="AF306" s="29" t="s">
        <v>174</v>
      </c>
      <c r="AG306" s="6">
        <f>MIN('stable G-SBR'!$AK$4:$AK$93)</f>
        <v>8.4479999999999958E-2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</row>
    <row r="307" spans="30:44" x14ac:dyDescent="0.3">
      <c r="AE307" s="29"/>
      <c r="AF307" s="29" t="s">
        <v>175</v>
      </c>
      <c r="AG307" s="6">
        <f>MAX('stable G-SBR'!$AK$4:$AK$93)</f>
        <v>1.4996676923076924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</row>
    <row r="308" spans="30:44" x14ac:dyDescent="0.3">
      <c r="AE308" s="29"/>
      <c r="AF308" s="29" t="s">
        <v>442</v>
      </c>
      <c r="AG308" s="6">
        <f>DEVSQ('stable G-SBR'!$AK$4:$AK$93)</f>
        <v>4.5656821795040701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</row>
    <row r="312" spans="30:44" x14ac:dyDescent="0.3">
      <c r="AD312" s="227" t="s">
        <v>473</v>
      </c>
      <c r="AE312" s="358" t="s">
        <v>583</v>
      </c>
      <c r="AF312" s="358"/>
      <c r="AG312" s="358"/>
      <c r="AH312" s="358"/>
      <c r="AI312" s="358"/>
      <c r="AJ312" s="358"/>
      <c r="AK312" s="358"/>
      <c r="AL312" s="358"/>
      <c r="AM312" s="358"/>
      <c r="AN312" s="358"/>
      <c r="AO312" s="358"/>
      <c r="AP312" s="358"/>
      <c r="AQ312" s="358"/>
      <c r="AR312" s="358"/>
    </row>
    <row r="313" spans="30:44" x14ac:dyDescent="0.3">
      <c r="AE313" s="29" t="s">
        <v>387</v>
      </c>
      <c r="AF313" s="29" t="s">
        <v>388</v>
      </c>
      <c r="AG313" s="89">
        <f>AVERAGE('stable G-SBR'!$AO$4:$AO$93)</f>
        <v>0.69902490565868447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</row>
    <row r="314" spans="30:44" x14ac:dyDescent="0.3">
      <c r="AE314" s="29" t="s">
        <v>438</v>
      </c>
      <c r="AF314" s="29" t="s">
        <v>389</v>
      </c>
      <c r="AG314" s="89">
        <f>STDEV('stable G-SBR'!$AO$4:$AO$93)</f>
        <v>0.29871649765432673</v>
      </c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</row>
    <row r="315" spans="30:44" x14ac:dyDescent="0.3">
      <c r="AE315" s="29"/>
      <c r="AF315" s="29" t="s">
        <v>200</v>
      </c>
      <c r="AG315" s="89">
        <f>COUNT('stable G-SBR'!$AO$4:$AO$93)</f>
        <v>12</v>
      </c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</row>
    <row r="316" spans="30:44" x14ac:dyDescent="0.3">
      <c r="AE316" s="29"/>
      <c r="AF316" s="29" t="s">
        <v>174</v>
      </c>
      <c r="AG316" s="89">
        <f>MIN('stable G-SBR'!$AO$4:$AO$93)</f>
        <v>0.11090310019469832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</row>
    <row r="317" spans="30:44" x14ac:dyDescent="0.3">
      <c r="AE317" s="29"/>
      <c r="AF317" s="29" t="s">
        <v>175</v>
      </c>
      <c r="AG317" s="89">
        <f>MAX('stable G-SBR'!$AO$4:$AO$93)</f>
        <v>0.93824800913667883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</row>
    <row r="318" spans="30:44" x14ac:dyDescent="0.3">
      <c r="AE318" s="29"/>
      <c r="AF318" s="29" t="s">
        <v>442</v>
      </c>
      <c r="AG318" s="89">
        <f>DEVSQ('stable G-SBR'!$AO$4:$AO$93)</f>
        <v>0.98154700567953868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</row>
    <row r="320" spans="30:44" x14ac:dyDescent="0.3">
      <c r="AD320" s="227" t="s">
        <v>481</v>
      </c>
      <c r="AE320" s="358" t="s">
        <v>601</v>
      </c>
      <c r="AF320" s="358"/>
      <c r="AG320" s="358"/>
      <c r="AH320" s="358"/>
      <c r="AI320" s="358"/>
      <c r="AJ320" s="358"/>
      <c r="AK320" s="358"/>
      <c r="AL320" s="358"/>
      <c r="AM320" s="358"/>
      <c r="AN320" s="358"/>
      <c r="AO320" s="358"/>
      <c r="AP320" s="358"/>
      <c r="AQ320" s="358"/>
      <c r="AR320" s="358"/>
    </row>
    <row r="321" spans="30:44" x14ac:dyDescent="0.3">
      <c r="AE321" s="29" t="s">
        <v>387</v>
      </c>
      <c r="AF321" s="29" t="s">
        <v>388</v>
      </c>
      <c r="AG321" s="6">
        <f>AVERAGE('stable G-SBR'!$AP$4:$AP$93)</f>
        <v>4.7585714285714294E-2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</row>
    <row r="322" spans="30:44" x14ac:dyDescent="0.3">
      <c r="AE322" s="29" t="s">
        <v>438</v>
      </c>
      <c r="AF322" s="29" t="s">
        <v>389</v>
      </c>
      <c r="AG322" s="6">
        <f>STDEV('stable G-SBR'!$AP$4:$AP$93)</f>
        <v>2.4612356555967864E-2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</row>
    <row r="323" spans="30:44" x14ac:dyDescent="0.3">
      <c r="AE323" s="29"/>
      <c r="AF323" s="29" t="s">
        <v>200</v>
      </c>
      <c r="AG323" s="22">
        <f>COUNT('stable G-SBR'!$AP$4:$AP$93)</f>
        <v>7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spans="30:44" x14ac:dyDescent="0.3">
      <c r="AE324" s="29"/>
      <c r="AF324" s="29" t="s">
        <v>174</v>
      </c>
      <c r="AG324" s="6">
        <f>MIN('stable G-SBR'!$AP$4:$AP$93)</f>
        <v>2.1000000000000001E-2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spans="30:44" x14ac:dyDescent="0.3">
      <c r="AE325" s="29"/>
      <c r="AF325" s="29" t="s">
        <v>175</v>
      </c>
      <c r="AG325" s="6">
        <f>MAX('stable G-SBR'!$AP$4:$AP$93)</f>
        <v>8.8999999999999996E-2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spans="30:44" x14ac:dyDescent="0.3">
      <c r="AE326" s="29"/>
      <c r="AF326" s="29" t="s">
        <v>442</v>
      </c>
      <c r="AG326" s="6">
        <f>DEVSQ('stable G-SBR'!$AP$4:$AP$93)</f>
        <v>3.6346085714285708E-3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spans="30:44" x14ac:dyDescent="0.3">
      <c r="AD327" s="227" t="s">
        <v>586</v>
      </c>
      <c r="AE327" s="358" t="s">
        <v>607</v>
      </c>
      <c r="AF327" s="358"/>
      <c r="AG327" s="358"/>
      <c r="AH327" s="358"/>
      <c r="AI327" s="358"/>
      <c r="AJ327" s="358"/>
      <c r="AK327" s="358"/>
      <c r="AL327" s="358"/>
      <c r="AM327" s="358"/>
      <c r="AN327" s="358"/>
      <c r="AO327" s="358"/>
      <c r="AP327" s="358"/>
      <c r="AQ327" s="358"/>
      <c r="AR327" s="358"/>
    </row>
    <row r="328" spans="30:44" x14ac:dyDescent="0.3">
      <c r="AE328" s="29" t="s">
        <v>387</v>
      </c>
      <c r="AF328" s="29" t="s">
        <v>388</v>
      </c>
      <c r="AG328" s="89">
        <f>AVERAGE('stable G-SBR'!$AN$4:$AN$93)</f>
        <v>0.72885744960899101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spans="30:44" x14ac:dyDescent="0.3">
      <c r="AE329" s="29" t="s">
        <v>438</v>
      </c>
      <c r="AF329" s="29" t="s">
        <v>389</v>
      </c>
      <c r="AG329" s="89">
        <f>STDEV('stable G-SBR'!$AN$4:$AN$93)</f>
        <v>0.24590116663185035</v>
      </c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spans="30:44" x14ac:dyDescent="0.3">
      <c r="AE330" s="29"/>
      <c r="AF330" s="29" t="s">
        <v>200</v>
      </c>
      <c r="AG330" s="89">
        <f>COUNT('stable G-SBR'!$AN$4:$AN$93)</f>
        <v>30</v>
      </c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spans="30:44" x14ac:dyDescent="0.3">
      <c r="AE331" s="29"/>
      <c r="AF331" s="29" t="s">
        <v>174</v>
      </c>
      <c r="AG331" s="89">
        <f>MIN('stable G-SBR'!$AN$4:$AN$93)</f>
        <v>9.7955771715175985E-2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spans="30:44" x14ac:dyDescent="0.3">
      <c r="AE332" s="29"/>
      <c r="AF332" s="29" t="s">
        <v>175</v>
      </c>
      <c r="AG332" s="89">
        <f>MAX('stable G-SBR'!$AN$4:$AN$93)</f>
        <v>0.95973534971644625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spans="30:44" x14ac:dyDescent="0.3">
      <c r="AE333" s="29"/>
      <c r="AF333" s="29" t="s">
        <v>442</v>
      </c>
      <c r="AG333" s="89">
        <f>DEVSQ('stable G-SBR'!$AN$4:$AN$93)</f>
        <v>1.7535541287762386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</sheetData>
  <mergeCells count="35">
    <mergeCell ref="AE327:AR327"/>
    <mergeCell ref="AE320:AR320"/>
    <mergeCell ref="AE302:AR302"/>
    <mergeCell ref="AE312:AR312"/>
    <mergeCell ref="AE78:AR78"/>
    <mergeCell ref="AE97:AR97"/>
    <mergeCell ref="AE116:AR116"/>
    <mergeCell ref="AE135:AR135"/>
    <mergeCell ref="AE154:AR154"/>
    <mergeCell ref="AE280:AR280"/>
    <mergeCell ref="AE292:AR292"/>
    <mergeCell ref="AE1:AR1"/>
    <mergeCell ref="AE2:AR2"/>
    <mergeCell ref="AE21:AR21"/>
    <mergeCell ref="AE40:AR40"/>
    <mergeCell ref="AE59:AR59"/>
    <mergeCell ref="A1:N1"/>
    <mergeCell ref="A2:N2"/>
    <mergeCell ref="P97:AC97"/>
    <mergeCell ref="P78:AC78"/>
    <mergeCell ref="P59:AC59"/>
    <mergeCell ref="P40:AC40"/>
    <mergeCell ref="P21:AC21"/>
    <mergeCell ref="P1:AC1"/>
    <mergeCell ref="P2:AC2"/>
    <mergeCell ref="P116:AC116"/>
    <mergeCell ref="P135:AC135"/>
    <mergeCell ref="P154:AC154"/>
    <mergeCell ref="P173:AC173"/>
    <mergeCell ref="AE268:AR268"/>
    <mergeCell ref="AE173:AR173"/>
    <mergeCell ref="AE192:AR192"/>
    <mergeCell ref="AE211:AR211"/>
    <mergeCell ref="AE230:AR230"/>
    <mergeCell ref="AE249:AR249"/>
  </mergeCells>
  <conditionalFormatting sqref="M1:M1048576">
    <cfRule type="cellIs" dxfId="308" priority="1" operator="equal">
      <formula>"no"</formula>
    </cfRule>
    <cfRule type="cellIs" dxfId="307" priority="4" operator="equal">
      <formula>"yes"</formula>
    </cfRule>
  </conditionalFormatting>
  <conditionalFormatting sqref="AB1:AB1048576">
    <cfRule type="cellIs" dxfId="306" priority="2" operator="equal">
      <formula>"no"</formula>
    </cfRule>
    <cfRule type="cellIs" dxfId="305" priority="3" operator="equal">
      <formula>"yes"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0.79998168889431442"/>
  </sheetPr>
  <dimension ref="A1:AS324"/>
  <sheetViews>
    <sheetView topLeftCell="W301" workbookViewId="0">
      <selection activeCell="AG319" sqref="AG319:AG324"/>
    </sheetView>
  </sheetViews>
  <sheetFormatPr defaultRowHeight="14.4" x14ac:dyDescent="0.3"/>
  <cols>
    <col min="30" max="30" width="8.88671875" style="227"/>
    <col min="45" max="45" width="8.88671875" style="224"/>
  </cols>
  <sheetData>
    <row r="1" spans="1:44" ht="18" thickBot="1" x14ac:dyDescent="0.4">
      <c r="A1" s="359" t="s">
        <v>231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228" t="s">
        <v>413</v>
      </c>
      <c r="P1" s="360" t="s">
        <v>414</v>
      </c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226" t="s">
        <v>413</v>
      </c>
      <c r="AE1" s="360" t="s">
        <v>456</v>
      </c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</row>
    <row r="2" spans="1:44" ht="15" thickTop="1" x14ac:dyDescent="0.3">
      <c r="A2" s="361" t="s">
        <v>386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229" t="s">
        <v>421</v>
      </c>
      <c r="P2" s="357" t="s">
        <v>428</v>
      </c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227" t="s">
        <v>489</v>
      </c>
      <c r="AE2" s="357" t="s">
        <v>455</v>
      </c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</row>
    <row r="3" spans="1:44" x14ac:dyDescent="0.3">
      <c r="A3" s="29" t="s">
        <v>436</v>
      </c>
      <c r="B3" s="29" t="s">
        <v>388</v>
      </c>
      <c r="C3" s="6">
        <f>AVERAGE('1-LTP'!$AI$4:$AI$92)</f>
        <v>0.29173725784342908</v>
      </c>
      <c r="D3" s="29"/>
      <c r="E3" s="29" t="s">
        <v>393</v>
      </c>
      <c r="F3" s="29"/>
      <c r="G3" s="29"/>
      <c r="H3" s="29"/>
      <c r="I3" s="29"/>
      <c r="J3" s="29"/>
      <c r="K3" s="29"/>
      <c r="L3" s="29"/>
      <c r="M3" s="29"/>
      <c r="N3" s="29"/>
      <c r="O3" s="229"/>
      <c r="P3" s="29" t="s">
        <v>436</v>
      </c>
      <c r="Q3" s="29" t="s">
        <v>388</v>
      </c>
      <c r="R3" s="6">
        <f>AVERAGE('1-LTP'!$G$4:$G$92)</f>
        <v>29.048983050847468</v>
      </c>
      <c r="S3" s="29"/>
      <c r="T3" s="29" t="s">
        <v>393</v>
      </c>
      <c r="U3" s="29"/>
      <c r="V3" s="29"/>
      <c r="W3" s="29"/>
      <c r="X3" s="29"/>
      <c r="Y3" s="29"/>
      <c r="Z3" s="29"/>
      <c r="AA3" s="29"/>
      <c r="AB3" s="29"/>
      <c r="AC3" s="29"/>
      <c r="AE3" s="29" t="s">
        <v>436</v>
      </c>
      <c r="AF3" s="29" t="s">
        <v>388</v>
      </c>
      <c r="AG3" s="238">
        <f>AVERAGE('stable LTP'!$AL$4:$AL$92)</f>
        <v>6.1279370934701934E-2</v>
      </c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</row>
    <row r="4" spans="1:44" x14ac:dyDescent="0.3">
      <c r="A4" s="29" t="s">
        <v>307</v>
      </c>
      <c r="B4" s="29" t="s">
        <v>389</v>
      </c>
      <c r="C4" s="6">
        <f>STDEV('1-LTP'!$AI$4:$AI$92)</f>
        <v>0.12892655070648329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29"/>
      <c r="P4" s="29" t="s">
        <v>307</v>
      </c>
      <c r="Q4" s="29" t="s">
        <v>389</v>
      </c>
      <c r="R4" s="6">
        <f>STDEV('1-LTP'!$G$4:$G$92)</f>
        <v>2.3217618866560072</v>
      </c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E4" s="29" t="s">
        <v>307</v>
      </c>
      <c r="AF4" s="29" t="s">
        <v>389</v>
      </c>
      <c r="AG4" s="6">
        <f>STDEV('stable LTP'!$AL$4:$AL$92)</f>
        <v>4.6077929977697003E-2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</row>
    <row r="5" spans="1:44" ht="15" thickBot="1" x14ac:dyDescent="0.35">
      <c r="A5" s="29"/>
      <c r="B5" s="29" t="s">
        <v>200</v>
      </c>
      <c r="C5" s="22">
        <f>COUNT('1-LTP'!$AI$4:$AI$92)</f>
        <v>59</v>
      </c>
      <c r="D5" s="29"/>
      <c r="E5" s="29" t="s">
        <v>394</v>
      </c>
      <c r="F5" s="29"/>
      <c r="G5" s="29"/>
      <c r="H5" s="29" t="s">
        <v>395</v>
      </c>
      <c r="I5" s="6">
        <v>0</v>
      </c>
      <c r="J5" s="29"/>
      <c r="K5" s="29"/>
      <c r="L5" s="29"/>
      <c r="M5" s="29"/>
      <c r="N5" s="29"/>
      <c r="O5" s="229"/>
      <c r="P5" s="29"/>
      <c r="Q5" s="29" t="s">
        <v>200</v>
      </c>
      <c r="R5" s="22">
        <f>COUNT('1-LTP'!$G$4:$G$92)</f>
        <v>59</v>
      </c>
      <c r="S5" s="29"/>
      <c r="T5" s="29" t="s">
        <v>394</v>
      </c>
      <c r="U5" s="29"/>
      <c r="V5" s="29"/>
      <c r="W5" s="29" t="s">
        <v>395</v>
      </c>
      <c r="X5" s="6">
        <v>0</v>
      </c>
      <c r="Y5" s="29"/>
      <c r="Z5" s="29"/>
      <c r="AA5" s="29"/>
      <c r="AB5" s="29"/>
      <c r="AC5" s="29"/>
      <c r="AE5" s="29"/>
      <c r="AF5" s="29" t="s">
        <v>200</v>
      </c>
      <c r="AG5" s="22">
        <f>COUNT('stable LTP'!$AL$4:$AL$92)</f>
        <v>47</v>
      </c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</row>
    <row r="6" spans="1:44" ht="15" thickTop="1" x14ac:dyDescent="0.3">
      <c r="A6" s="29"/>
      <c r="B6" s="29" t="s">
        <v>174</v>
      </c>
      <c r="C6" s="6">
        <f>MIN('1-LTP'!$AI$4:$AI$92)</f>
        <v>1.8522450378306233E-2</v>
      </c>
      <c r="D6" s="29"/>
      <c r="E6" s="191" t="s">
        <v>396</v>
      </c>
      <c r="F6" s="191" t="s">
        <v>290</v>
      </c>
      <c r="G6" s="191" t="s">
        <v>292</v>
      </c>
      <c r="H6" s="191" t="s">
        <v>293</v>
      </c>
      <c r="I6" s="191" t="s">
        <v>397</v>
      </c>
      <c r="J6" s="29"/>
      <c r="K6" s="29"/>
      <c r="L6" s="29"/>
      <c r="M6" s="29"/>
      <c r="N6" s="29"/>
      <c r="O6" s="229"/>
      <c r="P6" s="29"/>
      <c r="Q6" s="29" t="s">
        <v>174</v>
      </c>
      <c r="R6" s="6">
        <f>MIN('1-LTP'!$G$4:$G$92)</f>
        <v>25</v>
      </c>
      <c r="S6" s="29"/>
      <c r="T6" s="191" t="s">
        <v>396</v>
      </c>
      <c r="U6" s="191" t="s">
        <v>290</v>
      </c>
      <c r="V6" s="191" t="s">
        <v>292</v>
      </c>
      <c r="W6" s="191" t="s">
        <v>293</v>
      </c>
      <c r="X6" s="191" t="s">
        <v>397</v>
      </c>
      <c r="Y6" s="29"/>
      <c r="Z6" s="29"/>
      <c r="AA6" s="29"/>
      <c r="AB6" s="29"/>
      <c r="AC6" s="29"/>
      <c r="AE6" s="29"/>
      <c r="AF6" s="29" t="s">
        <v>174</v>
      </c>
      <c r="AG6" s="20">
        <f>MIN('stable LTP'!$AL$4:$AL$92)</f>
        <v>3.1585488693240578E-3</v>
      </c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</row>
    <row r="7" spans="1:44" x14ac:dyDescent="0.3">
      <c r="A7" s="29"/>
      <c r="B7" s="29" t="s">
        <v>175</v>
      </c>
      <c r="C7" s="6">
        <f>MAX('1-LTP'!$AI$4:$AI$92)</f>
        <v>0.82664329194058928</v>
      </c>
      <c r="D7" s="29"/>
      <c r="E7" s="29" t="str">
        <f>A10</f>
        <v>Period 1</v>
      </c>
      <c r="F7" s="22">
        <f>C11</f>
        <v>29</v>
      </c>
      <c r="G7" s="6">
        <f>C9</f>
        <v>0.27463319121078206</v>
      </c>
      <c r="H7" s="20">
        <f>C4^2</f>
        <v>1.6622055477071407E-2</v>
      </c>
      <c r="I7" s="29"/>
      <c r="J7" s="29"/>
      <c r="K7" s="29"/>
      <c r="L7" s="29"/>
      <c r="M7" s="29"/>
      <c r="N7" s="29"/>
      <c r="O7" s="229"/>
      <c r="P7" s="29"/>
      <c r="Q7" s="29" t="s">
        <v>175</v>
      </c>
      <c r="R7" s="6">
        <f>MAX('1-LTP'!$G$4:$G$92)</f>
        <v>35.270000000000003</v>
      </c>
      <c r="S7" s="29"/>
      <c r="T7" s="29" t="str">
        <f>P9</f>
        <v>Period 1</v>
      </c>
      <c r="U7" s="22">
        <f>R10</f>
        <v>29</v>
      </c>
      <c r="V7" s="6">
        <f>R8</f>
        <v>30.606551724137937</v>
      </c>
      <c r="W7" s="20">
        <f>R4^2</f>
        <v>5.3905782583284623</v>
      </c>
      <c r="X7" s="29"/>
      <c r="Y7" s="29"/>
      <c r="Z7" s="29"/>
      <c r="AA7" s="29"/>
      <c r="AB7" s="29"/>
      <c r="AC7" s="29"/>
      <c r="AE7" s="29"/>
      <c r="AF7" s="29" t="s">
        <v>175</v>
      </c>
      <c r="AG7" s="6">
        <f>MAX('stable LTP'!$AL$4:$AL$92)</f>
        <v>0.227293960324077</v>
      </c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</row>
    <row r="8" spans="1:44" x14ac:dyDescent="0.3">
      <c r="B8" t="s">
        <v>442</v>
      </c>
      <c r="C8" s="6">
        <f>DEVSQ('1-LTP'!$AI$4:$AI$92)</f>
        <v>0.96407921767014393</v>
      </c>
      <c r="D8" s="29"/>
      <c r="E8" s="29" t="str">
        <f>A16</f>
        <v>Period 2</v>
      </c>
      <c r="F8" s="22">
        <f>C17</f>
        <v>28</v>
      </c>
      <c r="G8" s="20">
        <f>C15</f>
        <v>0.30827118892165445</v>
      </c>
      <c r="H8" s="20">
        <f>C16^2</f>
        <v>1.4464524909324216E-2</v>
      </c>
      <c r="I8" s="29"/>
      <c r="J8" s="29"/>
      <c r="K8" s="29"/>
      <c r="L8" s="29"/>
      <c r="M8" s="29"/>
      <c r="N8" s="29"/>
      <c r="O8" s="229"/>
      <c r="P8" s="29" t="s">
        <v>437</v>
      </c>
      <c r="Q8" s="29" t="s">
        <v>388</v>
      </c>
      <c r="R8" s="6">
        <f>AVERAGE('1-LTP'!$G$4:$G$56)</f>
        <v>30.606551724137937</v>
      </c>
      <c r="S8" s="29"/>
      <c r="T8" s="29" t="str">
        <f>P14</f>
        <v>Period 2</v>
      </c>
      <c r="U8" s="22">
        <f>R15</f>
        <v>28</v>
      </c>
      <c r="V8" s="20">
        <f>R13</f>
        <v>27.543333333333344</v>
      </c>
      <c r="W8" s="20">
        <f>R14^2</f>
        <v>2.5379954022988507</v>
      </c>
      <c r="X8" s="29"/>
      <c r="Y8" s="29"/>
      <c r="Z8" s="29"/>
      <c r="AA8" s="29"/>
      <c r="AB8" s="29"/>
      <c r="AC8" s="29"/>
      <c r="AE8" s="29"/>
      <c r="AF8" s="29" t="s">
        <v>442</v>
      </c>
      <c r="AG8" s="6">
        <f>DEVSQ('stable LTP'!$AL$4:$AL$92)</f>
        <v>9.7666079027359118E-2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</row>
    <row r="9" spans="1:44" x14ac:dyDescent="0.3">
      <c r="A9" s="29" t="s">
        <v>437</v>
      </c>
      <c r="B9" s="29" t="s">
        <v>388</v>
      </c>
      <c r="C9" s="6">
        <f>AVERAGE('1-LTP'!$AI$4:$AI$56)</f>
        <v>0.27463319121078206</v>
      </c>
      <c r="D9" s="29"/>
      <c r="E9" s="8" t="s">
        <v>398</v>
      </c>
      <c r="F9" s="8"/>
      <c r="G9" s="8"/>
      <c r="H9" s="8">
        <f>((F7-1)*H7+(F8-1)*H8)/(F7+F8-2)</f>
        <v>1.5562904107450058E-2</v>
      </c>
      <c r="I9" s="8">
        <f>ABS(G7-G8-I5)/SQRT(H9)</f>
        <v>0.26964030885754797</v>
      </c>
      <c r="J9" s="29"/>
      <c r="K9" s="29"/>
      <c r="L9" s="29"/>
      <c r="M9" s="29"/>
      <c r="N9" s="29"/>
      <c r="O9" s="229"/>
      <c r="P9" s="29" t="s">
        <v>411</v>
      </c>
      <c r="Q9" s="29" t="s">
        <v>389</v>
      </c>
      <c r="R9" s="6">
        <f>STDEV('1-LTP'!$G$4:$G$56)</f>
        <v>1.8963089634152621</v>
      </c>
      <c r="S9" s="29"/>
      <c r="T9" s="8" t="s">
        <v>398</v>
      </c>
      <c r="U9" s="8"/>
      <c r="V9" s="8"/>
      <c r="W9" s="8">
        <f>((U7-1)*W7+(U8-1)*W8)/(U7+U8-2)</f>
        <v>3.9902194017321078</v>
      </c>
      <c r="X9" s="8">
        <f>ABS(V7-V8-X5)/SQRT(W9)</f>
        <v>1.533485143114151</v>
      </c>
      <c r="Y9" s="29"/>
      <c r="Z9" s="29"/>
      <c r="AA9" s="29"/>
      <c r="AB9" s="29"/>
      <c r="AC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</row>
    <row r="10" spans="1:44" x14ac:dyDescent="0.3">
      <c r="A10" s="29" t="s">
        <v>411</v>
      </c>
      <c r="B10" s="29" t="s">
        <v>389</v>
      </c>
      <c r="C10" s="6">
        <f>STDEV('1-LTP'!$AI$4:$AI$56)</f>
        <v>0.13731129196450328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29"/>
      <c r="P10" s="29"/>
      <c r="Q10" s="29" t="s">
        <v>200</v>
      </c>
      <c r="R10" s="22">
        <f>COUNT('1-LTP'!$G$4:$G$56)</f>
        <v>29</v>
      </c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</row>
    <row r="11" spans="1:44" ht="15" thickBot="1" x14ac:dyDescent="0.35">
      <c r="A11" s="29"/>
      <c r="B11" s="29" t="s">
        <v>200</v>
      </c>
      <c r="C11" s="22">
        <f>COUNT('1-LTP'!$AI$4:$AI$56)</f>
        <v>29</v>
      </c>
      <c r="D11" s="29"/>
      <c r="E11" s="29" t="s">
        <v>399</v>
      </c>
      <c r="F11" s="29"/>
      <c r="G11" s="29"/>
      <c r="H11" s="29"/>
      <c r="I11" s="29" t="s">
        <v>288</v>
      </c>
      <c r="J11" s="29">
        <v>0.05</v>
      </c>
      <c r="K11" s="29"/>
      <c r="L11" s="29"/>
      <c r="M11" s="29"/>
      <c r="N11" s="29"/>
      <c r="O11" s="229"/>
      <c r="P11" s="29"/>
      <c r="Q11" s="29" t="s">
        <v>174</v>
      </c>
      <c r="R11" s="6">
        <f>MIN('1-LTP'!$G$4:$G$56)</f>
        <v>26.33</v>
      </c>
      <c r="S11" s="29"/>
      <c r="T11" s="29" t="s">
        <v>399</v>
      </c>
      <c r="U11" s="29"/>
      <c r="V11" s="29"/>
      <c r="W11" s="29"/>
      <c r="X11" s="29" t="s">
        <v>288</v>
      </c>
      <c r="Y11" s="29">
        <v>0.05</v>
      </c>
      <c r="Z11" s="29"/>
      <c r="AA11" s="29"/>
      <c r="AB11" s="29"/>
      <c r="AC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</row>
    <row r="12" spans="1:44" ht="15" thickTop="1" x14ac:dyDescent="0.3">
      <c r="A12" s="29"/>
      <c r="B12" s="29" t="s">
        <v>174</v>
      </c>
      <c r="C12" s="6">
        <f>MIN('1-LTP'!$AI$4:$AI$56)</f>
        <v>1.8522450378306233E-2</v>
      </c>
      <c r="D12" s="29"/>
      <c r="E12" s="191" t="s">
        <v>400</v>
      </c>
      <c r="F12" s="191" t="s">
        <v>401</v>
      </c>
      <c r="G12" s="191" t="s">
        <v>402</v>
      </c>
      <c r="H12" s="191" t="s">
        <v>205</v>
      </c>
      <c r="I12" s="191" t="s">
        <v>311</v>
      </c>
      <c r="J12" s="191" t="s">
        <v>403</v>
      </c>
      <c r="K12" s="191" t="s">
        <v>404</v>
      </c>
      <c r="L12" s="191" t="s">
        <v>405</v>
      </c>
      <c r="M12" s="191" t="s">
        <v>406</v>
      </c>
      <c r="N12" s="191" t="s">
        <v>407</v>
      </c>
      <c r="O12" s="229"/>
      <c r="P12" s="29"/>
      <c r="Q12" s="29" t="s">
        <v>175</v>
      </c>
      <c r="R12" s="6">
        <f>MAX('1-LTP'!$G$4:$G$56)</f>
        <v>35.270000000000003</v>
      </c>
      <c r="S12" s="29"/>
      <c r="T12" s="191" t="s">
        <v>400</v>
      </c>
      <c r="U12" s="191" t="s">
        <v>401</v>
      </c>
      <c r="V12" s="191" t="s">
        <v>402</v>
      </c>
      <c r="W12" s="191" t="s">
        <v>205</v>
      </c>
      <c r="X12" s="191" t="s">
        <v>311</v>
      </c>
      <c r="Y12" s="191" t="s">
        <v>403</v>
      </c>
      <c r="Z12" s="191" t="s">
        <v>404</v>
      </c>
      <c r="AA12" s="191" t="s">
        <v>405</v>
      </c>
      <c r="AB12" s="191" t="s">
        <v>406</v>
      </c>
      <c r="AC12" s="191" t="s">
        <v>407</v>
      </c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</row>
    <row r="13" spans="1:44" x14ac:dyDescent="0.3">
      <c r="A13" s="29"/>
      <c r="B13" s="29" t="s">
        <v>175</v>
      </c>
      <c r="C13" s="6">
        <f>MAX('1-LTP'!$AI$4:$AI$56)</f>
        <v>0.51109639639639637</v>
      </c>
      <c r="D13" s="29"/>
      <c r="E13" s="29" t="s">
        <v>408</v>
      </c>
      <c r="F13" s="29">
        <f>SQRT(H9*(1/F7+1/F8))</f>
        <v>3.3052531969754481E-2</v>
      </c>
      <c r="G13" s="29">
        <f>(ABS(G7-G8-I5))/F13</f>
        <v>1.0177131888611031</v>
      </c>
      <c r="H13" s="29">
        <f>F7+F8-2</f>
        <v>55</v>
      </c>
      <c r="I13" s="29">
        <f>TDIST(G13,H13,1)</f>
        <v>0.15663516405836581</v>
      </c>
      <c r="J13" s="29">
        <f>TINV(J11*2,H13)</f>
        <v>1.673033965289912</v>
      </c>
      <c r="K13" s="29"/>
      <c r="L13" s="29"/>
      <c r="M13" s="183" t="str">
        <f>IF(I13&lt;J11,"yes","no")</f>
        <v>no</v>
      </c>
      <c r="N13" s="29">
        <f>SQRT(G13^2/(G13^2+H13))</f>
        <v>0.13595426816106815</v>
      </c>
      <c r="O13" s="229"/>
      <c r="P13" s="29" t="s">
        <v>439</v>
      </c>
      <c r="Q13" s="29" t="s">
        <v>388</v>
      </c>
      <c r="R13" s="6">
        <f>AVERAGE('1-LTP'!$G$57:$G$92)</f>
        <v>27.543333333333344</v>
      </c>
      <c r="S13" s="29"/>
      <c r="T13" s="29" t="s">
        <v>408</v>
      </c>
      <c r="U13" s="29">
        <f>SQRT(W9*(1/U7+1/U8))</f>
        <v>0.52924626427559007</v>
      </c>
      <c r="V13" s="29">
        <f>(ABS(V7-V8-X5))/U13</f>
        <v>5.7878885456043738</v>
      </c>
      <c r="W13" s="29">
        <f>U7+U8-2</f>
        <v>55</v>
      </c>
      <c r="X13" s="29">
        <f>TDIST(V13,W13,1)</f>
        <v>1.7662180882889072E-7</v>
      </c>
      <c r="Y13" s="29">
        <f>TINV(Y11*2,W13)</f>
        <v>1.673033965289912</v>
      </c>
      <c r="Z13" s="29"/>
      <c r="AA13" s="29"/>
      <c r="AB13" s="183" t="str">
        <f>IF(X13&lt;Y11,"yes","no")</f>
        <v>yes</v>
      </c>
      <c r="AC13" s="29">
        <f>SQRT(V13^2/(V13^2+W13))</f>
        <v>0.61524681425374028</v>
      </c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</row>
    <row r="14" spans="1:44" x14ac:dyDescent="0.3">
      <c r="B14" s="29" t="s">
        <v>442</v>
      </c>
      <c r="C14" s="6">
        <f>DEVSQ('1-LTP'!$AI$4:$AI$56)</f>
        <v>0.52792294522690952</v>
      </c>
      <c r="D14" s="29"/>
      <c r="E14" s="29" t="s">
        <v>409</v>
      </c>
      <c r="F14" s="29">
        <f>F13</f>
        <v>3.3052531969754481E-2</v>
      </c>
      <c r="G14" s="29">
        <f>G13</f>
        <v>1.0177131888611031</v>
      </c>
      <c r="H14" s="29">
        <f t="shared" ref="H14" si="0">H13</f>
        <v>55</v>
      </c>
      <c r="I14" s="29">
        <f>TDIST(G14,H14,2)</f>
        <v>0.31327032811673161</v>
      </c>
      <c r="J14" s="29">
        <f>TINV(J11,H14)</f>
        <v>2.0040447832891455</v>
      </c>
      <c r="K14" s="29">
        <f>(G7-G8)-J14*F14</f>
        <v>-9.9876751979356568E-2</v>
      </c>
      <c r="L14" s="29">
        <f>(G7-G8)+J14*F14</f>
        <v>3.2600756557611785E-2</v>
      </c>
      <c r="M14" s="183" t="str">
        <f>IF(I14&lt;J11,"yes","no")</f>
        <v>no</v>
      </c>
      <c r="N14" s="29">
        <f>N13</f>
        <v>0.13595426816106815</v>
      </c>
      <c r="O14" s="229"/>
      <c r="P14" s="29" t="s">
        <v>412</v>
      </c>
      <c r="Q14" s="29" t="s">
        <v>389</v>
      </c>
      <c r="R14" s="6">
        <f>STDEV('1-LTP'!$G$57:$G$96)</f>
        <v>1.5931087226861984</v>
      </c>
      <c r="S14" s="29"/>
      <c r="T14" s="29" t="s">
        <v>409</v>
      </c>
      <c r="U14" s="29">
        <f>U13</f>
        <v>0.52924626427559007</v>
      </c>
      <c r="V14" s="29">
        <f>V13</f>
        <v>5.7878885456043738</v>
      </c>
      <c r="W14" s="29">
        <f t="shared" ref="W14" si="1">W13</f>
        <v>55</v>
      </c>
      <c r="X14" s="29">
        <f>TDIST(V14,W14,2)</f>
        <v>3.5324361765778143E-7</v>
      </c>
      <c r="Y14" s="29">
        <f>TINV(Y11,W14)</f>
        <v>2.0040447832891455</v>
      </c>
      <c r="Z14" s="29">
        <f>(V7-V8)-Y14*U14</f>
        <v>2.0025851758078286</v>
      </c>
      <c r="AA14" s="29">
        <f>(V7-V8)+Y14*U14</f>
        <v>4.1238516058013577</v>
      </c>
      <c r="AB14" s="183" t="str">
        <f>IF(X14&lt;Y11,"yes","no")</f>
        <v>yes</v>
      </c>
      <c r="AC14" s="29">
        <f>AC13</f>
        <v>0.61524681425374028</v>
      </c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spans="1:44" x14ac:dyDescent="0.3">
      <c r="A15" s="29" t="s">
        <v>439</v>
      </c>
      <c r="B15" s="29" t="s">
        <v>388</v>
      </c>
      <c r="C15" s="6">
        <f>AVERAGE('1-LTP'!$AI$57:$AI$92)</f>
        <v>0.30827118892165445</v>
      </c>
      <c r="D15" s="29"/>
      <c r="E15" s="8"/>
      <c r="F15" s="8"/>
      <c r="G15" s="8"/>
      <c r="H15" s="8"/>
      <c r="I15" s="8"/>
      <c r="J15" s="8"/>
      <c r="K15" s="8"/>
      <c r="L15" s="8"/>
      <c r="M15" s="8"/>
      <c r="N15" s="8"/>
      <c r="O15" s="229"/>
      <c r="P15" s="29"/>
      <c r="Q15" s="29" t="s">
        <v>200</v>
      </c>
      <c r="R15" s="22">
        <f>COUNT('1-LTP'!$G$57:$G$90)</f>
        <v>28</v>
      </c>
      <c r="S15" s="29"/>
      <c r="T15" s="8"/>
      <c r="U15" s="8"/>
      <c r="V15" s="8"/>
      <c r="W15" s="8"/>
      <c r="X15" s="8"/>
      <c r="Y15" s="8"/>
      <c r="Z15" s="8"/>
      <c r="AA15" s="8"/>
      <c r="AB15" s="8"/>
      <c r="AC15" s="8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</row>
    <row r="16" spans="1:44" ht="15" thickBot="1" x14ac:dyDescent="0.35">
      <c r="A16" s="29" t="s">
        <v>412</v>
      </c>
      <c r="B16" s="29" t="s">
        <v>389</v>
      </c>
      <c r="C16" s="6">
        <f>STDEV('1-LTP'!$AI$57:$AI$96)</f>
        <v>0.12026855328523835</v>
      </c>
      <c r="D16" s="29"/>
      <c r="E16" s="29" t="s">
        <v>410</v>
      </c>
      <c r="F16" s="29"/>
      <c r="G16" s="29"/>
      <c r="H16" s="29"/>
      <c r="I16" s="29" t="s">
        <v>288</v>
      </c>
      <c r="J16" s="29">
        <f>J11</f>
        <v>0.05</v>
      </c>
      <c r="K16" s="29"/>
      <c r="L16" s="29"/>
      <c r="M16" s="29"/>
      <c r="N16" s="29"/>
      <c r="O16" s="229"/>
      <c r="P16" s="29"/>
      <c r="Q16" s="29" t="s">
        <v>174</v>
      </c>
      <c r="R16" s="6">
        <f>MIN('1-LTP'!$G$57:$G$92)</f>
        <v>25</v>
      </c>
      <c r="S16" s="29"/>
      <c r="T16" s="29" t="s">
        <v>410</v>
      </c>
      <c r="U16" s="29"/>
      <c r="V16" s="29"/>
      <c r="W16" s="29"/>
      <c r="X16" s="29" t="s">
        <v>288</v>
      </c>
      <c r="Y16" s="29">
        <f>Y11</f>
        <v>0.05</v>
      </c>
      <c r="Z16" s="29"/>
      <c r="AA16" s="29"/>
      <c r="AB16" s="29"/>
      <c r="AC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</row>
    <row r="17" spans="1:44" ht="15" thickTop="1" x14ac:dyDescent="0.3">
      <c r="A17" s="29"/>
      <c r="B17" s="29" t="s">
        <v>200</v>
      </c>
      <c r="C17" s="22">
        <f>COUNT('1-LTP'!$AI$57:$AI$90)</f>
        <v>28</v>
      </c>
      <c r="D17" s="29"/>
      <c r="E17" s="191" t="s">
        <v>400</v>
      </c>
      <c r="F17" s="191" t="s">
        <v>401</v>
      </c>
      <c r="G17" s="191" t="s">
        <v>402</v>
      </c>
      <c r="H17" s="191" t="s">
        <v>205</v>
      </c>
      <c r="I17" s="191" t="s">
        <v>311</v>
      </c>
      <c r="J17" s="191" t="s">
        <v>403</v>
      </c>
      <c r="K17" s="191" t="s">
        <v>404</v>
      </c>
      <c r="L17" s="191" t="s">
        <v>405</v>
      </c>
      <c r="M17" s="191" t="s">
        <v>406</v>
      </c>
      <c r="N17" s="191" t="s">
        <v>407</v>
      </c>
      <c r="O17" s="229"/>
      <c r="P17" s="29"/>
      <c r="Q17" s="29" t="s">
        <v>175</v>
      </c>
      <c r="R17" s="6">
        <f>MAX('1-LTP'!$G$57:$G$92)</f>
        <v>30.24</v>
      </c>
      <c r="S17" s="29"/>
      <c r="T17" s="191" t="s">
        <v>400</v>
      </c>
      <c r="U17" s="191" t="s">
        <v>401</v>
      </c>
      <c r="V17" s="191" t="s">
        <v>402</v>
      </c>
      <c r="W17" s="191" t="s">
        <v>205</v>
      </c>
      <c r="X17" s="191" t="s">
        <v>311</v>
      </c>
      <c r="Y17" s="191" t="s">
        <v>403</v>
      </c>
      <c r="Z17" s="191" t="s">
        <v>404</v>
      </c>
      <c r="AA17" s="191" t="s">
        <v>405</v>
      </c>
      <c r="AB17" s="191" t="s">
        <v>406</v>
      </c>
      <c r="AC17" s="191" t="s">
        <v>407</v>
      </c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</row>
    <row r="18" spans="1:44" x14ac:dyDescent="0.3">
      <c r="A18" s="29"/>
      <c r="B18" s="29" t="s">
        <v>174</v>
      </c>
      <c r="C18" s="6">
        <f>MIN('1-LTP'!$AI$57:$AI$92)</f>
        <v>0.14741391391391395</v>
      </c>
      <c r="D18" s="29"/>
      <c r="E18" s="29" t="s">
        <v>408</v>
      </c>
      <c r="F18" s="29">
        <f>SQRT(H7/F7+H8/F8)</f>
        <v>3.3011581333352899E-2</v>
      </c>
      <c r="G18" s="29">
        <f>(ABS(G7-G8-I5))/F18</f>
        <v>1.018975654973747</v>
      </c>
      <c r="H18" s="29">
        <f>(H7/F7+H8/F8)^2/((H7/F7)^2/(F7-1)+(H8/F8)^2/(F8-1))</f>
        <v>54.937433790319886</v>
      </c>
      <c r="I18" s="29" t="e">
        <f ca="1">[1]!T_DIST_RT(G18,H18)</f>
        <v>#NAME?</v>
      </c>
      <c r="J18" s="29" t="e">
        <f ca="1">[1]!T_INV(1-J16,H18)</f>
        <v>#NAME?</v>
      </c>
      <c r="K18" s="29"/>
      <c r="L18" s="29"/>
      <c r="M18" s="183" t="e">
        <f ca="1">IF(I18&lt;J16,"yes","no")</f>
        <v>#NAME?</v>
      </c>
      <c r="N18" s="29">
        <f>SQRT(G18^2/(G18^2+H18))</f>
        <v>0.13619584740728369</v>
      </c>
      <c r="O18" s="229"/>
      <c r="P18" s="29"/>
      <c r="Q18" s="29"/>
      <c r="R18" s="212"/>
      <c r="S18" s="29"/>
      <c r="T18" s="29" t="s">
        <v>408</v>
      </c>
      <c r="U18" s="29">
        <f>SQRT(W7/U7+W8/U8)</f>
        <v>0.52585616079601338</v>
      </c>
      <c r="V18" s="29">
        <f>(ABS(V7-V8-X5))/U18</f>
        <v>5.8252020593761884</v>
      </c>
      <c r="W18" s="29">
        <f>(W7/U7+W8/U8)^2/((W7/U7)^2/(U7-1)+(W8/U8)^2/(U8-1))</f>
        <v>49.707924062374296</v>
      </c>
      <c r="X18" s="29" t="e">
        <f ca="1">[1]!T_DIST_RT(V18,W18)</f>
        <v>#NAME?</v>
      </c>
      <c r="Y18" s="29" t="e">
        <f ca="1">[1]!T_INV(1-Y16,W18)</f>
        <v>#NAME?</v>
      </c>
      <c r="Z18" s="29"/>
      <c r="AA18" s="29"/>
      <c r="AB18" s="183" t="e">
        <f ca="1">IF(X18&lt;Y16,"yes","no")</f>
        <v>#NAME?</v>
      </c>
      <c r="AC18" s="29">
        <f>SQRT(V18^2/(V18^2+W18))</f>
        <v>0.63694456723964177</v>
      </c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</row>
    <row r="19" spans="1:44" x14ac:dyDescent="0.3">
      <c r="A19" s="29"/>
      <c r="B19" s="29" t="s">
        <v>175</v>
      </c>
      <c r="C19" s="6">
        <f>MAX('1-LTP'!$AI$57:$AI$92)</f>
        <v>0.82664329194058928</v>
      </c>
      <c r="D19" s="29"/>
      <c r="E19" s="29" t="s">
        <v>409</v>
      </c>
      <c r="F19" s="29">
        <f>F18</f>
        <v>3.3011581333352899E-2</v>
      </c>
      <c r="G19" s="29">
        <f t="shared" ref="G19:H19" si="2">G18</f>
        <v>1.018975654973747</v>
      </c>
      <c r="H19" s="29">
        <f t="shared" si="2"/>
        <v>54.937433790319886</v>
      </c>
      <c r="I19" s="29" t="e">
        <f ca="1">[1]!T_DIST_2T(G19,H19)</f>
        <v>#NAME?</v>
      </c>
      <c r="J19" s="29" t="e">
        <f ca="1">[1]!T_INV_2T(J16,H19)</f>
        <v>#NAME?</v>
      </c>
      <c r="K19" s="29" t="e">
        <f ca="1">(G7-G8)-J19*F19</f>
        <v>#NAME?</v>
      </c>
      <c r="L19" s="29" t="e">
        <f ca="1">(G7-G8)+J19*F19</f>
        <v>#NAME?</v>
      </c>
      <c r="M19" s="183" t="e">
        <f ca="1">IF(I19&lt;J16,"yes","no")</f>
        <v>#NAME?</v>
      </c>
      <c r="N19" s="29">
        <f>N18</f>
        <v>0.13619584740728369</v>
      </c>
      <c r="O19" s="229"/>
      <c r="P19" s="29"/>
      <c r="Q19" s="29"/>
      <c r="R19" s="29"/>
      <c r="S19" s="29"/>
      <c r="T19" s="29" t="s">
        <v>409</v>
      </c>
      <c r="U19" s="29">
        <f>U18</f>
        <v>0.52585616079601338</v>
      </c>
      <c r="V19" s="29">
        <f t="shared" ref="V19:W19" si="3">V18</f>
        <v>5.8252020593761884</v>
      </c>
      <c r="W19" s="29">
        <f t="shared" si="3"/>
        <v>49.707924062374296</v>
      </c>
      <c r="X19" s="29" t="e">
        <f ca="1">[1]!T_DIST_2T(V19,W19)</f>
        <v>#NAME?</v>
      </c>
      <c r="Y19" s="29" t="e">
        <f ca="1">[1]!T_INV_2T(Y16,W19)</f>
        <v>#NAME?</v>
      </c>
      <c r="Z19" s="29" t="e">
        <f ca="1">(V7-V8)-Y19*U19</f>
        <v>#NAME?</v>
      </c>
      <c r="AA19" s="29" t="e">
        <f ca="1">(V7-V8)+Y19*U19</f>
        <v>#NAME?</v>
      </c>
      <c r="AB19" s="183" t="e">
        <f ca="1">IF(X19&lt;Y16,"yes","no")</f>
        <v>#NAME?</v>
      </c>
      <c r="AC19" s="29">
        <f>AC18</f>
        <v>0.63694456723964177</v>
      </c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</row>
    <row r="20" spans="1:44" x14ac:dyDescent="0.3">
      <c r="A20" s="29"/>
      <c r="B20" s="29" t="s">
        <v>442</v>
      </c>
      <c r="C20" s="6">
        <f>DEVSQ('1-LTP'!$AI$57:$AI$92)</f>
        <v>0.4194712223704023</v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</row>
    <row r="21" spans="1:44" x14ac:dyDescent="0.3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29" t="s">
        <v>44</v>
      </c>
      <c r="P21" s="362" t="s">
        <v>415</v>
      </c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227" t="s">
        <v>490</v>
      </c>
      <c r="AE21" s="358" t="s">
        <v>457</v>
      </c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</row>
    <row r="22" spans="1:44" x14ac:dyDescent="0.3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29"/>
      <c r="P22" s="29" t="s">
        <v>436</v>
      </c>
      <c r="Q22" s="29" t="s">
        <v>388</v>
      </c>
      <c r="R22" s="6">
        <f>AVERAGE('1-Influent'!$T$4:$T$92)</f>
        <v>1.8401419179855796</v>
      </c>
      <c r="S22" s="29"/>
      <c r="T22" s="29" t="s">
        <v>393</v>
      </c>
      <c r="U22" s="29"/>
      <c r="V22" s="29"/>
      <c r="W22" s="29"/>
      <c r="X22" s="29"/>
      <c r="Y22" s="29"/>
      <c r="Z22" s="29"/>
      <c r="AA22" s="29"/>
      <c r="AB22" s="29"/>
      <c r="AC22" s="29"/>
      <c r="AE22" s="29" t="s">
        <v>436</v>
      </c>
      <c r="AF22" s="29" t="s">
        <v>388</v>
      </c>
      <c r="AG22" s="6">
        <f>AVERAGE('stable LTP'!$AN$4:$AN$92)</f>
        <v>0.21195029883788899</v>
      </c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</row>
    <row r="23" spans="1:44" x14ac:dyDescent="0.3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29"/>
      <c r="P23" s="29" t="s">
        <v>307</v>
      </c>
      <c r="Q23" s="29" t="s">
        <v>389</v>
      </c>
      <c r="R23" s="6">
        <f>STDEV('1-Influent'!$T$4:$T$92)</f>
        <v>0.33865291337176612</v>
      </c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E23" s="29" t="s">
        <v>307</v>
      </c>
      <c r="AF23" s="29" t="s">
        <v>389</v>
      </c>
      <c r="AG23" s="6">
        <f>STDEV('stable LTP'!$AN$4:$AN$92)</f>
        <v>0.15558867127365503</v>
      </c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</row>
    <row r="24" spans="1:44" ht="15" thickBot="1" x14ac:dyDescent="0.3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29"/>
      <c r="P24" s="29"/>
      <c r="Q24" s="29" t="s">
        <v>200</v>
      </c>
      <c r="R24" s="22">
        <f>COUNT('1-Influent'!$T$4:$T$92)</f>
        <v>71</v>
      </c>
      <c r="S24" s="29"/>
      <c r="T24" s="29" t="s">
        <v>394</v>
      </c>
      <c r="U24" s="29"/>
      <c r="V24" s="29"/>
      <c r="W24" s="29" t="s">
        <v>395</v>
      </c>
      <c r="X24" s="6">
        <v>0</v>
      </c>
      <c r="Y24" s="29"/>
      <c r="Z24" s="29"/>
      <c r="AA24" s="29"/>
      <c r="AB24" s="29"/>
      <c r="AC24" s="29"/>
      <c r="AE24" s="29"/>
      <c r="AF24" s="29" t="s">
        <v>200</v>
      </c>
      <c r="AG24" s="22">
        <f>COUNT('stable LTP'!$AN$4:$AN$92)</f>
        <v>47</v>
      </c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</row>
    <row r="25" spans="1:44" ht="15" thickTop="1" x14ac:dyDescent="0.3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29"/>
      <c r="P25" s="29"/>
      <c r="Q25" s="29" t="s">
        <v>174</v>
      </c>
      <c r="R25" s="6">
        <f>MIN('1-Influent'!$T$4:$T$92)</f>
        <v>0.79175207650022228</v>
      </c>
      <c r="S25" s="29"/>
      <c r="T25" s="191" t="s">
        <v>396</v>
      </c>
      <c r="U25" s="191" t="s">
        <v>290</v>
      </c>
      <c r="V25" s="191" t="s">
        <v>292</v>
      </c>
      <c r="W25" s="191" t="s">
        <v>293</v>
      </c>
      <c r="X25" s="191" t="s">
        <v>397</v>
      </c>
      <c r="Y25" s="29"/>
      <c r="Z25" s="29"/>
      <c r="AA25" s="29"/>
      <c r="AB25" s="29"/>
      <c r="AC25" s="29"/>
      <c r="AE25" s="29"/>
      <c r="AF25" s="29" t="s">
        <v>174</v>
      </c>
      <c r="AG25" s="6">
        <f>MIN('stable LTP'!$AN$4:$AN$92)</f>
        <v>4.7379168354259371E-2</v>
      </c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</row>
    <row r="26" spans="1:44" x14ac:dyDescent="0.3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29"/>
      <c r="P26" s="29"/>
      <c r="Q26" s="29" t="s">
        <v>175</v>
      </c>
      <c r="R26" s="6">
        <f>MAX('1-Influent'!$T$4:$T$92)</f>
        <v>3.1483087597571551</v>
      </c>
      <c r="S26" s="29"/>
      <c r="T26" s="29" t="str">
        <f>P28</f>
        <v>Period 1</v>
      </c>
      <c r="U26" s="22">
        <f>R29</f>
        <v>35</v>
      </c>
      <c r="V26" s="6">
        <f>R27</f>
        <v>1.9905724071737747</v>
      </c>
      <c r="W26" s="20">
        <f>R23^2</f>
        <v>0.11468579573518492</v>
      </c>
      <c r="X26" s="29"/>
      <c r="Y26" s="29"/>
      <c r="Z26" s="29"/>
      <c r="AA26" s="29"/>
      <c r="AB26" s="29"/>
      <c r="AC26" s="29"/>
      <c r="AE26" s="29"/>
      <c r="AF26" s="29" t="s">
        <v>175</v>
      </c>
      <c r="AG26" s="6">
        <f>MAX('stable LTP'!$AN$4:$AN$92)</f>
        <v>0.86217409088433605</v>
      </c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</row>
    <row r="27" spans="1:44" x14ac:dyDescent="0.3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29"/>
      <c r="P27" s="29" t="s">
        <v>437</v>
      </c>
      <c r="Q27" s="29" t="s">
        <v>388</v>
      </c>
      <c r="R27" s="6">
        <f>AVERAGE('1-Influent'!$T$4:$T$56)</f>
        <v>1.9905724071737747</v>
      </c>
      <c r="S27" s="29"/>
      <c r="T27" s="29" t="str">
        <f>P33</f>
        <v>Period 2</v>
      </c>
      <c r="U27" s="22">
        <f>R34</f>
        <v>34</v>
      </c>
      <c r="V27" s="20">
        <f>R32</f>
        <v>1.6938900534970551</v>
      </c>
      <c r="W27" s="20">
        <f>R33^2</f>
        <v>8.2344183248670239E-2</v>
      </c>
      <c r="X27" s="29"/>
      <c r="Y27" s="29"/>
      <c r="Z27" s="29"/>
      <c r="AA27" s="29"/>
      <c r="AB27" s="29"/>
      <c r="AC27" s="29"/>
      <c r="AE27" s="29"/>
      <c r="AF27" s="29" t="s">
        <v>442</v>
      </c>
      <c r="AG27" s="6">
        <f>DEVSQ('stable LTP'!$AN$4:$AN$92)</f>
        <v>1.1135603929202678</v>
      </c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</row>
    <row r="28" spans="1:44" x14ac:dyDescent="0.3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29"/>
      <c r="P28" s="29" t="s">
        <v>411</v>
      </c>
      <c r="Q28" s="29" t="s">
        <v>389</v>
      </c>
      <c r="R28" s="6">
        <f>STDEV('1-Influent'!$T$4:$T$56)</f>
        <v>0.32242900878550768</v>
      </c>
      <c r="S28" s="29"/>
      <c r="T28" s="8" t="s">
        <v>398</v>
      </c>
      <c r="U28" s="8"/>
      <c r="V28" s="8"/>
      <c r="W28" s="8">
        <f>((U26-1)*W26+(U27-1)*W27)/(U26+U27-2)</f>
        <v>9.8756344808991134E-2</v>
      </c>
      <c r="X28" s="8">
        <f>ABS(V26-V27-X24)/SQRT(W28)</f>
        <v>0.94408090152310575</v>
      </c>
      <c r="Y28" s="29"/>
      <c r="Z28" s="29"/>
      <c r="AA28" s="29"/>
      <c r="AB28" s="29"/>
      <c r="AC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</row>
    <row r="29" spans="1:44" x14ac:dyDescent="0.3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29"/>
      <c r="P29" s="29"/>
      <c r="Q29" s="29" t="s">
        <v>200</v>
      </c>
      <c r="R29" s="22">
        <f>COUNT('1-Influent'!$T$4:$T$56)</f>
        <v>35</v>
      </c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</row>
    <row r="30" spans="1:44" ht="15" thickBot="1" x14ac:dyDescent="0.35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29"/>
      <c r="P30" s="29"/>
      <c r="Q30" s="29" t="s">
        <v>174</v>
      </c>
      <c r="R30" s="6">
        <f>MIN('1-Influent'!$T$4:$T$56)</f>
        <v>1.5898583872694534</v>
      </c>
      <c r="S30" s="29"/>
      <c r="T30" s="29" t="s">
        <v>399</v>
      </c>
      <c r="U30" s="29"/>
      <c r="V30" s="29"/>
      <c r="W30" s="29"/>
      <c r="X30" s="29" t="s">
        <v>288</v>
      </c>
      <c r="Y30" s="29">
        <v>0.05</v>
      </c>
      <c r="Z30" s="29"/>
      <c r="AA30" s="29"/>
      <c r="AB30" s="29"/>
      <c r="AC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</row>
    <row r="31" spans="1:44" ht="15" thickTop="1" x14ac:dyDescent="0.3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29"/>
      <c r="P31" s="29"/>
      <c r="Q31" s="29" t="s">
        <v>175</v>
      </c>
      <c r="R31" s="6">
        <f>MAX('1-Influent'!$T$4:$T$56)</f>
        <v>3.1483087597571551</v>
      </c>
      <c r="S31" s="29"/>
      <c r="T31" s="191" t="s">
        <v>400</v>
      </c>
      <c r="U31" s="191" t="s">
        <v>401</v>
      </c>
      <c r="V31" s="191" t="s">
        <v>402</v>
      </c>
      <c r="W31" s="191" t="s">
        <v>205</v>
      </c>
      <c r="X31" s="191" t="s">
        <v>311</v>
      </c>
      <c r="Y31" s="191" t="s">
        <v>403</v>
      </c>
      <c r="Z31" s="191" t="s">
        <v>404</v>
      </c>
      <c r="AA31" s="191" t="s">
        <v>405</v>
      </c>
      <c r="AB31" s="191" t="s">
        <v>406</v>
      </c>
      <c r="AC31" s="191" t="s">
        <v>407</v>
      </c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</row>
    <row r="32" spans="1:44" x14ac:dyDescent="0.3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29"/>
      <c r="P32" s="29" t="s">
        <v>439</v>
      </c>
      <c r="Q32" s="29" t="s">
        <v>388</v>
      </c>
      <c r="R32" s="6">
        <f>AVERAGE('1-Influent'!$T$57:$T$92)</f>
        <v>1.6938900534970551</v>
      </c>
      <c r="S32" s="29"/>
      <c r="T32" s="29" t="s">
        <v>408</v>
      </c>
      <c r="U32" s="29">
        <f>SQRT(W28*(1/U26+1/U27))</f>
        <v>7.5671713529036025E-2</v>
      </c>
      <c r="V32" s="29">
        <f>(ABS(V26-V27-X24))/U32</f>
        <v>3.9206506611334957</v>
      </c>
      <c r="W32" s="29">
        <f>U26+U27-2</f>
        <v>67</v>
      </c>
      <c r="X32" s="29">
        <f>TDIST(V32,W32,1)</f>
        <v>1.0510566476864636E-4</v>
      </c>
      <c r="Y32" s="29">
        <f>TINV(Y30*2,W32)</f>
        <v>1.6679161141074239</v>
      </c>
      <c r="Z32" s="29"/>
      <c r="AA32" s="29"/>
      <c r="AB32" s="183" t="str">
        <f>IF(X32&lt;Y30,"yes","no")</f>
        <v>yes</v>
      </c>
      <c r="AC32" s="29">
        <f>SQRT(V32^2/(V32^2+W32))</f>
        <v>0.43198598370510144</v>
      </c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</row>
    <row r="33" spans="1:44" x14ac:dyDescent="0.3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29"/>
      <c r="P33" s="29" t="s">
        <v>412</v>
      </c>
      <c r="Q33" s="29" t="s">
        <v>389</v>
      </c>
      <c r="R33" s="6">
        <f>STDEV('1-Influent'!$T$57:$T$96)</f>
        <v>0.28695676198457187</v>
      </c>
      <c r="S33" s="29"/>
      <c r="T33" s="29" t="s">
        <v>409</v>
      </c>
      <c r="U33" s="29">
        <f>U32</f>
        <v>7.5671713529036025E-2</v>
      </c>
      <c r="V33" s="29">
        <f>V32</f>
        <v>3.9206506611334957</v>
      </c>
      <c r="W33" s="29">
        <f t="shared" ref="W33" si="4">W32</f>
        <v>67</v>
      </c>
      <c r="X33" s="29">
        <f>TDIST(V33,W33,2)</f>
        <v>2.1021132953729271E-4</v>
      </c>
      <c r="Y33" s="29">
        <f>TINV(Y30,W33)</f>
        <v>1.9960083540252964</v>
      </c>
      <c r="Z33" s="29">
        <f>(V26-V27)-Y33*U33</f>
        <v>0.14564098130935463</v>
      </c>
      <c r="AA33" s="29">
        <f>(V26-V27)+Y33*U33</f>
        <v>0.4477237260440845</v>
      </c>
      <c r="AB33" s="183" t="str">
        <f>IF(X33&lt;Y30,"yes","no")</f>
        <v>yes</v>
      </c>
      <c r="AC33" s="29">
        <f>AC32</f>
        <v>0.43198598370510144</v>
      </c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</row>
    <row r="34" spans="1:44" x14ac:dyDescent="0.3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29"/>
      <c r="P34" s="29"/>
      <c r="Q34" s="29" t="s">
        <v>200</v>
      </c>
      <c r="R34" s="22">
        <f>COUNT('1-Influent'!$T$57:$T$90)</f>
        <v>34</v>
      </c>
      <c r="S34" s="29"/>
      <c r="T34" s="8"/>
      <c r="U34" s="8"/>
      <c r="V34" s="8"/>
      <c r="W34" s="8"/>
      <c r="X34" s="8"/>
      <c r="Y34" s="8"/>
      <c r="Z34" s="8"/>
      <c r="AA34" s="8"/>
      <c r="AB34" s="8"/>
      <c r="AC34" s="8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</row>
    <row r="35" spans="1:44" ht="15" thickBot="1" x14ac:dyDescent="0.3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29"/>
      <c r="P35" s="29"/>
      <c r="Q35" s="29" t="s">
        <v>174</v>
      </c>
      <c r="R35" s="6">
        <f>MIN('1-Influent'!$T$57:$T$92)</f>
        <v>0.79175207650022228</v>
      </c>
      <c r="S35" s="29"/>
      <c r="T35" s="29" t="s">
        <v>410</v>
      </c>
      <c r="U35" s="29"/>
      <c r="V35" s="29"/>
      <c r="W35" s="29"/>
      <c r="X35" s="29" t="s">
        <v>288</v>
      </c>
      <c r="Y35" s="29">
        <f>Y30</f>
        <v>0.05</v>
      </c>
      <c r="Z35" s="29"/>
      <c r="AA35" s="29"/>
      <c r="AB35" s="29"/>
      <c r="AC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</row>
    <row r="36" spans="1:44" ht="15" thickTop="1" x14ac:dyDescent="0.3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29"/>
      <c r="P36" s="29"/>
      <c r="Q36" s="29" t="s">
        <v>175</v>
      </c>
      <c r="R36" s="6">
        <f>MAX('1-Influent'!$T$57:$T$92)</f>
        <v>2.1246840088069803</v>
      </c>
      <c r="S36" s="29"/>
      <c r="T36" s="191" t="s">
        <v>400</v>
      </c>
      <c r="U36" s="191" t="s">
        <v>401</v>
      </c>
      <c r="V36" s="191" t="s">
        <v>402</v>
      </c>
      <c r="W36" s="191" t="s">
        <v>205</v>
      </c>
      <c r="X36" s="191" t="s">
        <v>311</v>
      </c>
      <c r="Y36" s="191" t="s">
        <v>403</v>
      </c>
      <c r="Z36" s="191" t="s">
        <v>404</v>
      </c>
      <c r="AA36" s="191" t="s">
        <v>405</v>
      </c>
      <c r="AB36" s="191" t="s">
        <v>406</v>
      </c>
      <c r="AC36" s="191" t="s">
        <v>407</v>
      </c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</row>
    <row r="37" spans="1:44" x14ac:dyDescent="0.3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29"/>
      <c r="P37" s="29"/>
      <c r="Q37" s="29"/>
      <c r="R37" s="212"/>
      <c r="S37" s="29"/>
      <c r="T37" s="29" t="s">
        <v>408</v>
      </c>
      <c r="U37" s="29">
        <f>SQRT(W26/U26+W27/U27)</f>
        <v>7.5489236077822597E-2</v>
      </c>
      <c r="V37" s="29">
        <f>(ABS(V26-V27-X24))/U37</f>
        <v>3.9301279108304503</v>
      </c>
      <c r="W37" s="29">
        <f>(W26/U26+W27/U27)^2/((W26/U26)^2/(U26-1)+(W27/U27)^2/(U27-1))</f>
        <v>65.799045372154254</v>
      </c>
      <c r="X37" s="29" t="e">
        <f ca="1">[1]!T_DIST_RT(V37,W37)</f>
        <v>#NAME?</v>
      </c>
      <c r="Y37" s="29" t="e">
        <f ca="1">[1]!T_INV(1-Y35,W37)</f>
        <v>#NAME?</v>
      </c>
      <c r="Z37" s="29"/>
      <c r="AA37" s="29"/>
      <c r="AB37" s="183" t="e">
        <f ca="1">IF(X37&lt;Y35,"yes","no")</f>
        <v>#NAME?</v>
      </c>
      <c r="AC37" s="29">
        <f>SQRT(V37^2/(V37^2+W37))</f>
        <v>0.43602209304136857</v>
      </c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</row>
    <row r="38" spans="1:44" x14ac:dyDescent="0.3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29"/>
      <c r="P38" s="29"/>
      <c r="Q38" s="29"/>
      <c r="R38" s="29"/>
      <c r="S38" s="29"/>
      <c r="T38" s="29" t="s">
        <v>409</v>
      </c>
      <c r="U38" s="29">
        <f>U37</f>
        <v>7.5489236077822597E-2</v>
      </c>
      <c r="V38" s="29">
        <f t="shared" ref="V38:W38" si="5">V37</f>
        <v>3.9301279108304503</v>
      </c>
      <c r="W38" s="29">
        <f t="shared" si="5"/>
        <v>65.799045372154254</v>
      </c>
      <c r="X38" s="29" t="e">
        <f ca="1">[1]!T_DIST_2T(V38,W38)</f>
        <v>#NAME?</v>
      </c>
      <c r="Y38" s="29" t="e">
        <f ca="1">[1]!T_INV_2T(Y35,W38)</f>
        <v>#NAME?</v>
      </c>
      <c r="Z38" s="29" t="e">
        <f ca="1">(V26-V27)-Y38*U38</f>
        <v>#NAME?</v>
      </c>
      <c r="AA38" s="29" t="e">
        <f ca="1">(V26-V27)+Y38*U38</f>
        <v>#NAME?</v>
      </c>
      <c r="AB38" s="183" t="e">
        <f ca="1">IF(X38&lt;Y35,"yes","no")</f>
        <v>#NAME?</v>
      </c>
      <c r="AC38" s="29">
        <f>AC37</f>
        <v>0.43602209304136857</v>
      </c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</row>
    <row r="39" spans="1:44" x14ac:dyDescent="0.3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</row>
    <row r="40" spans="1:44" x14ac:dyDescent="0.3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29" t="s">
        <v>91</v>
      </c>
      <c r="P40" s="362" t="s">
        <v>416</v>
      </c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227" t="s">
        <v>474</v>
      </c>
      <c r="AE40" s="358" t="s">
        <v>458</v>
      </c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</row>
    <row r="41" spans="1:44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29"/>
      <c r="P41" s="29" t="s">
        <v>436</v>
      </c>
      <c r="Q41" s="29" t="s">
        <v>388</v>
      </c>
      <c r="R41" s="6">
        <f>AVERAGE('1-Influent'!$F$4:$F$92)</f>
        <v>2432.2183098591549</v>
      </c>
      <c r="S41" s="29"/>
      <c r="T41" s="29" t="s">
        <v>393</v>
      </c>
      <c r="U41" s="29"/>
      <c r="V41" s="29"/>
      <c r="W41" s="29"/>
      <c r="X41" s="29"/>
      <c r="Y41" s="29"/>
      <c r="Z41" s="29"/>
      <c r="AA41" s="29"/>
      <c r="AB41" s="29"/>
      <c r="AC41" s="29"/>
      <c r="AE41" s="29" t="s">
        <v>436</v>
      </c>
      <c r="AF41" s="29" t="s">
        <v>388</v>
      </c>
      <c r="AG41" s="6">
        <f>AVERAGE('stable LTP'!$Z$4:$Z$92)</f>
        <v>113.17847457627117</v>
      </c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</row>
    <row r="42" spans="1:44" x14ac:dyDescent="0.3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29"/>
      <c r="P42" s="29" t="s">
        <v>307</v>
      </c>
      <c r="Q42" s="29" t="s">
        <v>389</v>
      </c>
      <c r="R42" s="6">
        <f>STDEV('1-Influent'!$F$4:$F$92)</f>
        <v>528.90487756977859</v>
      </c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E42" s="29" t="s">
        <v>307</v>
      </c>
      <c r="AF42" s="29" t="s">
        <v>389</v>
      </c>
      <c r="AG42" s="6">
        <f>STDEV('stable LTP'!$Z$4:$Z$92)</f>
        <v>68.681598343961383</v>
      </c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</row>
    <row r="43" spans="1:44" ht="15" thickBot="1" x14ac:dyDescent="0.3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29"/>
      <c r="P43" s="29"/>
      <c r="Q43" s="29" t="s">
        <v>200</v>
      </c>
      <c r="R43" s="22">
        <f>COUNT('1-Influent'!$F$4:$F$92)</f>
        <v>71</v>
      </c>
      <c r="S43" s="29"/>
      <c r="T43" s="29" t="s">
        <v>394</v>
      </c>
      <c r="U43" s="29"/>
      <c r="V43" s="29"/>
      <c r="W43" s="29" t="s">
        <v>395</v>
      </c>
      <c r="X43" s="6">
        <v>0</v>
      </c>
      <c r="Y43" s="29"/>
      <c r="Z43" s="29"/>
      <c r="AA43" s="29"/>
      <c r="AB43" s="29"/>
      <c r="AC43" s="29"/>
      <c r="AE43" s="29"/>
      <c r="AF43" s="29" t="s">
        <v>200</v>
      </c>
      <c r="AG43" s="22">
        <f>COUNT('stable LTP'!$Z$4:$Z$92)</f>
        <v>59</v>
      </c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</row>
    <row r="44" spans="1:44" ht="15" thickTop="1" x14ac:dyDescent="0.3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29"/>
      <c r="P44" s="29"/>
      <c r="Q44" s="29" t="s">
        <v>174</v>
      </c>
      <c r="R44" s="6">
        <f>MIN('1-Influent'!$F$4:$F$92)</f>
        <v>954</v>
      </c>
      <c r="S44" s="29"/>
      <c r="T44" s="191" t="s">
        <v>396</v>
      </c>
      <c r="U44" s="191" t="s">
        <v>290</v>
      </c>
      <c r="V44" s="191" t="s">
        <v>292</v>
      </c>
      <c r="W44" s="191" t="s">
        <v>293</v>
      </c>
      <c r="X44" s="191" t="s">
        <v>397</v>
      </c>
      <c r="Y44" s="29"/>
      <c r="Z44" s="29"/>
      <c r="AA44" s="29"/>
      <c r="AB44" s="29"/>
      <c r="AC44" s="29"/>
      <c r="AE44" s="29"/>
      <c r="AF44" s="29" t="s">
        <v>174</v>
      </c>
      <c r="AG44" s="6">
        <f>MIN('stable LTP'!$Z$4:$Z$92)</f>
        <v>15.11</v>
      </c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</row>
    <row r="45" spans="1:44" x14ac:dyDescent="0.3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29"/>
      <c r="P45" s="29"/>
      <c r="Q45" s="29" t="s">
        <v>175</v>
      </c>
      <c r="R45" s="6">
        <f>MAX('1-Influent'!$F$4:$F$92)</f>
        <v>4356</v>
      </c>
      <c r="S45" s="29"/>
      <c r="T45" s="29" t="str">
        <f>P47</f>
        <v>Period 1</v>
      </c>
      <c r="U45" s="22">
        <f>R48</f>
        <v>35</v>
      </c>
      <c r="V45" s="6">
        <f>R46</f>
        <v>2692.9285714285716</v>
      </c>
      <c r="W45" s="20">
        <f>R42^2</f>
        <v>279740.36951710249</v>
      </c>
      <c r="X45" s="29"/>
      <c r="Y45" s="29"/>
      <c r="Z45" s="29"/>
      <c r="AA45" s="29"/>
      <c r="AB45" s="29"/>
      <c r="AC45" s="29"/>
      <c r="AE45" s="29"/>
      <c r="AF45" s="29" t="s">
        <v>175</v>
      </c>
      <c r="AG45" s="6">
        <f>MAX('stable LTP'!$Z$4:$Z$92)</f>
        <v>374.74</v>
      </c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</row>
    <row r="46" spans="1:44" x14ac:dyDescent="0.3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29"/>
      <c r="P46" s="29" t="s">
        <v>437</v>
      </c>
      <c r="Q46" s="29" t="s">
        <v>388</v>
      </c>
      <c r="R46" s="6">
        <f>AVERAGE('1-Influent'!$F$4:$F$56)</f>
        <v>2692.9285714285716</v>
      </c>
      <c r="S46" s="29"/>
      <c r="T46" s="29" t="str">
        <f>P52</f>
        <v>Period 2</v>
      </c>
      <c r="U46" s="22">
        <f>R53</f>
        <v>34</v>
      </c>
      <c r="V46" s="20">
        <f>R51</f>
        <v>2178.75</v>
      </c>
      <c r="W46" s="20">
        <f>R52^2</f>
        <v>153347.62499999997</v>
      </c>
      <c r="X46" s="29"/>
      <c r="Y46" s="29"/>
      <c r="Z46" s="29"/>
      <c r="AA46" s="29"/>
      <c r="AB46" s="29"/>
      <c r="AC46" s="29"/>
      <c r="AE46" s="29"/>
      <c r="AF46" s="29" t="s">
        <v>442</v>
      </c>
      <c r="AG46" s="6">
        <f>DEVSQ('stable LTP'!$Z$4:$Z$92)</f>
        <v>273595.39316271181</v>
      </c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</row>
    <row r="47" spans="1:44" x14ac:dyDescent="0.3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29"/>
      <c r="P47" s="29" t="s">
        <v>411</v>
      </c>
      <c r="Q47" s="29" t="s">
        <v>389</v>
      </c>
      <c r="R47" s="6">
        <f>STDEV('1-Influent'!$F$4:$F$56)</f>
        <v>528.48639504522635</v>
      </c>
      <c r="S47" s="29"/>
      <c r="T47" s="8" t="s">
        <v>398</v>
      </c>
      <c r="U47" s="8"/>
      <c r="V47" s="8"/>
      <c r="W47" s="8">
        <f>((U45-1)*W45+(U46-1)*W46)/(U45+U46-2)</f>
        <v>217487.22669524606</v>
      </c>
      <c r="X47" s="8">
        <f>ABS(V45-V46-X43)/SQRT(W47)</f>
        <v>1.1025469587220293</v>
      </c>
      <c r="Y47" s="29"/>
      <c r="Z47" s="29"/>
      <c r="AA47" s="29"/>
      <c r="AB47" s="29"/>
      <c r="AC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</row>
    <row r="48" spans="1:44" x14ac:dyDescent="0.3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29"/>
      <c r="P48" s="29"/>
      <c r="Q48" s="29" t="s">
        <v>200</v>
      </c>
      <c r="R48" s="22">
        <f>COUNT('1-Influent'!$F$4:$F$56)</f>
        <v>35</v>
      </c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</row>
    <row r="49" spans="1:44" ht="15" thickBot="1" x14ac:dyDescent="0.3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29"/>
      <c r="P49" s="29"/>
      <c r="Q49" s="29" t="s">
        <v>174</v>
      </c>
      <c r="R49" s="6">
        <f>MIN('1-Influent'!$F$4:$F$56)</f>
        <v>1633.5</v>
      </c>
      <c r="S49" s="29"/>
      <c r="T49" s="29" t="s">
        <v>399</v>
      </c>
      <c r="U49" s="29"/>
      <c r="V49" s="29"/>
      <c r="W49" s="29"/>
      <c r="X49" s="29" t="s">
        <v>288</v>
      </c>
      <c r="Y49" s="29">
        <v>0.05</v>
      </c>
      <c r="Z49" s="29"/>
      <c r="AA49" s="29"/>
      <c r="AB49" s="29"/>
      <c r="AC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</row>
    <row r="50" spans="1:44" ht="15" thickTop="1" x14ac:dyDescent="0.3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29"/>
      <c r="P50" s="29"/>
      <c r="Q50" s="29" t="s">
        <v>175</v>
      </c>
      <c r="R50" s="6">
        <f>MAX('1-Influent'!$F$4:$F$56)</f>
        <v>4356</v>
      </c>
      <c r="S50" s="29"/>
      <c r="T50" s="191" t="s">
        <v>400</v>
      </c>
      <c r="U50" s="191" t="s">
        <v>401</v>
      </c>
      <c r="V50" s="191" t="s">
        <v>402</v>
      </c>
      <c r="W50" s="191" t="s">
        <v>205</v>
      </c>
      <c r="X50" s="191" t="s">
        <v>311</v>
      </c>
      <c r="Y50" s="191" t="s">
        <v>403</v>
      </c>
      <c r="Z50" s="191" t="s">
        <v>404</v>
      </c>
      <c r="AA50" s="191" t="s">
        <v>405</v>
      </c>
      <c r="AB50" s="191" t="s">
        <v>406</v>
      </c>
      <c r="AC50" s="191" t="s">
        <v>407</v>
      </c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</row>
    <row r="51" spans="1:44" x14ac:dyDescent="0.3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29"/>
      <c r="P51" s="29" t="s">
        <v>439</v>
      </c>
      <c r="Q51" s="29" t="s">
        <v>388</v>
      </c>
      <c r="R51" s="6">
        <f>AVERAGE('1-Influent'!$F$57:$F$92)</f>
        <v>2178.75</v>
      </c>
      <c r="S51" s="29"/>
      <c r="T51" s="29" t="s">
        <v>408</v>
      </c>
      <c r="U51" s="29">
        <f>SQRT(W47*(1/U45+1/U46))</f>
        <v>112.2969451980631</v>
      </c>
      <c r="V51" s="29">
        <f>(ABS(V45-V46-X43))/U51</f>
        <v>4.5787405037749869</v>
      </c>
      <c r="W51" s="29">
        <f>U45+U46-2</f>
        <v>67</v>
      </c>
      <c r="X51" s="29">
        <f>TDIST(V51,W51,1)</f>
        <v>1.0436793433544985E-5</v>
      </c>
      <c r="Y51" s="29">
        <f>TINV(Y49*2,W51)</f>
        <v>1.6679161141074239</v>
      </c>
      <c r="Z51" s="29"/>
      <c r="AA51" s="29"/>
      <c r="AB51" s="183" t="str">
        <f>IF(X51&lt;Y49,"yes","no")</f>
        <v>yes</v>
      </c>
      <c r="AC51" s="29">
        <f>SQRT(V51^2/(V51^2+W51))</f>
        <v>0.48819284681350616</v>
      </c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</row>
    <row r="52" spans="1:44" x14ac:dyDescent="0.3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29"/>
      <c r="P52" s="29" t="s">
        <v>412</v>
      </c>
      <c r="Q52" s="29" t="s">
        <v>389</v>
      </c>
      <c r="R52" s="6">
        <f>STDEV('1-Influent'!$F$57:$F$96)</f>
        <v>391.59625253569521</v>
      </c>
      <c r="S52" s="29"/>
      <c r="T52" s="29" t="s">
        <v>409</v>
      </c>
      <c r="U52" s="29">
        <f>U51</f>
        <v>112.2969451980631</v>
      </c>
      <c r="V52" s="29">
        <f>V51</f>
        <v>4.5787405037749869</v>
      </c>
      <c r="W52" s="29">
        <f t="shared" ref="W52" si="6">W51</f>
        <v>67</v>
      </c>
      <c r="X52" s="29">
        <f>TDIST(V52,W52,2)</f>
        <v>2.087358686708997E-5</v>
      </c>
      <c r="Y52" s="29">
        <f>TINV(Y49,W52)</f>
        <v>1.9960083540252964</v>
      </c>
      <c r="Z52" s="29">
        <f>(V45-V46)-Y52*U52</f>
        <v>290.03293068171672</v>
      </c>
      <c r="AA52" s="29">
        <f>(V45-V46)+Y52*U52</f>
        <v>738.3242121754264</v>
      </c>
      <c r="AB52" s="183" t="str">
        <f>IF(X52&lt;Y49,"yes","no")</f>
        <v>yes</v>
      </c>
      <c r="AC52" s="29">
        <f>AC51</f>
        <v>0.48819284681350616</v>
      </c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</row>
    <row r="53" spans="1:44" x14ac:dyDescent="0.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29"/>
      <c r="P53" s="29"/>
      <c r="Q53" s="29" t="s">
        <v>200</v>
      </c>
      <c r="R53" s="22">
        <f>COUNT('1-Influent'!$F$57:$F$90)</f>
        <v>34</v>
      </c>
      <c r="S53" s="29"/>
      <c r="T53" s="8"/>
      <c r="U53" s="8"/>
      <c r="V53" s="8"/>
      <c r="W53" s="8"/>
      <c r="X53" s="8"/>
      <c r="Y53" s="8"/>
      <c r="Z53" s="8"/>
      <c r="AA53" s="8"/>
      <c r="AB53" s="8"/>
      <c r="AC53" s="8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</row>
    <row r="54" spans="1:44" ht="15" thickBot="1" x14ac:dyDescent="0.3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29"/>
      <c r="P54" s="29"/>
      <c r="Q54" s="29" t="s">
        <v>174</v>
      </c>
      <c r="R54" s="6">
        <f>MIN('1-Influent'!$F$57:$F$92)</f>
        <v>954</v>
      </c>
      <c r="S54" s="29"/>
      <c r="T54" s="29" t="s">
        <v>410</v>
      </c>
      <c r="U54" s="29"/>
      <c r="V54" s="29"/>
      <c r="W54" s="29"/>
      <c r="X54" s="29" t="s">
        <v>288</v>
      </c>
      <c r="Y54" s="29">
        <f>Y49</f>
        <v>0.05</v>
      </c>
      <c r="Z54" s="29"/>
      <c r="AA54" s="29"/>
      <c r="AB54" s="29"/>
      <c r="AC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</row>
    <row r="55" spans="1:44" ht="15" thickTop="1" x14ac:dyDescent="0.3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29"/>
      <c r="P55" s="29"/>
      <c r="Q55" s="29" t="s">
        <v>175</v>
      </c>
      <c r="R55" s="6">
        <f>MAX('1-Influent'!$F$57:$F$92)</f>
        <v>2704.5</v>
      </c>
      <c r="S55" s="29"/>
      <c r="T55" s="191" t="s">
        <v>400</v>
      </c>
      <c r="U55" s="191" t="s">
        <v>401</v>
      </c>
      <c r="V55" s="191" t="s">
        <v>402</v>
      </c>
      <c r="W55" s="191" t="s">
        <v>205</v>
      </c>
      <c r="X55" s="191" t="s">
        <v>311</v>
      </c>
      <c r="Y55" s="191" t="s">
        <v>403</v>
      </c>
      <c r="Z55" s="191" t="s">
        <v>404</v>
      </c>
      <c r="AA55" s="191" t="s">
        <v>405</v>
      </c>
      <c r="AB55" s="191" t="s">
        <v>406</v>
      </c>
      <c r="AC55" s="191" t="s">
        <v>407</v>
      </c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</row>
    <row r="56" spans="1:44" x14ac:dyDescent="0.3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29"/>
      <c r="P56" s="29"/>
      <c r="Q56" s="29"/>
      <c r="R56" s="212"/>
      <c r="S56" s="29"/>
      <c r="T56" s="29" t="s">
        <v>408</v>
      </c>
      <c r="U56" s="29">
        <f>SQRT(W45/U45+W46/U46)</f>
        <v>111.8159481062912</v>
      </c>
      <c r="V56" s="29">
        <f>(ABS(V45-V46-X43))/U56</f>
        <v>4.5984368074203346</v>
      </c>
      <c r="W56" s="29">
        <f>(W45/U45+W46/U46)^2/((W45/U45)^2/(U45-1)+(W46/U46)^2/(U46-1))</f>
        <v>62.64604829487336</v>
      </c>
      <c r="X56" s="29" t="e">
        <f ca="1">[1]!T_DIST_RT(V56,W56)</f>
        <v>#NAME?</v>
      </c>
      <c r="Y56" s="29" t="e">
        <f ca="1">[1]!T_INV(1-Y54,W56)</f>
        <v>#NAME?</v>
      </c>
      <c r="Z56" s="29"/>
      <c r="AA56" s="29"/>
      <c r="AB56" s="183" t="e">
        <f ca="1">IF(X56&lt;Y54,"yes","no")</f>
        <v>#NAME?</v>
      </c>
      <c r="AC56" s="29">
        <f>SQRT(V56^2/(V56^2+W56))</f>
        <v>0.50235392664295975</v>
      </c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</row>
    <row r="57" spans="1:44" x14ac:dyDescent="0.3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29"/>
      <c r="P57" s="29"/>
      <c r="Q57" s="29"/>
      <c r="R57" s="29"/>
      <c r="S57" s="29"/>
      <c r="T57" s="29" t="s">
        <v>409</v>
      </c>
      <c r="U57" s="29">
        <f>U56</f>
        <v>111.8159481062912</v>
      </c>
      <c r="V57" s="29">
        <f t="shared" ref="V57:W57" si="7">V56</f>
        <v>4.5984368074203346</v>
      </c>
      <c r="W57" s="29">
        <f t="shared" si="7"/>
        <v>62.64604829487336</v>
      </c>
      <c r="X57" s="29" t="e">
        <f ca="1">[1]!T_DIST_2T(V57,W57)</f>
        <v>#NAME?</v>
      </c>
      <c r="Y57" s="29" t="e">
        <f ca="1">[1]!T_INV_2T(Y54,W57)</f>
        <v>#NAME?</v>
      </c>
      <c r="Z57" s="29" t="e">
        <f ca="1">(V45-V46)-Y57*U57</f>
        <v>#NAME?</v>
      </c>
      <c r="AA57" s="29" t="e">
        <f ca="1">(V45-V46)+Y57*U57</f>
        <v>#NAME?</v>
      </c>
      <c r="AB57" s="183" t="e">
        <f ca="1">IF(X57&lt;Y54,"yes","no")</f>
        <v>#NAME?</v>
      </c>
      <c r="AC57" s="29">
        <f>AC56</f>
        <v>0.50235392664295975</v>
      </c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</row>
    <row r="58" spans="1:44" x14ac:dyDescent="0.3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</row>
    <row r="59" spans="1:44" x14ac:dyDescent="0.3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29" t="s">
        <v>420</v>
      </c>
      <c r="P59" s="362" t="s">
        <v>417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  <c r="AD59" s="227" t="s">
        <v>475</v>
      </c>
      <c r="AE59" s="358" t="s">
        <v>459</v>
      </c>
      <c r="AF59" s="358"/>
      <c r="AG59" s="358"/>
      <c r="AH59" s="358"/>
      <c r="AI59" s="358"/>
      <c r="AJ59" s="358"/>
      <c r="AK59" s="358"/>
      <c r="AL59" s="358"/>
      <c r="AM59" s="358"/>
      <c r="AN59" s="358"/>
      <c r="AO59" s="358"/>
      <c r="AP59" s="358"/>
      <c r="AQ59" s="358"/>
      <c r="AR59" s="358"/>
    </row>
    <row r="60" spans="1:44" x14ac:dyDescent="0.3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29"/>
      <c r="P60" s="29" t="s">
        <v>436</v>
      </c>
      <c r="Q60" s="29" t="s">
        <v>388</v>
      </c>
      <c r="R60" s="6">
        <f>AVERAGE('1-Influent'!$I$4:$I$92)</f>
        <v>331.59999999999997</v>
      </c>
      <c r="S60" s="29"/>
      <c r="T60" s="29" t="s">
        <v>393</v>
      </c>
      <c r="U60" s="29"/>
      <c r="V60" s="29"/>
      <c r="W60" s="29"/>
      <c r="X60" s="29"/>
      <c r="Y60" s="29"/>
      <c r="Z60" s="29"/>
      <c r="AA60" s="29"/>
      <c r="AB60" s="29"/>
      <c r="AC60" s="29"/>
      <c r="AE60" s="29" t="s">
        <v>436</v>
      </c>
      <c r="AF60" s="29" t="s">
        <v>388</v>
      </c>
      <c r="AG60" s="6">
        <f>AVERAGE('stable LTP'!$AA$4:$AA$92)</f>
        <v>907.26558823529433</v>
      </c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</row>
    <row r="61" spans="1:44" x14ac:dyDescent="0.3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29"/>
      <c r="P61" s="29" t="s">
        <v>307</v>
      </c>
      <c r="Q61" s="29" t="s">
        <v>389</v>
      </c>
      <c r="R61" s="6">
        <f>STDEV('1-Influent'!$I$4:$I$92)</f>
        <v>256.99202911822601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E61" s="29" t="s">
        <v>307</v>
      </c>
      <c r="AF61" s="29" t="s">
        <v>389</v>
      </c>
      <c r="AG61" s="6">
        <f>STDEV('stable LTP'!$AA$4:$AA$92)</f>
        <v>234.84628646978166</v>
      </c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</row>
    <row r="62" spans="1:44" ht="15" thickBot="1" x14ac:dyDescent="0.3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29"/>
      <c r="P62" s="29"/>
      <c r="Q62" s="29" t="s">
        <v>200</v>
      </c>
      <c r="R62" s="22">
        <f>COUNT('1-Influent'!$I$4:$I$92)</f>
        <v>67</v>
      </c>
      <c r="S62" s="29"/>
      <c r="T62" s="29" t="s">
        <v>394</v>
      </c>
      <c r="U62" s="29"/>
      <c r="V62" s="29"/>
      <c r="W62" s="29" t="s">
        <v>395</v>
      </c>
      <c r="X62" s="6"/>
      <c r="Y62" s="29"/>
      <c r="Z62" s="29"/>
      <c r="AA62" s="29"/>
      <c r="AB62" s="29"/>
      <c r="AC62" s="29"/>
      <c r="AE62" s="29"/>
      <c r="AF62" s="29" t="s">
        <v>200</v>
      </c>
      <c r="AG62" s="22">
        <f>COUNT('stable LTP'!$AA$4:$AA$92)</f>
        <v>51</v>
      </c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</row>
    <row r="63" spans="1:44" ht="15" thickTop="1" x14ac:dyDescent="0.3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29"/>
      <c r="P63" s="29"/>
      <c r="Q63" s="29" t="s">
        <v>174</v>
      </c>
      <c r="R63" s="6">
        <f>MIN('1-Influent'!$I$4:$I$92)</f>
        <v>88</v>
      </c>
      <c r="S63" s="29"/>
      <c r="T63" s="191" t="s">
        <v>396</v>
      </c>
      <c r="U63" s="191" t="s">
        <v>290</v>
      </c>
      <c r="V63" s="191" t="s">
        <v>292</v>
      </c>
      <c r="W63" s="191" t="s">
        <v>293</v>
      </c>
      <c r="X63" s="191" t="s">
        <v>397</v>
      </c>
      <c r="Y63" s="29"/>
      <c r="Z63" s="29"/>
      <c r="AA63" s="29"/>
      <c r="AB63" s="29"/>
      <c r="AC63" s="29"/>
      <c r="AE63" s="29"/>
      <c r="AF63" s="29" t="s">
        <v>174</v>
      </c>
      <c r="AG63" s="6">
        <f>MIN('stable LTP'!$AA$4:$AA$92)</f>
        <v>96.245000000000005</v>
      </c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</row>
    <row r="64" spans="1:44" x14ac:dyDescent="0.3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29"/>
      <c r="P64" s="29"/>
      <c r="Q64" s="29" t="s">
        <v>175</v>
      </c>
      <c r="R64" s="6">
        <f>MAX('1-Influent'!$I$4:$I$92)</f>
        <v>1270</v>
      </c>
      <c r="S64" s="29"/>
      <c r="T64" s="29" t="str">
        <f>P66</f>
        <v>Period 1</v>
      </c>
      <c r="U64" s="22">
        <f>R67</f>
        <v>35</v>
      </c>
      <c r="V64" s="6">
        <f>R65</f>
        <v>433.12571428571425</v>
      </c>
      <c r="W64" s="20">
        <f>R61^2</f>
        <v>66044.903030303132</v>
      </c>
      <c r="X64" s="29"/>
      <c r="Y64" s="29"/>
      <c r="Z64" s="29"/>
      <c r="AA64" s="29"/>
      <c r="AB64" s="29"/>
      <c r="AC64" s="29"/>
      <c r="AE64" s="29"/>
      <c r="AF64" s="29" t="s">
        <v>175</v>
      </c>
      <c r="AG64" s="6">
        <f>MAX('stable LTP'!$AA$4:$AA$92)</f>
        <v>1218</v>
      </c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 x14ac:dyDescent="0.3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29"/>
      <c r="P65" s="29" t="s">
        <v>437</v>
      </c>
      <c r="Q65" s="29" t="s">
        <v>388</v>
      </c>
      <c r="R65" s="6">
        <f>AVERAGE('1-Influent'!$I$4:$I$56)</f>
        <v>433.12571428571425</v>
      </c>
      <c r="S65" s="29"/>
      <c r="T65" s="29" t="str">
        <f>P71</f>
        <v>Period 2</v>
      </c>
      <c r="U65" s="22">
        <f>R72</f>
        <v>32</v>
      </c>
      <c r="V65" s="20">
        <f>R70</f>
        <v>220.55625000000003</v>
      </c>
      <c r="W65" s="20">
        <f>R71^2</f>
        <v>10227.465766129017</v>
      </c>
      <c r="X65" s="29"/>
      <c r="Y65" s="29"/>
      <c r="Z65" s="29"/>
      <c r="AA65" s="29"/>
      <c r="AB65" s="29"/>
      <c r="AC65" s="29"/>
      <c r="AE65" s="29"/>
      <c r="AF65" s="29" t="s">
        <v>442</v>
      </c>
      <c r="AG65" s="6">
        <f>DEVSQ('stable LTP'!$AA$4:$AA$92)</f>
        <v>2757638.9134323527</v>
      </c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 x14ac:dyDescent="0.3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29"/>
      <c r="P66" s="29" t="s">
        <v>411</v>
      </c>
      <c r="Q66" s="29" t="s">
        <v>389</v>
      </c>
      <c r="R66" s="6">
        <f>STDEV('1-Influent'!$I$4:$I$56)</f>
        <v>310.90796003551509</v>
      </c>
      <c r="S66" s="29"/>
      <c r="T66" s="8" t="s">
        <v>398</v>
      </c>
      <c r="U66" s="8"/>
      <c r="V66" s="8"/>
      <c r="W66" s="8">
        <f>((U64-1)*W64+(U65-1)*W65)/(U64+U65-2)</f>
        <v>39424.279104312394</v>
      </c>
      <c r="X66" s="8">
        <f>ABS(V64-V65-X62)/SQRT(W66)</f>
        <v>1.070579683968707</v>
      </c>
      <c r="Y66" s="29"/>
      <c r="Z66" s="29"/>
      <c r="AA66" s="29"/>
      <c r="AB66" s="29"/>
      <c r="AC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 x14ac:dyDescent="0.3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29"/>
      <c r="P67" s="29"/>
      <c r="Q67" s="29" t="s">
        <v>200</v>
      </c>
      <c r="R67" s="22">
        <f>COUNT('1-Influent'!$I$4:$I$56)</f>
        <v>35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 ht="15" thickBot="1" x14ac:dyDescent="0.3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29"/>
      <c r="P68" s="29"/>
      <c r="Q68" s="29" t="s">
        <v>174</v>
      </c>
      <c r="R68" s="6">
        <f>MIN('1-Influent'!$I$4:$I$56)</f>
        <v>128</v>
      </c>
      <c r="S68" s="29"/>
      <c r="T68" s="29" t="s">
        <v>399</v>
      </c>
      <c r="U68" s="29"/>
      <c r="V68" s="29"/>
      <c r="W68" s="29"/>
      <c r="X68" s="29" t="s">
        <v>288</v>
      </c>
      <c r="Y68" s="29">
        <v>0.05</v>
      </c>
      <c r="Z68" s="29"/>
      <c r="AA68" s="29"/>
      <c r="AB68" s="29"/>
      <c r="AC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 ht="15" thickTop="1" x14ac:dyDescent="0.3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29"/>
      <c r="P69" s="29"/>
      <c r="Q69" s="29" t="s">
        <v>175</v>
      </c>
      <c r="R69" s="6">
        <f>MAX('1-Influent'!$I$4:$I$56)</f>
        <v>1270</v>
      </c>
      <c r="S69" s="29"/>
      <c r="T69" s="191" t="s">
        <v>400</v>
      </c>
      <c r="U69" s="191" t="s">
        <v>401</v>
      </c>
      <c r="V69" s="191" t="s">
        <v>402</v>
      </c>
      <c r="W69" s="191" t="s">
        <v>205</v>
      </c>
      <c r="X69" s="191" t="s">
        <v>311</v>
      </c>
      <c r="Y69" s="191" t="s">
        <v>403</v>
      </c>
      <c r="Z69" s="191" t="s">
        <v>404</v>
      </c>
      <c r="AA69" s="191" t="s">
        <v>405</v>
      </c>
      <c r="AB69" s="191" t="s">
        <v>406</v>
      </c>
      <c r="AC69" s="191" t="s">
        <v>407</v>
      </c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 x14ac:dyDescent="0.3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29"/>
      <c r="P70" s="29" t="s">
        <v>439</v>
      </c>
      <c r="Q70" s="29" t="s">
        <v>388</v>
      </c>
      <c r="R70" s="6">
        <f>AVERAGE('1-Influent'!$I$57:$I$92)</f>
        <v>220.55625000000003</v>
      </c>
      <c r="S70" s="29"/>
      <c r="T70" s="29" t="s">
        <v>408</v>
      </c>
      <c r="U70" s="29">
        <f>SQRT(W66*(1/U64+1/U65))</f>
        <v>48.563532577631619</v>
      </c>
      <c r="V70" s="29">
        <f>(ABS(V64-V65-X62))/U70</f>
        <v>4.3771417152553642</v>
      </c>
      <c r="W70" s="29">
        <f>U64+U65-2</f>
        <v>65</v>
      </c>
      <c r="X70" s="29">
        <f>TDIST(V70,W70,1)</f>
        <v>2.2295303275500385E-5</v>
      </c>
      <c r="Y70" s="29">
        <f>TINV(Y68*2,W70)</f>
        <v>1.6686359758475535</v>
      </c>
      <c r="Z70" s="29"/>
      <c r="AA70" s="29"/>
      <c r="AB70" s="183" t="str">
        <f>IF(X70&lt;Y68,"yes","no")</f>
        <v>yes</v>
      </c>
      <c r="AC70" s="29">
        <f>SQRT(V70^2/(V70^2+W70))</f>
        <v>0.47713290776940315</v>
      </c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 x14ac:dyDescent="0.3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29"/>
      <c r="P71" s="29" t="s">
        <v>412</v>
      </c>
      <c r="Q71" s="29" t="s">
        <v>389</v>
      </c>
      <c r="R71" s="6">
        <f>STDEV('1-Influent'!$I$57:$I$96)</f>
        <v>101.13093377463207</v>
      </c>
      <c r="S71" s="29"/>
      <c r="T71" s="29" t="s">
        <v>409</v>
      </c>
      <c r="U71" s="29">
        <f>U70</f>
        <v>48.563532577631619</v>
      </c>
      <c r="V71" s="29">
        <f>V70</f>
        <v>4.3771417152553642</v>
      </c>
      <c r="W71" s="29">
        <f t="shared" ref="W71" si="8">W70</f>
        <v>65</v>
      </c>
      <c r="X71" s="29">
        <f>TDIST(V71,W71,2)</f>
        <v>4.4590606551000769E-5</v>
      </c>
      <c r="Y71" s="29">
        <f>TINV(Y68,W71)</f>
        <v>1.9971379083920051</v>
      </c>
      <c r="Z71" s="29">
        <f>(V64-V65)-Y71*U71</f>
        <v>115.581392409496</v>
      </c>
      <c r="AA71" s="29">
        <f>(V64-V65)+Y71*U71</f>
        <v>309.55753616193243</v>
      </c>
      <c r="AB71" s="183" t="str">
        <f>IF(X71&lt;Y68,"yes","no")</f>
        <v>yes</v>
      </c>
      <c r="AC71" s="29">
        <f>AC70</f>
        <v>0.47713290776940315</v>
      </c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 x14ac:dyDescent="0.3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29"/>
      <c r="P72" s="29"/>
      <c r="Q72" s="29" t="s">
        <v>200</v>
      </c>
      <c r="R72" s="22">
        <f>COUNT('1-Influent'!$I$57:$I$90)</f>
        <v>32</v>
      </c>
      <c r="S72" s="29"/>
      <c r="T72" s="8"/>
      <c r="U72" s="8"/>
      <c r="V72" s="8"/>
      <c r="W72" s="8"/>
      <c r="X72" s="8"/>
      <c r="Y72" s="8"/>
      <c r="Z72" s="8"/>
      <c r="AA72" s="8"/>
      <c r="AB72" s="8"/>
      <c r="AC72" s="8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 ht="15" thickBot="1" x14ac:dyDescent="0.3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29"/>
      <c r="P73" s="29"/>
      <c r="Q73" s="29" t="s">
        <v>174</v>
      </c>
      <c r="R73" s="6">
        <f>MIN('1-Influent'!$I$57:$I$92)</f>
        <v>88</v>
      </c>
      <c r="S73" s="29"/>
      <c r="T73" s="29" t="s">
        <v>410</v>
      </c>
      <c r="U73" s="29"/>
      <c r="V73" s="29"/>
      <c r="W73" s="29"/>
      <c r="X73" s="29" t="s">
        <v>288</v>
      </c>
      <c r="Y73" s="29">
        <f>Y68</f>
        <v>0.05</v>
      </c>
      <c r="Z73" s="29"/>
      <c r="AA73" s="29"/>
      <c r="AB73" s="29"/>
      <c r="AC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 ht="15" thickTop="1" x14ac:dyDescent="0.3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29"/>
      <c r="P74" s="29"/>
      <c r="Q74" s="29" t="s">
        <v>175</v>
      </c>
      <c r="R74" s="6">
        <f>MAX('1-Influent'!$I$57:$I$92)</f>
        <v>554</v>
      </c>
      <c r="S74" s="29"/>
      <c r="T74" s="191" t="s">
        <v>400</v>
      </c>
      <c r="U74" s="191" t="s">
        <v>401</v>
      </c>
      <c r="V74" s="191" t="s">
        <v>402</v>
      </c>
      <c r="W74" s="191" t="s">
        <v>205</v>
      </c>
      <c r="X74" s="191" t="s">
        <v>311</v>
      </c>
      <c r="Y74" s="191" t="s">
        <v>403</v>
      </c>
      <c r="Z74" s="191" t="s">
        <v>404</v>
      </c>
      <c r="AA74" s="191" t="s">
        <v>405</v>
      </c>
      <c r="AB74" s="191" t="s">
        <v>406</v>
      </c>
      <c r="AC74" s="191" t="s">
        <v>407</v>
      </c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29"/>
      <c r="P75" s="29"/>
      <c r="Q75" s="29"/>
      <c r="R75" s="212"/>
      <c r="S75" s="29"/>
      <c r="T75" s="29" t="s">
        <v>408</v>
      </c>
      <c r="U75" s="29">
        <f>SQRT(W64/U64+W65/U65)</f>
        <v>46.974520057460552</v>
      </c>
      <c r="V75" s="29">
        <f>(ABS(V64-V65-X62))/U75</f>
        <v>4.5252077940486304</v>
      </c>
      <c r="W75" s="29">
        <f>(W64/U64+W65/U65)^2/((W64/U64)^2/(U64-1)+(W65/U65)^2/(U65-1))</f>
        <v>45.074593488461154</v>
      </c>
      <c r="X75" s="29" t="e">
        <f ca="1">[1]!T_DIST_RT(V75,W75)</f>
        <v>#NAME?</v>
      </c>
      <c r="Y75" s="29" t="e">
        <f ca="1">[1]!T_INV(1-Y73,W75)</f>
        <v>#NAME?</v>
      </c>
      <c r="Z75" s="29"/>
      <c r="AA75" s="29"/>
      <c r="AB75" s="183" t="e">
        <f ca="1">IF(X75&lt;Y73,"yes","no")</f>
        <v>#NAME?</v>
      </c>
      <c r="AC75" s="29">
        <f>SQRT(V75^2/(V75^2+W75))</f>
        <v>0.55891430472351078</v>
      </c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 x14ac:dyDescent="0.3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29"/>
      <c r="P76" s="29"/>
      <c r="Q76" s="29"/>
      <c r="R76" s="29"/>
      <c r="S76" s="29"/>
      <c r="T76" s="29" t="s">
        <v>409</v>
      </c>
      <c r="U76" s="29">
        <f>U75</f>
        <v>46.974520057460552</v>
      </c>
      <c r="V76" s="29">
        <f t="shared" ref="V76:W76" si="9">V75</f>
        <v>4.5252077940486304</v>
      </c>
      <c r="W76" s="29">
        <f t="shared" si="9"/>
        <v>45.074593488461154</v>
      </c>
      <c r="X76" s="29" t="e">
        <f ca="1">[1]!T_DIST_2T(V76,W76)</f>
        <v>#NAME?</v>
      </c>
      <c r="Y76" s="29" t="e">
        <f ca="1">[1]!T_INV_2T(Y73,W76)</f>
        <v>#NAME?</v>
      </c>
      <c r="Z76" s="29" t="e">
        <f ca="1">(V64-V65)-Y76*U76</f>
        <v>#NAME?</v>
      </c>
      <c r="AA76" s="29" t="e">
        <f ca="1">(V64-V65)+Y76*U76</f>
        <v>#NAME?</v>
      </c>
      <c r="AB76" s="183" t="e">
        <f ca="1">IF(X76&lt;Y73,"yes","no")</f>
        <v>#NAME?</v>
      </c>
      <c r="AC76" s="29">
        <f>AC75</f>
        <v>0.55891430472351078</v>
      </c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 x14ac:dyDescent="0.3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 x14ac:dyDescent="0.3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29" t="s">
        <v>92</v>
      </c>
      <c r="P78" s="362" t="s">
        <v>418</v>
      </c>
      <c r="Q78" s="362"/>
      <c r="R78" s="362"/>
      <c r="S78" s="362"/>
      <c r="T78" s="362"/>
      <c r="U78" s="362"/>
      <c r="V78" s="362"/>
      <c r="W78" s="362"/>
      <c r="X78" s="362"/>
      <c r="Y78" s="362"/>
      <c r="Z78" s="362"/>
      <c r="AA78" s="362"/>
      <c r="AB78" s="362"/>
      <c r="AC78" s="362"/>
      <c r="AD78" s="227" t="s">
        <v>476</v>
      </c>
      <c r="AE78" s="358" t="s">
        <v>460</v>
      </c>
      <c r="AF78" s="358"/>
      <c r="AG78" s="358"/>
      <c r="AH78" s="358"/>
      <c r="AI78" s="358"/>
      <c r="AJ78" s="358"/>
      <c r="AK78" s="358"/>
      <c r="AL78" s="358"/>
      <c r="AM78" s="358"/>
      <c r="AN78" s="358"/>
      <c r="AO78" s="358"/>
      <c r="AP78" s="358"/>
      <c r="AQ78" s="358"/>
      <c r="AR78" s="358"/>
    </row>
    <row r="79" spans="1:44" x14ac:dyDescent="0.3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29"/>
      <c r="P79" s="29" t="s">
        <v>436</v>
      </c>
      <c r="Q79" s="29" t="s">
        <v>388</v>
      </c>
      <c r="R79" s="6">
        <f>AVERAGE('1-Influent'!$H$4:$H$92)</f>
        <v>8.4013513513513516</v>
      </c>
      <c r="S79" s="29"/>
      <c r="T79" s="29" t="s">
        <v>393</v>
      </c>
      <c r="U79" s="29"/>
      <c r="V79" s="29"/>
      <c r="W79" s="29"/>
      <c r="X79" s="29"/>
      <c r="Y79" s="29"/>
      <c r="Z79" s="29"/>
      <c r="AA79" s="29"/>
      <c r="AB79" s="29"/>
      <c r="AC79" s="29"/>
      <c r="AE79" s="29" t="s">
        <v>436</v>
      </c>
      <c r="AF79" s="29" t="s">
        <v>388</v>
      </c>
      <c r="AG79" s="6">
        <f>AVERAGE('stable LTP'!$AB$4:$AB$92)</f>
        <v>12.6550980392157</v>
      </c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 x14ac:dyDescent="0.3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29"/>
      <c r="P80" s="29" t="s">
        <v>307</v>
      </c>
      <c r="Q80" s="29" t="s">
        <v>389</v>
      </c>
      <c r="R80" s="6">
        <f>STDEV('1-Influent'!$H$4:$H$92)</f>
        <v>0.12550527276293824</v>
      </c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E80" s="29" t="s">
        <v>307</v>
      </c>
      <c r="AF80" s="29" t="s">
        <v>389</v>
      </c>
      <c r="AG80" s="6">
        <f>STDEV('stable LTP'!$AB$4:$AB$92)</f>
        <v>33.013946590648573</v>
      </c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 ht="15" thickBot="1" x14ac:dyDescent="0.3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29"/>
      <c r="P81" s="29"/>
      <c r="Q81" s="29" t="s">
        <v>200</v>
      </c>
      <c r="R81" s="22">
        <f>COUNT('1-Influent'!$H$4:$H$92)</f>
        <v>74</v>
      </c>
      <c r="S81" s="29"/>
      <c r="T81" s="29" t="s">
        <v>394</v>
      </c>
      <c r="U81" s="29"/>
      <c r="V81" s="29"/>
      <c r="W81" s="29" t="s">
        <v>395</v>
      </c>
      <c r="X81" s="6">
        <v>0</v>
      </c>
      <c r="Y81" s="29"/>
      <c r="Z81" s="29"/>
      <c r="AA81" s="29"/>
      <c r="AB81" s="29"/>
      <c r="AC81" s="29"/>
      <c r="AE81" s="29"/>
      <c r="AF81" s="29" t="s">
        <v>200</v>
      </c>
      <c r="AG81" s="22">
        <f>COUNT('stable LTP'!$AB$4:$AB$92)</f>
        <v>51</v>
      </c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 ht="15" thickTop="1" x14ac:dyDescent="0.3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29"/>
      <c r="P82" s="29"/>
      <c r="Q82" s="29" t="s">
        <v>174</v>
      </c>
      <c r="R82" s="6">
        <f>MIN('1-Influent'!$H$4:$H$92)</f>
        <v>7.8</v>
      </c>
      <c r="S82" s="29"/>
      <c r="T82" s="191" t="s">
        <v>396</v>
      </c>
      <c r="U82" s="191" t="s">
        <v>290</v>
      </c>
      <c r="V82" s="191" t="s">
        <v>292</v>
      </c>
      <c r="W82" s="191" t="s">
        <v>293</v>
      </c>
      <c r="X82" s="191" t="s">
        <v>397</v>
      </c>
      <c r="Y82" s="29"/>
      <c r="Z82" s="29"/>
      <c r="AA82" s="29"/>
      <c r="AB82" s="29"/>
      <c r="AC82" s="29"/>
      <c r="AE82" s="29"/>
      <c r="AF82" s="29" t="s">
        <v>174</v>
      </c>
      <c r="AG82" s="6">
        <f>MIN('stable LTP'!$AB$4:$AB$92)</f>
        <v>0.2</v>
      </c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 x14ac:dyDescent="0.3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29"/>
      <c r="P83" s="29"/>
      <c r="Q83" s="29" t="s">
        <v>175</v>
      </c>
      <c r="R83" s="6">
        <f>MAX('1-Influent'!$H$4:$H$92)</f>
        <v>8.6</v>
      </c>
      <c r="S83" s="29"/>
      <c r="T83" s="29" t="str">
        <f>P85</f>
        <v>Period 1</v>
      </c>
      <c r="U83" s="22">
        <f>R86</f>
        <v>38</v>
      </c>
      <c r="V83" s="6">
        <f>R84</f>
        <v>8.3973684210526329</v>
      </c>
      <c r="W83" s="20">
        <f>R80^2</f>
        <v>1.5751573491299527E-2</v>
      </c>
      <c r="X83" s="29"/>
      <c r="Y83" s="29"/>
      <c r="Z83" s="29"/>
      <c r="AA83" s="29"/>
      <c r="AB83" s="29"/>
      <c r="AC83" s="29"/>
      <c r="AE83" s="29"/>
      <c r="AF83" s="29" t="s">
        <v>175</v>
      </c>
      <c r="AG83" s="6">
        <f>MAX('stable LTP'!$AB$4:$AB$92)</f>
        <v>129.26</v>
      </c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 x14ac:dyDescent="0.3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29"/>
      <c r="P84" s="29" t="s">
        <v>437</v>
      </c>
      <c r="Q84" s="29" t="s">
        <v>388</v>
      </c>
      <c r="R84" s="6">
        <f>AVERAGE('1-Influent'!$H$4:$H$56)</f>
        <v>8.3973684210526329</v>
      </c>
      <c r="S84" s="29"/>
      <c r="T84" s="29" t="str">
        <f>P90</f>
        <v>Period 2</v>
      </c>
      <c r="U84" s="22">
        <f>R91</f>
        <v>34</v>
      </c>
      <c r="V84" s="20">
        <f>R89</f>
        <v>8.4055555555555568</v>
      </c>
      <c r="W84" s="20">
        <f>R90^2</f>
        <v>1.5210210210210207E-2</v>
      </c>
      <c r="X84" s="29"/>
      <c r="Y84" s="29"/>
      <c r="Z84" s="29"/>
      <c r="AA84" s="29"/>
      <c r="AB84" s="29"/>
      <c r="AC84" s="29"/>
      <c r="AE84" s="29"/>
      <c r="AF84" s="29" t="s">
        <v>442</v>
      </c>
      <c r="AG84" s="6">
        <f>DEVSQ('stable LTP'!$AB$4:$AB$92)</f>
        <v>54496.033474509808</v>
      </c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 x14ac:dyDescent="0.3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29"/>
      <c r="P85" s="29" t="s">
        <v>411</v>
      </c>
      <c r="Q85" s="29" t="s">
        <v>389</v>
      </c>
      <c r="R85" s="6">
        <f>STDEV('1-Influent'!$H$4:$H$56)</f>
        <v>0.12837201451622182</v>
      </c>
      <c r="S85" s="29"/>
      <c r="T85" s="8" t="s">
        <v>398</v>
      </c>
      <c r="U85" s="8"/>
      <c r="V85" s="8"/>
      <c r="W85" s="8">
        <f>((U83-1)*W83+(U84-1)*W84)/(U83+U84-2)</f>
        <v>1.5496359373071707E-2</v>
      </c>
      <c r="X85" s="8">
        <f>ABS(V83-V84-X81)/SQRT(W85)</f>
        <v>6.5768371074090198E-2</v>
      </c>
      <c r="Y85" s="29"/>
      <c r="Z85" s="29"/>
      <c r="AA85" s="29"/>
      <c r="AB85" s="29"/>
      <c r="AC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 x14ac:dyDescent="0.3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29"/>
      <c r="P86" s="29"/>
      <c r="Q86" s="29" t="s">
        <v>200</v>
      </c>
      <c r="R86" s="22">
        <f>COUNT('1-Influent'!$H$4:$H$56)</f>
        <v>38</v>
      </c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 ht="15" thickBot="1" x14ac:dyDescent="0.3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29"/>
      <c r="P87" s="29"/>
      <c r="Q87" s="29" t="s">
        <v>174</v>
      </c>
      <c r="R87" s="6">
        <f>MIN('1-Influent'!$H$4:$H$56)</f>
        <v>7.8</v>
      </c>
      <c r="S87" s="29"/>
      <c r="T87" s="29" t="s">
        <v>399</v>
      </c>
      <c r="U87" s="29"/>
      <c r="V87" s="29"/>
      <c r="W87" s="29"/>
      <c r="X87" s="29" t="s">
        <v>288</v>
      </c>
      <c r="Y87" s="29">
        <v>0.05</v>
      </c>
      <c r="Z87" s="29"/>
      <c r="AA87" s="29"/>
      <c r="AB87" s="29"/>
      <c r="AC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 ht="15" thickTop="1" x14ac:dyDescent="0.3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29"/>
      <c r="P88" s="29"/>
      <c r="Q88" s="29" t="s">
        <v>175</v>
      </c>
      <c r="R88" s="6">
        <f>MAX('1-Influent'!$H$4:$H$56)</f>
        <v>8.5</v>
      </c>
      <c r="S88" s="29"/>
      <c r="T88" s="191" t="s">
        <v>400</v>
      </c>
      <c r="U88" s="191" t="s">
        <v>401</v>
      </c>
      <c r="V88" s="191" t="s">
        <v>402</v>
      </c>
      <c r="W88" s="191" t="s">
        <v>205</v>
      </c>
      <c r="X88" s="191" t="s">
        <v>311</v>
      </c>
      <c r="Y88" s="191" t="s">
        <v>403</v>
      </c>
      <c r="Z88" s="191" t="s">
        <v>404</v>
      </c>
      <c r="AA88" s="191" t="s">
        <v>405</v>
      </c>
      <c r="AB88" s="191" t="s">
        <v>406</v>
      </c>
      <c r="AC88" s="191" t="s">
        <v>407</v>
      </c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 x14ac:dyDescent="0.3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29"/>
      <c r="P89" s="29" t="s">
        <v>439</v>
      </c>
      <c r="Q89" s="29" t="s">
        <v>388</v>
      </c>
      <c r="R89" s="6">
        <f>AVERAGE('1-Influent'!$H$57:$H$92)</f>
        <v>8.4055555555555568</v>
      </c>
      <c r="S89" s="29"/>
      <c r="T89" s="29" t="s">
        <v>408</v>
      </c>
      <c r="U89" s="29">
        <f>SQRT(W85*(1/U83+1/U84))</f>
        <v>2.9386633127136012E-2</v>
      </c>
      <c r="V89" s="29">
        <f>(ABS(V83-V84-X81))/U89</f>
        <v>0.27860063000424995</v>
      </c>
      <c r="W89" s="29">
        <f>U83+U84-2</f>
        <v>70</v>
      </c>
      <c r="X89" s="29">
        <f>TDIST(V89,W89,1)</f>
        <v>0.39068634895940824</v>
      </c>
      <c r="Y89" s="29">
        <f>TINV(Y87*2,W89)</f>
        <v>1.6669144790559576</v>
      </c>
      <c r="Z89" s="29"/>
      <c r="AA89" s="29"/>
      <c r="AB89" s="183" t="str">
        <f>IF(X89&lt;Y87,"yes","no")</f>
        <v>no</v>
      </c>
      <c r="AC89" s="29">
        <f>SQRT(V89^2/(V89^2+W89))</f>
        <v>3.32806980995995E-2</v>
      </c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29"/>
      <c r="P90" s="29" t="s">
        <v>412</v>
      </c>
      <c r="Q90" s="29" t="s">
        <v>389</v>
      </c>
      <c r="R90" s="6">
        <f>STDEV('1-Influent'!$H$57:$H$96)</f>
        <v>0.12332968097830387</v>
      </c>
      <c r="S90" s="29"/>
      <c r="T90" s="29" t="s">
        <v>409</v>
      </c>
      <c r="U90" s="29">
        <f>U89</f>
        <v>2.9386633127136012E-2</v>
      </c>
      <c r="V90" s="29">
        <f>V89</f>
        <v>0.27860063000424995</v>
      </c>
      <c r="W90" s="29">
        <f t="shared" ref="W90" si="10">W89</f>
        <v>70</v>
      </c>
      <c r="X90" s="29">
        <f>TDIST(V90,W90,2)</f>
        <v>0.78137269791881647</v>
      </c>
      <c r="Y90" s="29">
        <f>TINV(Y87,W90)</f>
        <v>1.9944371117711854</v>
      </c>
      <c r="Z90" s="29">
        <f>(V83-V84)-Y90*U90</f>
        <v>-6.679692620168845E-2</v>
      </c>
      <c r="AA90" s="29">
        <f>(V83-V84)+Y90*U90</f>
        <v>5.0422657195840735E-2</v>
      </c>
      <c r="AB90" s="183" t="str">
        <f>IF(X90&lt;Y87,"yes","no")</f>
        <v>no</v>
      </c>
      <c r="AC90" s="29">
        <f>AC89</f>
        <v>3.32806980995995E-2</v>
      </c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 x14ac:dyDescent="0.3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29"/>
      <c r="P91" s="29"/>
      <c r="Q91" s="29" t="s">
        <v>200</v>
      </c>
      <c r="R91" s="22">
        <f>COUNT('1-Influent'!$H$57:$H$90)</f>
        <v>34</v>
      </c>
      <c r="S91" s="29"/>
      <c r="T91" s="8"/>
      <c r="U91" s="8"/>
      <c r="V91" s="8"/>
      <c r="W91" s="8"/>
      <c r="X91" s="8"/>
      <c r="Y91" s="8"/>
      <c r="Z91" s="8"/>
      <c r="AA91" s="8"/>
      <c r="AB91" s="8"/>
      <c r="AC91" s="8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 ht="15" thickBot="1" x14ac:dyDescent="0.3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29"/>
      <c r="P92" s="29"/>
      <c r="Q92" s="29" t="s">
        <v>174</v>
      </c>
      <c r="R92" s="6">
        <f>MIN('1-Influent'!$H$57:$H$92)</f>
        <v>8.1999999999999993</v>
      </c>
      <c r="S92" s="29"/>
      <c r="T92" s="29" t="s">
        <v>410</v>
      </c>
      <c r="U92" s="29"/>
      <c r="V92" s="29"/>
      <c r="W92" s="29"/>
      <c r="X92" s="29" t="s">
        <v>288</v>
      </c>
      <c r="Y92" s="29">
        <f>Y87</f>
        <v>0.05</v>
      </c>
      <c r="Z92" s="29"/>
      <c r="AA92" s="29"/>
      <c r="AB92" s="29"/>
      <c r="AC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 ht="15" thickTop="1" x14ac:dyDescent="0.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29"/>
      <c r="P93" s="29"/>
      <c r="Q93" s="29" t="s">
        <v>175</v>
      </c>
      <c r="R93" s="6">
        <f>MAX('1-Influent'!$H$57:$H$92)</f>
        <v>8.6</v>
      </c>
      <c r="S93" s="29"/>
      <c r="T93" s="191" t="s">
        <v>400</v>
      </c>
      <c r="U93" s="191" t="s">
        <v>401</v>
      </c>
      <c r="V93" s="191" t="s">
        <v>402</v>
      </c>
      <c r="W93" s="191" t="s">
        <v>205</v>
      </c>
      <c r="X93" s="191" t="s">
        <v>311</v>
      </c>
      <c r="Y93" s="191" t="s">
        <v>403</v>
      </c>
      <c r="Z93" s="191" t="s">
        <v>404</v>
      </c>
      <c r="AA93" s="191" t="s">
        <v>405</v>
      </c>
      <c r="AB93" s="191" t="s">
        <v>406</v>
      </c>
      <c r="AC93" s="191" t="s">
        <v>407</v>
      </c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 x14ac:dyDescent="0.3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29"/>
      <c r="P94" s="29"/>
      <c r="Q94" s="29"/>
      <c r="R94" s="212"/>
      <c r="S94" s="29"/>
      <c r="T94" s="29" t="s">
        <v>408</v>
      </c>
      <c r="U94" s="29">
        <f>SQRT(W83/U83+W84/U84)</f>
        <v>2.9357694318628214E-2</v>
      </c>
      <c r="V94" s="29">
        <f>(ABS(V83-V84-X81))/U94</f>
        <v>0.27887525546340014</v>
      </c>
      <c r="W94" s="29">
        <f>(W83/U83+W84/U84)^2/((W83/U83)^2/(U83-1)+(W84/U84)^2/(U84-1))</f>
        <v>69.368580264252287</v>
      </c>
      <c r="X94" s="29" t="e">
        <f ca="1">[1]!T_DIST_RT(V94,W94)</f>
        <v>#NAME?</v>
      </c>
      <c r="Y94" s="29" t="e">
        <f ca="1">[1]!T_INV(1-Y92,W94)</f>
        <v>#NAME?</v>
      </c>
      <c r="Z94" s="29"/>
      <c r="AA94" s="29"/>
      <c r="AB94" s="183" t="e">
        <f ca="1">IF(X94&lt;Y92,"yes","no")</f>
        <v>#NAME?</v>
      </c>
      <c r="AC94" s="29">
        <f>SQRT(V94^2/(V94^2+W94))</f>
        <v>3.3464571121900238E-2</v>
      </c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 x14ac:dyDescent="0.3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29"/>
      <c r="P95" s="29"/>
      <c r="Q95" s="29"/>
      <c r="R95" s="29"/>
      <c r="S95" s="29"/>
      <c r="T95" s="29" t="s">
        <v>409</v>
      </c>
      <c r="U95" s="29">
        <f>U94</f>
        <v>2.9357694318628214E-2</v>
      </c>
      <c r="V95" s="29">
        <f t="shared" ref="V95:W95" si="11">V94</f>
        <v>0.27887525546340014</v>
      </c>
      <c r="W95" s="29">
        <f t="shared" si="11"/>
        <v>69.368580264252287</v>
      </c>
      <c r="X95" s="29" t="e">
        <f ca="1">[1]!T_DIST_2T(V95,W95)</f>
        <v>#NAME?</v>
      </c>
      <c r="Y95" s="29" t="e">
        <f ca="1">[1]!T_INV_2T(Y92,W95)</f>
        <v>#NAME?</v>
      </c>
      <c r="Z95" s="29" t="e">
        <f ca="1">(V83-V84)-Y95*U95</f>
        <v>#NAME?</v>
      </c>
      <c r="AA95" s="29" t="e">
        <f ca="1">(V83-V84)+Y95*U95</f>
        <v>#NAME?</v>
      </c>
      <c r="AB95" s="183" t="e">
        <f ca="1">IF(X95&lt;Y92,"yes","no")</f>
        <v>#NAME?</v>
      </c>
      <c r="AC95" s="29">
        <f>AC94</f>
        <v>3.3464571121900238E-2</v>
      </c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 x14ac:dyDescent="0.3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 x14ac:dyDescent="0.3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29" t="s">
        <v>421</v>
      </c>
      <c r="P97" s="362" t="s">
        <v>419</v>
      </c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227" t="s">
        <v>477</v>
      </c>
      <c r="AE97" s="358" t="s">
        <v>461</v>
      </c>
      <c r="AF97" s="358"/>
      <c r="AG97" s="358"/>
      <c r="AH97" s="358"/>
      <c r="AI97" s="358"/>
      <c r="AJ97" s="358"/>
      <c r="AK97" s="358"/>
      <c r="AL97" s="358"/>
      <c r="AM97" s="358"/>
      <c r="AN97" s="358"/>
      <c r="AO97" s="358"/>
      <c r="AP97" s="358"/>
      <c r="AQ97" s="358"/>
      <c r="AR97" s="358"/>
    </row>
    <row r="98" spans="1:44" x14ac:dyDescent="0.3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29"/>
      <c r="P98" s="29" t="s">
        <v>436</v>
      </c>
      <c r="Q98" s="29" t="s">
        <v>388</v>
      </c>
      <c r="R98" s="6">
        <f>AVERAGE('1-Influent'!$G$4:$G$92)</f>
        <v>4733.3243243243242</v>
      </c>
      <c r="S98" s="29"/>
      <c r="T98" s="29" t="s">
        <v>393</v>
      </c>
      <c r="U98" s="29"/>
      <c r="V98" s="29"/>
      <c r="W98" s="29"/>
      <c r="X98" s="29"/>
      <c r="Y98" s="29"/>
      <c r="Z98" s="29"/>
      <c r="AA98" s="29"/>
      <c r="AB98" s="29"/>
      <c r="AC98" s="29"/>
      <c r="AE98" s="29" t="s">
        <v>436</v>
      </c>
      <c r="AF98" s="29" t="s">
        <v>388</v>
      </c>
      <c r="AG98" s="280">
        <f>AVERAGE('stable LTP'!$AD$4:$AD$92)</f>
        <v>1.0852631453979094E-2</v>
      </c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 x14ac:dyDescent="0.3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29"/>
      <c r="P99" s="29" t="s">
        <v>307</v>
      </c>
      <c r="Q99" s="29" t="s">
        <v>389</v>
      </c>
      <c r="R99" s="6">
        <f>STDEV('1-Influent'!$G$4:$G$92)</f>
        <v>453.47610554948949</v>
      </c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E99" s="29" t="s">
        <v>307</v>
      </c>
      <c r="AF99" s="29" t="s">
        <v>389</v>
      </c>
      <c r="AG99" s="280">
        <f>STDEV('stable LTP'!$AD$4:$AD$92)</f>
        <v>2.7621016199164072E-2</v>
      </c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 ht="15" thickBot="1" x14ac:dyDescent="0.3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29"/>
      <c r="P100" s="29"/>
      <c r="Q100" s="29" t="s">
        <v>200</v>
      </c>
      <c r="R100" s="22">
        <f>COUNT('1-Influent'!$G$4:$G$92)</f>
        <v>74</v>
      </c>
      <c r="S100" s="29"/>
      <c r="T100" s="29" t="s">
        <v>394</v>
      </c>
      <c r="U100" s="29"/>
      <c r="V100" s="29"/>
      <c r="W100" s="29" t="s">
        <v>395</v>
      </c>
      <c r="X100" s="6">
        <v>0</v>
      </c>
      <c r="Y100" s="29"/>
      <c r="Z100" s="29"/>
      <c r="AA100" s="29"/>
      <c r="AB100" s="29"/>
      <c r="AC100" s="29"/>
      <c r="AE100" s="29"/>
      <c r="AF100" s="29" t="s">
        <v>200</v>
      </c>
      <c r="AG100" s="184">
        <f>COUNT('stable LTP'!$AD$4:$AD$92)</f>
        <v>51</v>
      </c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 ht="15" thickTop="1" x14ac:dyDescent="0.3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29"/>
      <c r="P101" s="29"/>
      <c r="Q101" s="29" t="s">
        <v>174</v>
      </c>
      <c r="R101" s="6">
        <f>MIN('1-Influent'!$G$4:$G$92)</f>
        <v>3009</v>
      </c>
      <c r="S101" s="29"/>
      <c r="T101" s="191" t="s">
        <v>396</v>
      </c>
      <c r="U101" s="191" t="s">
        <v>290</v>
      </c>
      <c r="V101" s="191" t="s">
        <v>292</v>
      </c>
      <c r="W101" s="191" t="s">
        <v>293</v>
      </c>
      <c r="X101" s="191" t="s">
        <v>397</v>
      </c>
      <c r="Y101" s="29"/>
      <c r="Z101" s="29"/>
      <c r="AA101" s="29"/>
      <c r="AB101" s="29"/>
      <c r="AC101" s="29"/>
      <c r="AE101" s="29"/>
      <c r="AF101" s="29" t="s">
        <v>174</v>
      </c>
      <c r="AG101" s="280">
        <f>MIN('stable LTP'!$AD$4:$AD$92)</f>
        <v>1.3947487708776456E-4</v>
      </c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 x14ac:dyDescent="0.3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29"/>
      <c r="P102" s="29"/>
      <c r="Q102" s="29" t="s">
        <v>175</v>
      </c>
      <c r="R102" s="6">
        <f>MAX('1-Influent'!$G$4:$G$92)</f>
        <v>5678</v>
      </c>
      <c r="S102" s="29"/>
      <c r="T102" s="29" t="str">
        <f>P104</f>
        <v>Period 1</v>
      </c>
      <c r="U102" s="22">
        <f>R105</f>
        <v>38</v>
      </c>
      <c r="V102" s="6">
        <f>R103</f>
        <v>4885.2894736842109</v>
      </c>
      <c r="W102" s="20">
        <f>R99^2</f>
        <v>205640.57830433172</v>
      </c>
      <c r="X102" s="29"/>
      <c r="Y102" s="29"/>
      <c r="Z102" s="29"/>
      <c r="AA102" s="29"/>
      <c r="AB102" s="29"/>
      <c r="AC102" s="29"/>
      <c r="AE102" s="29"/>
      <c r="AF102" s="29" t="s">
        <v>175</v>
      </c>
      <c r="AG102" s="280">
        <f>MAX('stable LTP'!$AD$4:$AD$92)</f>
        <v>0.10548220202053174</v>
      </c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 x14ac:dyDescent="0.3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29"/>
      <c r="P103" s="29" t="s">
        <v>437</v>
      </c>
      <c r="Q103" s="29" t="s">
        <v>388</v>
      </c>
      <c r="R103" s="6">
        <f>AVERAGE('1-Influent'!$G$4:$G$56)</f>
        <v>4885.2894736842109</v>
      </c>
      <c r="S103" s="29"/>
      <c r="T103" s="29" t="str">
        <f>P109</f>
        <v>Period 2</v>
      </c>
      <c r="U103" s="22">
        <f>R110</f>
        <v>34</v>
      </c>
      <c r="V103" s="20">
        <f>R108</f>
        <v>4572.916666666667</v>
      </c>
      <c r="W103" s="20">
        <f>R109^2</f>
        <v>39438.564564564564</v>
      </c>
      <c r="X103" s="29"/>
      <c r="Y103" s="29"/>
      <c r="Z103" s="29"/>
      <c r="AA103" s="29"/>
      <c r="AB103" s="29"/>
      <c r="AC103" s="29"/>
      <c r="AE103" s="29"/>
      <c r="AF103" s="29" t="s">
        <v>442</v>
      </c>
      <c r="AG103" s="280">
        <f>DEVSQ('stable LTP'!$AD$4:$AD$92)</f>
        <v>3.8146026793724211E-2</v>
      </c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 x14ac:dyDescent="0.3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29"/>
      <c r="P104" s="29" t="s">
        <v>411</v>
      </c>
      <c r="Q104" s="29" t="s">
        <v>389</v>
      </c>
      <c r="R104" s="6">
        <f>STDEV('1-Influent'!$G$4:$G$56)</f>
        <v>568.13958638342694</v>
      </c>
      <c r="S104" s="29"/>
      <c r="T104" s="8" t="s">
        <v>398</v>
      </c>
      <c r="U104" s="8"/>
      <c r="V104" s="8"/>
      <c r="W104" s="8">
        <f>((U102-1)*W102+(U103-1)*W103)/(U102+U103-2)</f>
        <v>127288.20039844148</v>
      </c>
      <c r="X104" s="8">
        <f>ABS(V102-V103-X100)/SQRT(W104)</f>
        <v>0.87554636031499722</v>
      </c>
      <c r="Y104" s="29"/>
      <c r="Z104" s="29"/>
      <c r="AA104" s="29"/>
      <c r="AB104" s="29"/>
      <c r="AC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 x14ac:dyDescent="0.3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29"/>
      <c r="P105" s="29"/>
      <c r="Q105" s="29" t="s">
        <v>200</v>
      </c>
      <c r="R105" s="22">
        <f>COUNT('1-Influent'!$G$4:$G$56)</f>
        <v>38</v>
      </c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 ht="15" thickBot="1" x14ac:dyDescent="0.3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29"/>
      <c r="P106" s="29"/>
      <c r="Q106" s="29" t="s">
        <v>174</v>
      </c>
      <c r="R106" s="6">
        <f>MIN('1-Influent'!$G$4:$G$56)</f>
        <v>3009</v>
      </c>
      <c r="S106" s="29"/>
      <c r="T106" s="29" t="s">
        <v>399</v>
      </c>
      <c r="U106" s="29"/>
      <c r="V106" s="29"/>
      <c r="W106" s="29"/>
      <c r="X106" s="29" t="s">
        <v>288</v>
      </c>
      <c r="Y106" s="29">
        <v>0.05</v>
      </c>
      <c r="Z106" s="29"/>
      <c r="AA106" s="29"/>
      <c r="AB106" s="29"/>
      <c r="AC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 ht="15" thickTop="1" x14ac:dyDescent="0.3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29"/>
      <c r="P107" s="29"/>
      <c r="Q107" s="29" t="s">
        <v>175</v>
      </c>
      <c r="R107" s="6">
        <f>MAX('1-Influent'!$G$4:$G$56)</f>
        <v>5678</v>
      </c>
      <c r="S107" s="29"/>
      <c r="T107" s="191" t="s">
        <v>400</v>
      </c>
      <c r="U107" s="191" t="s">
        <v>401</v>
      </c>
      <c r="V107" s="191" t="s">
        <v>402</v>
      </c>
      <c r="W107" s="191" t="s">
        <v>205</v>
      </c>
      <c r="X107" s="191" t="s">
        <v>311</v>
      </c>
      <c r="Y107" s="191" t="s">
        <v>403</v>
      </c>
      <c r="Z107" s="191" t="s">
        <v>404</v>
      </c>
      <c r="AA107" s="191" t="s">
        <v>405</v>
      </c>
      <c r="AB107" s="191" t="s">
        <v>406</v>
      </c>
      <c r="AC107" s="191" t="s">
        <v>407</v>
      </c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 x14ac:dyDescent="0.3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29"/>
      <c r="P108" s="29" t="s">
        <v>439</v>
      </c>
      <c r="Q108" s="29" t="s">
        <v>388</v>
      </c>
      <c r="R108" s="6">
        <f>AVERAGE('1-Influent'!$G$57:$G$92)</f>
        <v>4572.916666666667</v>
      </c>
      <c r="S108" s="29"/>
      <c r="T108" s="29" t="s">
        <v>408</v>
      </c>
      <c r="U108" s="29">
        <f>SQRT(W104*(1/U102+1/U103))</f>
        <v>84.222681530117967</v>
      </c>
      <c r="V108" s="29">
        <f>(ABS(V102-V103-X100))/U108</f>
        <v>3.7088917301432587</v>
      </c>
      <c r="W108" s="29">
        <f>U102+U103-2</f>
        <v>70</v>
      </c>
      <c r="X108" s="29">
        <f>TDIST(V108,W108,1)</f>
        <v>2.0668867369768134E-4</v>
      </c>
      <c r="Y108" s="29">
        <f>TINV(Y106*2,W108)</f>
        <v>1.6669144790559576</v>
      </c>
      <c r="Z108" s="29"/>
      <c r="AA108" s="29"/>
      <c r="AB108" s="183" t="str">
        <f>IF(X108&lt;Y106,"yes","no")</f>
        <v>yes</v>
      </c>
      <c r="AC108" s="29">
        <f>SQRT(V108^2/(V108^2+W108))</f>
        <v>0.40526258299372608</v>
      </c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 x14ac:dyDescent="0.3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29"/>
      <c r="P109" s="29" t="s">
        <v>412</v>
      </c>
      <c r="Q109" s="29" t="s">
        <v>389</v>
      </c>
      <c r="R109" s="6">
        <f>STDEV('1-Influent'!$G$57:$G$96)</f>
        <v>198.59145138843354</v>
      </c>
      <c r="S109" s="29"/>
      <c r="T109" s="29" t="s">
        <v>409</v>
      </c>
      <c r="U109" s="29">
        <f>U108</f>
        <v>84.222681530117967</v>
      </c>
      <c r="V109" s="29">
        <f>V108</f>
        <v>3.7088917301432587</v>
      </c>
      <c r="W109" s="29">
        <f t="shared" ref="W109" si="12">W108</f>
        <v>70</v>
      </c>
      <c r="X109" s="29">
        <f>TDIST(V109,W109,2)</f>
        <v>4.1337734739536268E-4</v>
      </c>
      <c r="Y109" s="29">
        <f>TINV(Y106,W109)</f>
        <v>1.9944371117711854</v>
      </c>
      <c r="Z109" s="29">
        <f>(V102-V103)-Y109*U109</f>
        <v>144.39596532099105</v>
      </c>
      <c r="AA109" s="29">
        <f>(V102-V103)+Y109*U109</f>
        <v>480.3496487140967</v>
      </c>
      <c r="AB109" s="183" t="str">
        <f>IF(X109&lt;Y106,"yes","no")</f>
        <v>yes</v>
      </c>
      <c r="AC109" s="29">
        <f>AC108</f>
        <v>0.40526258299372608</v>
      </c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 x14ac:dyDescent="0.3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29"/>
      <c r="P110" s="29"/>
      <c r="Q110" s="29" t="s">
        <v>200</v>
      </c>
      <c r="R110" s="22">
        <f>COUNT('1-Influent'!$G$57:$G$90)</f>
        <v>34</v>
      </c>
      <c r="S110" s="29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 ht="15" thickBot="1" x14ac:dyDescent="0.3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29"/>
      <c r="P111" s="29"/>
      <c r="Q111" s="29" t="s">
        <v>174</v>
      </c>
      <c r="R111" s="6">
        <f>MIN('1-Influent'!$G$57:$G$92)</f>
        <v>4148</v>
      </c>
      <c r="S111" s="29"/>
      <c r="T111" s="29" t="s">
        <v>410</v>
      </c>
      <c r="U111" s="29"/>
      <c r="V111" s="29"/>
      <c r="W111" s="29"/>
      <c r="X111" s="29" t="s">
        <v>288</v>
      </c>
      <c r="Y111" s="29">
        <f>Y106</f>
        <v>0.05</v>
      </c>
      <c r="Z111" s="29"/>
      <c r="AA111" s="29"/>
      <c r="AB111" s="29"/>
      <c r="AC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 ht="15" thickTop="1" x14ac:dyDescent="0.3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29"/>
      <c r="P112" s="29"/>
      <c r="Q112" s="29" t="s">
        <v>175</v>
      </c>
      <c r="R112" s="6">
        <f>MAX('1-Influent'!$G$57:$G$92)</f>
        <v>4893</v>
      </c>
      <c r="S112" s="29"/>
      <c r="T112" s="191" t="s">
        <v>400</v>
      </c>
      <c r="U112" s="191" t="s">
        <v>401</v>
      </c>
      <c r="V112" s="191" t="s">
        <v>402</v>
      </c>
      <c r="W112" s="191" t="s">
        <v>205</v>
      </c>
      <c r="X112" s="191" t="s">
        <v>311</v>
      </c>
      <c r="Y112" s="191" t="s">
        <v>403</v>
      </c>
      <c r="Z112" s="191" t="s">
        <v>404</v>
      </c>
      <c r="AA112" s="191" t="s">
        <v>405</v>
      </c>
      <c r="AB112" s="191" t="s">
        <v>406</v>
      </c>
      <c r="AC112" s="191" t="s">
        <v>407</v>
      </c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 x14ac:dyDescent="0.3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29"/>
      <c r="P113" s="29"/>
      <c r="Q113" s="29"/>
      <c r="R113" s="212"/>
      <c r="S113" s="29"/>
      <c r="T113" s="29" t="s">
        <v>408</v>
      </c>
      <c r="U113" s="29">
        <f>SQRT(W102/U102+W103/U103)</f>
        <v>81.06510930859335</v>
      </c>
      <c r="V113" s="29">
        <f>(ABS(V102-V103-X100))/U113</f>
        <v>3.8533570074941061</v>
      </c>
      <c r="W113" s="29">
        <f>(W102/U102+W103/U103)^2/((W102/U102)^2/(U102-1)+(W103/U103)^2/(U103-1))</f>
        <v>51.888640252638289</v>
      </c>
      <c r="X113" s="29" t="e">
        <f ca="1">[1]!T_DIST_RT(V113,W113)</f>
        <v>#NAME?</v>
      </c>
      <c r="Y113" s="29" t="e">
        <f ca="1">[1]!T_INV(1-Y111,W113)</f>
        <v>#NAME?</v>
      </c>
      <c r="Z113" s="29"/>
      <c r="AA113" s="29"/>
      <c r="AB113" s="183" t="e">
        <f ca="1">IF(X113&lt;Y111,"yes","no")</f>
        <v>#NAME?</v>
      </c>
      <c r="AC113" s="29">
        <f>SQRT(V113^2/(V113^2+W113))</f>
        <v>0.47168917111316988</v>
      </c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1:44" x14ac:dyDescent="0.3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29"/>
      <c r="P114" s="29"/>
      <c r="Q114" s="29"/>
      <c r="R114" s="29"/>
      <c r="S114" s="29"/>
      <c r="T114" s="29" t="s">
        <v>409</v>
      </c>
      <c r="U114" s="29">
        <f>U113</f>
        <v>81.06510930859335</v>
      </c>
      <c r="V114" s="29">
        <f t="shared" ref="V114:W114" si="13">V113</f>
        <v>3.8533570074941061</v>
      </c>
      <c r="W114" s="29">
        <f t="shared" si="13"/>
        <v>51.888640252638289</v>
      </c>
      <c r="X114" s="29" t="e">
        <f ca="1">[1]!T_DIST_2T(V114,W114)</f>
        <v>#NAME?</v>
      </c>
      <c r="Y114" s="29" t="e">
        <f ca="1">[1]!T_INV_2T(Y111,W114)</f>
        <v>#NAME?</v>
      </c>
      <c r="Z114" s="29" t="e">
        <f ca="1">(V102-V103)-Y114*U114</f>
        <v>#NAME?</v>
      </c>
      <c r="AA114" s="29" t="e">
        <f ca="1">(V102-V103)+Y114*U114</f>
        <v>#NAME?</v>
      </c>
      <c r="AB114" s="183" t="e">
        <f ca="1">IF(X114&lt;Y111,"yes","no")</f>
        <v>#NAME?</v>
      </c>
      <c r="AC114" s="29">
        <f>AC113</f>
        <v>0.47168917111316988</v>
      </c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1:44" x14ac:dyDescent="0.3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  <row r="116" spans="1:44" x14ac:dyDescent="0.3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29" t="s">
        <v>422</v>
      </c>
      <c r="P116" s="362" t="s">
        <v>423</v>
      </c>
      <c r="Q116" s="362"/>
      <c r="R116" s="362"/>
      <c r="S116" s="362"/>
      <c r="T116" s="362"/>
      <c r="U116" s="362"/>
      <c r="V116" s="362"/>
      <c r="W116" s="362"/>
      <c r="X116" s="362"/>
      <c r="Y116" s="362"/>
      <c r="Z116" s="362"/>
      <c r="AA116" s="362"/>
      <c r="AB116" s="362"/>
      <c r="AC116" s="362"/>
      <c r="AD116" s="227" t="s">
        <v>478</v>
      </c>
      <c r="AE116" s="358" t="s">
        <v>462</v>
      </c>
      <c r="AF116" s="358"/>
      <c r="AG116" s="358"/>
      <c r="AH116" s="358"/>
      <c r="AI116" s="358"/>
      <c r="AJ116" s="358"/>
      <c r="AK116" s="358"/>
      <c r="AL116" s="358"/>
      <c r="AM116" s="358"/>
      <c r="AN116" s="358"/>
      <c r="AO116" s="358"/>
      <c r="AP116" s="358"/>
      <c r="AQ116" s="358"/>
      <c r="AR116" s="358"/>
    </row>
    <row r="117" spans="1:44" x14ac:dyDescent="0.3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29"/>
      <c r="P117" s="29" t="s">
        <v>436</v>
      </c>
      <c r="Q117" s="29" t="s">
        <v>388</v>
      </c>
      <c r="R117" s="6">
        <f>AVERAGE('1-Influent'!$K$4:$K$92)</f>
        <v>14.865540540540543</v>
      </c>
      <c r="S117" s="29"/>
      <c r="T117" s="29" t="s">
        <v>393</v>
      </c>
      <c r="U117" s="29"/>
      <c r="V117" s="29"/>
      <c r="W117" s="29"/>
      <c r="X117" s="29"/>
      <c r="Y117" s="29"/>
      <c r="Z117" s="29"/>
      <c r="AA117" s="29"/>
      <c r="AB117" s="29"/>
      <c r="AC117" s="29"/>
      <c r="AE117" s="29" t="s">
        <v>436</v>
      </c>
      <c r="AF117" s="29" t="s">
        <v>388</v>
      </c>
      <c r="AG117" s="6">
        <f>AVERAGE('stable LTP'!$AE$4:$AE$92)</f>
        <v>0.78059374631807232</v>
      </c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</row>
    <row r="118" spans="1:44" x14ac:dyDescent="0.3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29"/>
      <c r="P118" s="29" t="s">
        <v>307</v>
      </c>
      <c r="Q118" s="29" t="s">
        <v>389</v>
      </c>
      <c r="R118" s="6">
        <f>STDEV('1-Influent'!$K$4:$K$92)</f>
        <v>2.9198283595134211</v>
      </c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E118" s="29" t="s">
        <v>307</v>
      </c>
      <c r="AF118" s="29" t="s">
        <v>389</v>
      </c>
      <c r="AG118" s="6">
        <f>STDEV('stable LTP'!$AE$4:$AE$92)</f>
        <v>0.18355243550955133</v>
      </c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</row>
    <row r="119" spans="1:44" ht="15" thickBot="1" x14ac:dyDescent="0.3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29"/>
      <c r="P119" s="29"/>
      <c r="Q119" s="29" t="s">
        <v>200</v>
      </c>
      <c r="R119" s="22">
        <f>COUNT('1-Influent'!$K$4:$K$92)</f>
        <v>74</v>
      </c>
      <c r="S119" s="29"/>
      <c r="T119" s="29" t="s">
        <v>394</v>
      </c>
      <c r="U119" s="29"/>
      <c r="V119" s="29"/>
      <c r="W119" s="29" t="s">
        <v>395</v>
      </c>
      <c r="X119" s="6">
        <v>0</v>
      </c>
      <c r="Y119" s="29"/>
      <c r="Z119" s="29"/>
      <c r="AA119" s="29"/>
      <c r="AB119" s="29"/>
      <c r="AC119" s="29"/>
      <c r="AE119" s="29"/>
      <c r="AF119" s="29" t="s">
        <v>200</v>
      </c>
      <c r="AG119" s="22">
        <f>COUNT('stable LTP'!$AE$4:$AE$92)</f>
        <v>51</v>
      </c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</row>
    <row r="120" spans="1:44" ht="15" thickTop="1" x14ac:dyDescent="0.3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29"/>
      <c r="P120" s="29"/>
      <c r="Q120" s="29" t="s">
        <v>174</v>
      </c>
      <c r="R120" s="6">
        <f>MIN('1-Influent'!$K$4:$K$92)</f>
        <v>8.6999999999999993</v>
      </c>
      <c r="S120" s="29"/>
      <c r="T120" s="191" t="s">
        <v>396</v>
      </c>
      <c r="U120" s="191" t="s">
        <v>290</v>
      </c>
      <c r="V120" s="191" t="s">
        <v>292</v>
      </c>
      <c r="W120" s="191" t="s">
        <v>293</v>
      </c>
      <c r="X120" s="191" t="s">
        <v>397</v>
      </c>
      <c r="Y120" s="29"/>
      <c r="Z120" s="29"/>
      <c r="AA120" s="29"/>
      <c r="AB120" s="29"/>
      <c r="AC120" s="29"/>
      <c r="AE120" s="29"/>
      <c r="AF120" s="29" t="s">
        <v>174</v>
      </c>
      <c r="AG120" s="6">
        <f>MIN('stable LTP'!$AE$4:$AE$92)</f>
        <v>0.11477687409068144</v>
      </c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</row>
    <row r="121" spans="1:44" x14ac:dyDescent="0.3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29"/>
      <c r="P121" s="29"/>
      <c r="Q121" s="29" t="s">
        <v>175</v>
      </c>
      <c r="R121" s="6">
        <f>MAX('1-Influent'!$K$4:$K$92)</f>
        <v>23.16</v>
      </c>
      <c r="S121" s="29"/>
      <c r="T121" s="29" t="str">
        <f>P123</f>
        <v>Period 1</v>
      </c>
      <c r="U121" s="22">
        <f>R124</f>
        <v>38</v>
      </c>
      <c r="V121" s="6">
        <f>R122</f>
        <v>13.297894736842105</v>
      </c>
      <c r="W121" s="20">
        <f>R118^2</f>
        <v>8.5253976490188368</v>
      </c>
      <c r="X121" s="29"/>
      <c r="Y121" s="29"/>
      <c r="Z121" s="29"/>
      <c r="AA121" s="29"/>
      <c r="AB121" s="29"/>
      <c r="AC121" s="29"/>
      <c r="AE121" s="29"/>
      <c r="AF121" s="29" t="s">
        <v>175</v>
      </c>
      <c r="AG121" s="6">
        <f>MAX('stable LTP'!$AE$4:$AE$92)</f>
        <v>1.0603446409629167</v>
      </c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</row>
    <row r="122" spans="1:44" x14ac:dyDescent="0.3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29"/>
      <c r="P122" s="29" t="s">
        <v>437</v>
      </c>
      <c r="Q122" s="29" t="s">
        <v>388</v>
      </c>
      <c r="R122" s="6">
        <f>AVERAGE('1-Influent'!$K$4:$K$56)</f>
        <v>13.297894736842105</v>
      </c>
      <c r="S122" s="29"/>
      <c r="T122" s="29" t="str">
        <f>P128</f>
        <v>Period 2</v>
      </c>
      <c r="U122" s="22">
        <f>R129</f>
        <v>34</v>
      </c>
      <c r="V122" s="20">
        <f>R127</f>
        <v>16.520277777777778</v>
      </c>
      <c r="W122" s="20">
        <f>R128^2</f>
        <v>7.837061411411419</v>
      </c>
      <c r="X122" s="29"/>
      <c r="Y122" s="29"/>
      <c r="Z122" s="29"/>
      <c r="AA122" s="29"/>
      <c r="AB122" s="29"/>
      <c r="AC122" s="29"/>
      <c r="AE122" s="29"/>
      <c r="AF122" s="29" t="s">
        <v>442</v>
      </c>
      <c r="AG122" s="6">
        <f>DEVSQ('stable LTP'!$AE$4:$AE$92)</f>
        <v>1.684574829074394</v>
      </c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</row>
    <row r="123" spans="1:44" x14ac:dyDescent="0.3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29"/>
      <c r="P123" s="29" t="s">
        <v>411</v>
      </c>
      <c r="Q123" s="29" t="s">
        <v>389</v>
      </c>
      <c r="R123" s="6">
        <f>STDEV('1-Influent'!$K$4:$K$56)</f>
        <v>2.0022057537905797</v>
      </c>
      <c r="S123" s="29"/>
      <c r="T123" s="8" t="s">
        <v>398</v>
      </c>
      <c r="U123" s="8"/>
      <c r="V123" s="8"/>
      <c r="W123" s="8">
        <f>((U121-1)*W121+(U122-1)*W122)/(U121+U122-2)</f>
        <v>8.2008962798610554</v>
      </c>
      <c r="X123" s="8">
        <f>ABS(V121-V122-X119)/SQRT(W123)</f>
        <v>1.1252434759434338</v>
      </c>
      <c r="Y123" s="29"/>
      <c r="Z123" s="29"/>
      <c r="AA123" s="29"/>
      <c r="AB123" s="29"/>
      <c r="AC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</row>
    <row r="124" spans="1:44" x14ac:dyDescent="0.3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29"/>
      <c r="P124" s="29"/>
      <c r="Q124" s="29" t="s">
        <v>200</v>
      </c>
      <c r="R124" s="22">
        <f>COUNT('1-Influent'!$K$4:$K$56)</f>
        <v>38</v>
      </c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</row>
    <row r="125" spans="1:44" ht="15" thickBot="1" x14ac:dyDescent="0.3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29"/>
      <c r="P125" s="29"/>
      <c r="Q125" s="29" t="s">
        <v>174</v>
      </c>
      <c r="R125" s="6">
        <f>MIN('1-Influent'!$K$4:$K$56)</f>
        <v>8.6999999999999993</v>
      </c>
      <c r="S125" s="29"/>
      <c r="T125" s="29" t="s">
        <v>399</v>
      </c>
      <c r="U125" s="29"/>
      <c r="V125" s="29"/>
      <c r="W125" s="29"/>
      <c r="X125" s="29" t="s">
        <v>288</v>
      </c>
      <c r="Y125" s="29">
        <v>0.05</v>
      </c>
      <c r="Z125" s="29"/>
      <c r="AA125" s="29"/>
      <c r="AB125" s="29"/>
      <c r="AC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</row>
    <row r="126" spans="1:44" ht="15" thickTop="1" x14ac:dyDescent="0.3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29"/>
      <c r="P126" s="29"/>
      <c r="Q126" s="29" t="s">
        <v>175</v>
      </c>
      <c r="R126" s="6">
        <f>MAX('1-Influent'!$K$4:$K$56)</f>
        <v>18.79</v>
      </c>
      <c r="S126" s="29"/>
      <c r="T126" s="191" t="s">
        <v>400</v>
      </c>
      <c r="U126" s="191" t="s">
        <v>401</v>
      </c>
      <c r="V126" s="191" t="s">
        <v>402</v>
      </c>
      <c r="W126" s="191" t="s">
        <v>205</v>
      </c>
      <c r="X126" s="191" t="s">
        <v>311</v>
      </c>
      <c r="Y126" s="191" t="s">
        <v>403</v>
      </c>
      <c r="Z126" s="191" t="s">
        <v>404</v>
      </c>
      <c r="AA126" s="191" t="s">
        <v>405</v>
      </c>
      <c r="AB126" s="191" t="s">
        <v>406</v>
      </c>
      <c r="AC126" s="191" t="s">
        <v>407</v>
      </c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</row>
    <row r="127" spans="1:44" x14ac:dyDescent="0.3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29"/>
      <c r="P127" s="29" t="s">
        <v>439</v>
      </c>
      <c r="Q127" s="29" t="s">
        <v>388</v>
      </c>
      <c r="R127" s="6">
        <f>AVERAGE('1-Influent'!$K$57:$K$92)</f>
        <v>16.520277777777778</v>
      </c>
      <c r="S127" s="29"/>
      <c r="T127" s="29" t="s">
        <v>408</v>
      </c>
      <c r="U127" s="29">
        <f>SQRT(W123*(1/U121+1/U122))</f>
        <v>0.67602950509350024</v>
      </c>
      <c r="V127" s="29">
        <f>(ABS(V121-V122-X119))/U127</f>
        <v>4.7666307707826929</v>
      </c>
      <c r="W127" s="29">
        <f>U121+U122-2</f>
        <v>70</v>
      </c>
      <c r="X127" s="29">
        <f>TDIST(V127,W127,1)</f>
        <v>4.9256159985580157E-6</v>
      </c>
      <c r="Y127" s="29">
        <f>TINV(Y125*2,W127)</f>
        <v>1.6669144790559576</v>
      </c>
      <c r="Z127" s="29"/>
      <c r="AA127" s="29"/>
      <c r="AB127" s="183" t="str">
        <f>IF(X127&lt;Y125,"yes","no")</f>
        <v>yes</v>
      </c>
      <c r="AC127" s="29">
        <f>SQRT(V127^2/(V127^2+W127))</f>
        <v>0.49502028972224471</v>
      </c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</row>
    <row r="128" spans="1:44" x14ac:dyDescent="0.3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29"/>
      <c r="P128" s="29" t="s">
        <v>412</v>
      </c>
      <c r="Q128" s="29" t="s">
        <v>389</v>
      </c>
      <c r="R128" s="6">
        <f>STDEV('1-Influent'!$K$57:$K$96)</f>
        <v>2.7994752028570318</v>
      </c>
      <c r="S128" s="29"/>
      <c r="T128" s="29" t="s">
        <v>409</v>
      </c>
      <c r="U128" s="29">
        <f>U127</f>
        <v>0.67602950509350024</v>
      </c>
      <c r="V128" s="29">
        <f>V127</f>
        <v>4.7666307707826929</v>
      </c>
      <c r="W128" s="29">
        <f t="shared" ref="W128" si="14">W127</f>
        <v>70</v>
      </c>
      <c r="X128" s="29">
        <f>TDIST(V128,W128,2)</f>
        <v>9.8512319971160314E-6</v>
      </c>
      <c r="Y128" s="29">
        <f>TINV(Y125,W128)</f>
        <v>1.9944371117711854</v>
      </c>
      <c r="Z128" s="29">
        <f>(V121-V122)-Y128*U128</f>
        <v>-4.5706813745464583</v>
      </c>
      <c r="AA128" s="29">
        <f>(V121-V122)+Y128*U128</f>
        <v>-1.8740847073248887</v>
      </c>
      <c r="AB128" s="183" t="str">
        <f>IF(X128&lt;Y125,"yes","no")</f>
        <v>yes</v>
      </c>
      <c r="AC128" s="29">
        <f>AC127</f>
        <v>0.49502028972224471</v>
      </c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</row>
    <row r="129" spans="1:44" x14ac:dyDescent="0.3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29"/>
      <c r="P129" s="29"/>
      <c r="Q129" s="29" t="s">
        <v>200</v>
      </c>
      <c r="R129" s="22">
        <f>COUNT('1-Influent'!$K$57:$K$90)</f>
        <v>34</v>
      </c>
      <c r="S129" s="29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</row>
    <row r="130" spans="1:44" ht="15" thickBot="1" x14ac:dyDescent="0.3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29"/>
      <c r="P130" s="29"/>
      <c r="Q130" s="29" t="s">
        <v>174</v>
      </c>
      <c r="R130" s="6">
        <f>MIN('1-Influent'!$K$57:$K$92)</f>
        <v>12.2</v>
      </c>
      <c r="S130" s="29"/>
      <c r="T130" s="29" t="s">
        <v>410</v>
      </c>
      <c r="U130" s="29"/>
      <c r="V130" s="29"/>
      <c r="W130" s="29"/>
      <c r="X130" s="29" t="s">
        <v>288</v>
      </c>
      <c r="Y130" s="29">
        <f>Y125</f>
        <v>0.05</v>
      </c>
      <c r="Z130" s="29"/>
      <c r="AA130" s="29"/>
      <c r="AB130" s="29"/>
      <c r="AC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</row>
    <row r="131" spans="1:44" ht="15" thickTop="1" x14ac:dyDescent="0.3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29"/>
      <c r="P131" s="29"/>
      <c r="Q131" s="29" t="s">
        <v>175</v>
      </c>
      <c r="R131" s="6">
        <f>MAX('1-Influent'!$K$57:$K$92)</f>
        <v>23.16</v>
      </c>
      <c r="S131" s="29"/>
      <c r="T131" s="191" t="s">
        <v>400</v>
      </c>
      <c r="U131" s="191" t="s">
        <v>401</v>
      </c>
      <c r="V131" s="191" t="s">
        <v>402</v>
      </c>
      <c r="W131" s="191" t="s">
        <v>205</v>
      </c>
      <c r="X131" s="191" t="s">
        <v>311</v>
      </c>
      <c r="Y131" s="191" t="s">
        <v>403</v>
      </c>
      <c r="Z131" s="191" t="s">
        <v>404</v>
      </c>
      <c r="AA131" s="191" t="s">
        <v>405</v>
      </c>
      <c r="AB131" s="191" t="s">
        <v>406</v>
      </c>
      <c r="AC131" s="191" t="s">
        <v>407</v>
      </c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</row>
    <row r="132" spans="1:44" x14ac:dyDescent="0.3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29"/>
      <c r="P132" s="29"/>
      <c r="Q132" s="29"/>
      <c r="R132" s="212"/>
      <c r="S132" s="29"/>
      <c r="T132" s="29" t="s">
        <v>408</v>
      </c>
      <c r="U132" s="29">
        <f>SQRT(W121/U121+W122/U122)</f>
        <v>0.67442892578017799</v>
      </c>
      <c r="V132" s="29">
        <f>(ABS(V121-V122-X119))/U132</f>
        <v>4.7779431126979421</v>
      </c>
      <c r="W132" s="29">
        <f>(W121/U121+W122/U122)^2/((W121/U121)^2/(U121-1)+(W122/U122)^2/(U122-1))</f>
        <v>69.651084686479734</v>
      </c>
      <c r="X132" s="29" t="e">
        <f ca="1">[1]!T_DIST_RT(V132,W132)</f>
        <v>#NAME?</v>
      </c>
      <c r="Y132" s="29" t="e">
        <f ca="1">[1]!T_INV(1-Y130,W132)</f>
        <v>#NAME?</v>
      </c>
      <c r="Z132" s="29"/>
      <c r="AA132" s="29"/>
      <c r="AB132" s="183" t="e">
        <f ca="1">IF(X132&lt;Y130,"yes","no")</f>
        <v>#NAME?</v>
      </c>
      <c r="AC132" s="29">
        <f>SQRT(V132^2/(V132^2+W132))</f>
        <v>0.49684105446143295</v>
      </c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</row>
    <row r="133" spans="1:44" x14ac:dyDescent="0.3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29"/>
      <c r="P133" s="29"/>
      <c r="Q133" s="29"/>
      <c r="R133" s="29"/>
      <c r="S133" s="29"/>
      <c r="T133" s="29" t="s">
        <v>409</v>
      </c>
      <c r="U133" s="29">
        <f>U132</f>
        <v>0.67442892578017799</v>
      </c>
      <c r="V133" s="29">
        <f t="shared" ref="V133:W133" si="15">V132</f>
        <v>4.7779431126979421</v>
      </c>
      <c r="W133" s="29">
        <f t="shared" si="15"/>
        <v>69.651084686479734</v>
      </c>
      <c r="X133" s="29" t="e">
        <f ca="1">[1]!T_DIST_2T(V133,W133)</f>
        <v>#NAME?</v>
      </c>
      <c r="Y133" s="29" t="e">
        <f ca="1">[1]!T_INV_2T(Y130,W133)</f>
        <v>#NAME?</v>
      </c>
      <c r="Z133" s="29" t="e">
        <f ca="1">(V121-V122)-Y133*U133</f>
        <v>#NAME?</v>
      </c>
      <c r="AA133" s="29" t="e">
        <f ca="1">(V121-V122)+Y133*U133</f>
        <v>#NAME?</v>
      </c>
      <c r="AB133" s="183" t="e">
        <f ca="1">IF(X133&lt;Y130,"yes","no")</f>
        <v>#NAME?</v>
      </c>
      <c r="AC133" s="29">
        <f>AC132</f>
        <v>0.49684105446143295</v>
      </c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</row>
    <row r="134" spans="1:44" x14ac:dyDescent="0.3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</row>
    <row r="135" spans="1:44" x14ac:dyDescent="0.3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29" t="s">
        <v>98</v>
      </c>
      <c r="P135" s="362" t="s">
        <v>424</v>
      </c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227" t="s">
        <v>235</v>
      </c>
      <c r="AE135" s="358" t="s">
        <v>469</v>
      </c>
      <c r="AF135" s="358"/>
      <c r="AG135" s="358"/>
      <c r="AH135" s="358"/>
      <c r="AI135" s="358"/>
      <c r="AJ135" s="358"/>
      <c r="AK135" s="358"/>
      <c r="AL135" s="358"/>
      <c r="AM135" s="358"/>
      <c r="AN135" s="358"/>
      <c r="AO135" s="358"/>
      <c r="AP135" s="358"/>
      <c r="AQ135" s="358"/>
      <c r="AR135" s="358"/>
    </row>
    <row r="136" spans="1:44" x14ac:dyDescent="0.3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29"/>
      <c r="P136" s="29" t="s">
        <v>436</v>
      </c>
      <c r="Q136" s="29" t="s">
        <v>388</v>
      </c>
      <c r="R136" s="6">
        <f>AVERAGE('1-Influent'!$P$4:$P$92)</f>
        <v>1300.3229729729733</v>
      </c>
      <c r="S136" s="29"/>
      <c r="T136" s="29" t="s">
        <v>393</v>
      </c>
      <c r="U136" s="29"/>
      <c r="V136" s="29"/>
      <c r="W136" s="29"/>
      <c r="X136" s="29"/>
      <c r="Y136" s="29"/>
      <c r="Z136" s="29"/>
      <c r="AA136" s="29"/>
      <c r="AB136" s="29"/>
      <c r="AC136" s="29"/>
      <c r="AE136" s="29" t="s">
        <v>436</v>
      </c>
      <c r="AF136" s="29" t="s">
        <v>388</v>
      </c>
      <c r="AG136" s="6">
        <f>AVERAGE('stable LTP'!$S$4:$S$92)</f>
        <v>10988</v>
      </c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</row>
    <row r="137" spans="1:44" x14ac:dyDescent="0.3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29"/>
      <c r="P137" s="29" t="s">
        <v>307</v>
      </c>
      <c r="Q137" s="29" t="s">
        <v>389</v>
      </c>
      <c r="R137" s="6">
        <f>STDEV('1-Influent'!$P$4:$P$92)</f>
        <v>119.95253634084607</v>
      </c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E137" s="29" t="s">
        <v>307</v>
      </c>
      <c r="AF137" s="29" t="s">
        <v>389</v>
      </c>
      <c r="AG137" s="6">
        <f>STDEV('stable LTP'!$S$4:$S$92)</f>
        <v>2601.1097346809211</v>
      </c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</row>
    <row r="138" spans="1:44" ht="15" thickBot="1" x14ac:dyDescent="0.3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29"/>
      <c r="P138" s="29"/>
      <c r="Q138" s="29" t="s">
        <v>200</v>
      </c>
      <c r="R138" s="22">
        <f>COUNT('1-Influent'!$P$4:$P$92)</f>
        <v>74</v>
      </c>
      <c r="S138" s="29"/>
      <c r="T138" s="29" t="s">
        <v>394</v>
      </c>
      <c r="U138" s="29"/>
      <c r="V138" s="29"/>
      <c r="W138" s="29" t="s">
        <v>395</v>
      </c>
      <c r="X138" s="6">
        <v>0</v>
      </c>
      <c r="Y138" s="29"/>
      <c r="Z138" s="29"/>
      <c r="AA138" s="29"/>
      <c r="AB138" s="29"/>
      <c r="AC138" s="29"/>
      <c r="AE138" s="29"/>
      <c r="AF138" s="29" t="s">
        <v>200</v>
      </c>
      <c r="AG138" s="22">
        <f>COUNT('stable LTP'!$S$4:$S$92)</f>
        <v>55</v>
      </c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</row>
    <row r="139" spans="1:44" ht="15" thickTop="1" x14ac:dyDescent="0.3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29"/>
      <c r="P139" s="29"/>
      <c r="Q139" s="29" t="s">
        <v>174</v>
      </c>
      <c r="R139" s="6">
        <f>MIN('1-Influent'!$P$4:$P$92)</f>
        <v>861.04</v>
      </c>
      <c r="S139" s="29"/>
      <c r="T139" s="191" t="s">
        <v>396</v>
      </c>
      <c r="U139" s="191" t="s">
        <v>290</v>
      </c>
      <c r="V139" s="191" t="s">
        <v>292</v>
      </c>
      <c r="W139" s="191" t="s">
        <v>293</v>
      </c>
      <c r="X139" s="191" t="s">
        <v>397</v>
      </c>
      <c r="Y139" s="29"/>
      <c r="Z139" s="29"/>
      <c r="AA139" s="29"/>
      <c r="AB139" s="29"/>
      <c r="AC139" s="29"/>
      <c r="AE139" s="29"/>
      <c r="AF139" s="29" t="s">
        <v>174</v>
      </c>
      <c r="AG139" s="6">
        <f>MIN('stable LTP'!$S$4:$S$92)</f>
        <v>5360</v>
      </c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</row>
    <row r="140" spans="1:44" x14ac:dyDescent="0.3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29"/>
      <c r="P140" s="29"/>
      <c r="Q140" s="29" t="s">
        <v>175</v>
      </c>
      <c r="R140" s="6">
        <f>MAX('1-Influent'!$P$4:$P$92)</f>
        <v>1501.4</v>
      </c>
      <c r="S140" s="29"/>
      <c r="T140" s="29" t="str">
        <f>P142</f>
        <v>Period 1</v>
      </c>
      <c r="U140" s="22">
        <f>R143</f>
        <v>38</v>
      </c>
      <c r="V140" s="6">
        <f>R141</f>
        <v>1320.0721052631579</v>
      </c>
      <c r="W140" s="20">
        <f>R137^2</f>
        <v>14388.610974601996</v>
      </c>
      <c r="X140" s="29"/>
      <c r="Y140" s="29"/>
      <c r="Z140" s="29"/>
      <c r="AA140" s="29"/>
      <c r="AB140" s="29"/>
      <c r="AC140" s="29"/>
      <c r="AE140" s="29"/>
      <c r="AF140" s="29" t="s">
        <v>175</v>
      </c>
      <c r="AG140" s="6">
        <f>MAX('stable LTP'!$S$4:$S$92)</f>
        <v>18640</v>
      </c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</row>
    <row r="141" spans="1:44" x14ac:dyDescent="0.3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29"/>
      <c r="P141" s="29" t="s">
        <v>437</v>
      </c>
      <c r="Q141" s="29" t="s">
        <v>388</v>
      </c>
      <c r="R141" s="6">
        <f>AVERAGE('1-Influent'!$P$4:$P$56)</f>
        <v>1320.0721052631579</v>
      </c>
      <c r="S141" s="29"/>
      <c r="T141" s="29" t="str">
        <f>P147</f>
        <v>Period 2</v>
      </c>
      <c r="U141" s="22">
        <f>R148</f>
        <v>34</v>
      </c>
      <c r="V141" s="20">
        <f>R146</f>
        <v>1279.4766666666665</v>
      </c>
      <c r="W141" s="20">
        <f>R147^2</f>
        <v>5341.2591896396407</v>
      </c>
      <c r="X141" s="29"/>
      <c r="Y141" s="29"/>
      <c r="Z141" s="29"/>
      <c r="AA141" s="29"/>
      <c r="AB141" s="29"/>
      <c r="AC141" s="29"/>
      <c r="AE141" s="29"/>
      <c r="AF141" s="29" t="s">
        <v>442</v>
      </c>
      <c r="AG141" s="6">
        <f>DEVSQ('stable LTP'!$S$4:$S$92)</f>
        <v>365351680</v>
      </c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</row>
    <row r="142" spans="1:44" x14ac:dyDescent="0.3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29"/>
      <c r="P142" s="29" t="s">
        <v>411</v>
      </c>
      <c r="Q142" s="29" t="s">
        <v>389</v>
      </c>
      <c r="R142" s="6">
        <f>STDEV('1-Influent'!$P$4:$P$56)</f>
        <v>150.52337288486927</v>
      </c>
      <c r="S142" s="29"/>
      <c r="T142" s="8" t="s">
        <v>398</v>
      </c>
      <c r="U142" s="8"/>
      <c r="V142" s="8"/>
      <c r="W142" s="8">
        <f>((U140-1)*W140+(U141-1)*W141)/(U140+U141-2)</f>
        <v>10123.430847405456</v>
      </c>
      <c r="X142" s="8">
        <f>ABS(V140-V141-X138)/SQRT(W142)</f>
        <v>0.40347197820584951</v>
      </c>
      <c r="Y142" s="29"/>
      <c r="Z142" s="29"/>
      <c r="AA142" s="29"/>
      <c r="AB142" s="29"/>
      <c r="AC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</row>
    <row r="143" spans="1:44" x14ac:dyDescent="0.3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29"/>
      <c r="P143" s="29"/>
      <c r="Q143" s="29" t="s">
        <v>200</v>
      </c>
      <c r="R143" s="22">
        <f>COUNT('1-Influent'!$P$4:$P$56)</f>
        <v>38</v>
      </c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</row>
    <row r="144" spans="1:44" ht="15" thickBot="1" x14ac:dyDescent="0.3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29"/>
      <c r="P144" s="29"/>
      <c r="Q144" s="29" t="s">
        <v>174</v>
      </c>
      <c r="R144" s="6">
        <f>MIN('1-Influent'!$P$4:$P$56)</f>
        <v>861.04</v>
      </c>
      <c r="S144" s="29"/>
      <c r="T144" s="29" t="s">
        <v>399</v>
      </c>
      <c r="U144" s="29"/>
      <c r="V144" s="29"/>
      <c r="W144" s="29"/>
      <c r="X144" s="29" t="s">
        <v>288</v>
      </c>
      <c r="Y144" s="29">
        <v>0.05</v>
      </c>
      <c r="Z144" s="29"/>
      <c r="AA144" s="29"/>
      <c r="AB144" s="29"/>
      <c r="AC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</row>
    <row r="145" spans="1:44" ht="15" thickTop="1" x14ac:dyDescent="0.3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29"/>
      <c r="P145" s="29"/>
      <c r="Q145" s="29" t="s">
        <v>175</v>
      </c>
      <c r="R145" s="6">
        <f>MAX('1-Influent'!$P$4:$P$56)</f>
        <v>1501.4</v>
      </c>
      <c r="S145" s="29"/>
      <c r="T145" s="191" t="s">
        <v>400</v>
      </c>
      <c r="U145" s="191" t="s">
        <v>401</v>
      </c>
      <c r="V145" s="191" t="s">
        <v>402</v>
      </c>
      <c r="W145" s="191" t="s">
        <v>205</v>
      </c>
      <c r="X145" s="191" t="s">
        <v>311</v>
      </c>
      <c r="Y145" s="191" t="s">
        <v>403</v>
      </c>
      <c r="Z145" s="191" t="s">
        <v>404</v>
      </c>
      <c r="AA145" s="191" t="s">
        <v>405</v>
      </c>
      <c r="AB145" s="191" t="s">
        <v>406</v>
      </c>
      <c r="AC145" s="191" t="s">
        <v>407</v>
      </c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</row>
    <row r="146" spans="1:44" x14ac:dyDescent="0.3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29"/>
      <c r="P146" s="29" t="s">
        <v>439</v>
      </c>
      <c r="Q146" s="29" t="s">
        <v>388</v>
      </c>
      <c r="R146" s="6">
        <f>AVERAGE('1-Influent'!$P$57:$P$92)</f>
        <v>1279.4766666666665</v>
      </c>
      <c r="S146" s="29"/>
      <c r="T146" s="29" t="s">
        <v>408</v>
      </c>
      <c r="U146" s="29">
        <f>SQRT(W142*(1/U140+1/U141))</f>
        <v>23.751927101435012</v>
      </c>
      <c r="V146" s="29">
        <f>(ABS(V140-V141-X138))/U146</f>
        <v>1.7091429433546399</v>
      </c>
      <c r="W146" s="29">
        <f>U140+U141-2</f>
        <v>70</v>
      </c>
      <c r="X146" s="29">
        <f>TDIST(V146,W146,1)</f>
        <v>4.5927395909759437E-2</v>
      </c>
      <c r="Y146" s="29">
        <f>TINV(Y144*2,W146)</f>
        <v>1.6669144790559576</v>
      </c>
      <c r="Z146" s="29"/>
      <c r="AA146" s="29"/>
      <c r="AB146" s="183" t="str">
        <f>IF(X146&lt;Y144,"yes","no")</f>
        <v>yes</v>
      </c>
      <c r="AC146" s="29">
        <f>SQRT(V146^2/(V146^2+W146))</f>
        <v>0.20014814684039922</v>
      </c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</row>
    <row r="147" spans="1:44" x14ac:dyDescent="0.3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29"/>
      <c r="P147" s="29" t="s">
        <v>412</v>
      </c>
      <c r="Q147" s="29" t="s">
        <v>389</v>
      </c>
      <c r="R147" s="6">
        <f>STDEV('1-Influent'!$P$57:$P$96)</f>
        <v>73.083918816930179</v>
      </c>
      <c r="S147" s="29"/>
      <c r="T147" s="29" t="s">
        <v>409</v>
      </c>
      <c r="U147" s="29">
        <f>U146</f>
        <v>23.751927101435012</v>
      </c>
      <c r="V147" s="29">
        <f>V146</f>
        <v>1.7091429433546399</v>
      </c>
      <c r="W147" s="29">
        <f t="shared" ref="W147" si="16">W146</f>
        <v>70</v>
      </c>
      <c r="X147" s="29">
        <f>TDIST(V147,W147,2)</f>
        <v>9.1854791819518875E-2</v>
      </c>
      <c r="Y147" s="29">
        <f>TINV(Y144,W147)</f>
        <v>1.9944371117711854</v>
      </c>
      <c r="Z147" s="29">
        <f>(V140-V141)-Y147*U147</f>
        <v>-6.7762862906943155</v>
      </c>
      <c r="AA147" s="29">
        <f>(V140-V141)+Y147*U147</f>
        <v>87.967163483677268</v>
      </c>
      <c r="AB147" s="183" t="str">
        <f>IF(X147&lt;Y144,"yes","no")</f>
        <v>no</v>
      </c>
      <c r="AC147" s="29">
        <f>AC146</f>
        <v>0.20014814684039922</v>
      </c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</row>
    <row r="148" spans="1:44" x14ac:dyDescent="0.3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29"/>
      <c r="P148" s="29"/>
      <c r="Q148" s="29" t="s">
        <v>200</v>
      </c>
      <c r="R148" s="22">
        <f>COUNT('1-Influent'!$P$57:$P$90)</f>
        <v>34</v>
      </c>
      <c r="S148" s="29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</row>
    <row r="149" spans="1:44" ht="15" thickBot="1" x14ac:dyDescent="0.3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29"/>
      <c r="P149" s="29"/>
      <c r="Q149" s="29" t="s">
        <v>174</v>
      </c>
      <c r="R149" s="6">
        <f>MIN('1-Influent'!$P$57:$P$92)</f>
        <v>1153.3</v>
      </c>
      <c r="S149" s="29"/>
      <c r="T149" s="29" t="s">
        <v>410</v>
      </c>
      <c r="U149" s="29"/>
      <c r="V149" s="29"/>
      <c r="W149" s="29"/>
      <c r="X149" s="29" t="s">
        <v>288</v>
      </c>
      <c r="Y149" s="29">
        <f>Y144</f>
        <v>0.05</v>
      </c>
      <c r="Z149" s="29"/>
      <c r="AA149" s="29"/>
      <c r="AB149" s="29"/>
      <c r="AC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</row>
    <row r="150" spans="1:44" ht="15" thickTop="1" x14ac:dyDescent="0.3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29"/>
      <c r="P150" s="29"/>
      <c r="Q150" s="29" t="s">
        <v>175</v>
      </c>
      <c r="R150" s="6">
        <f>MAX('1-Influent'!$P$57:$P$92)</f>
        <v>1442.7</v>
      </c>
      <c r="S150" s="29"/>
      <c r="T150" s="191" t="s">
        <v>400</v>
      </c>
      <c r="U150" s="191" t="s">
        <v>401</v>
      </c>
      <c r="V150" s="191" t="s">
        <v>402</v>
      </c>
      <c r="W150" s="191" t="s">
        <v>205</v>
      </c>
      <c r="X150" s="191" t="s">
        <v>311</v>
      </c>
      <c r="Y150" s="191" t="s">
        <v>403</v>
      </c>
      <c r="Z150" s="191" t="s">
        <v>404</v>
      </c>
      <c r="AA150" s="191" t="s">
        <v>405</v>
      </c>
      <c r="AB150" s="191" t="s">
        <v>406</v>
      </c>
      <c r="AC150" s="191" t="s">
        <v>407</v>
      </c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</row>
    <row r="151" spans="1:44" x14ac:dyDescent="0.3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29"/>
      <c r="P151" s="29"/>
      <c r="Q151" s="29"/>
      <c r="R151" s="212"/>
      <c r="S151" s="29"/>
      <c r="T151" s="29" t="s">
        <v>408</v>
      </c>
      <c r="U151" s="29">
        <f>SQRT(W140/U140+W141/U141)</f>
        <v>23.146133926536873</v>
      </c>
      <c r="V151" s="29">
        <f>(ABS(V140-V141-X138))/U151</f>
        <v>1.7538755597516484</v>
      </c>
      <c r="W151" s="29">
        <f>(W140/U140+W141/U141)^2/((W140/U140)^2/(U140-1)+(W141/U141)^2/(U141-1))</f>
        <v>62.087803208489603</v>
      </c>
      <c r="X151" s="29" t="e">
        <f ca="1">[1]!T_DIST_RT(V151,W151)</f>
        <v>#NAME?</v>
      </c>
      <c r="Y151" s="29" t="e">
        <f ca="1">[1]!T_INV(1-Y149,W151)</f>
        <v>#NAME?</v>
      </c>
      <c r="Z151" s="29"/>
      <c r="AA151" s="29"/>
      <c r="AB151" s="183" t="e">
        <f ca="1">IF(X151&lt;Y149,"yes","no")</f>
        <v>#NAME?</v>
      </c>
      <c r="AC151" s="29">
        <f>SQRT(V151^2/(V151^2+W151))</f>
        <v>0.21726776639968448</v>
      </c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</row>
    <row r="152" spans="1:44" x14ac:dyDescent="0.3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29"/>
      <c r="P152" s="29"/>
      <c r="Q152" s="29"/>
      <c r="R152" s="29"/>
      <c r="S152" s="29"/>
      <c r="T152" s="29" t="s">
        <v>409</v>
      </c>
      <c r="U152" s="29">
        <f>U151</f>
        <v>23.146133926536873</v>
      </c>
      <c r="V152" s="29">
        <f t="shared" ref="V152:W152" si="17">V151</f>
        <v>1.7538755597516484</v>
      </c>
      <c r="W152" s="29">
        <f t="shared" si="17"/>
        <v>62.087803208489603</v>
      </c>
      <c r="X152" s="29" t="e">
        <f ca="1">[1]!T_DIST_2T(V152,W152)</f>
        <v>#NAME?</v>
      </c>
      <c r="Y152" s="29" t="e">
        <f ca="1">[1]!T_INV_2T(Y149,W152)</f>
        <v>#NAME?</v>
      </c>
      <c r="Z152" s="29" t="e">
        <f ca="1">(V140-V141)-Y152*U152</f>
        <v>#NAME?</v>
      </c>
      <c r="AA152" s="29" t="e">
        <f ca="1">(V140-V141)+Y152*U152</f>
        <v>#NAME?</v>
      </c>
      <c r="AB152" s="183" t="e">
        <f ca="1">IF(X152&lt;Y149,"yes","no")</f>
        <v>#NAME?</v>
      </c>
      <c r="AC152" s="29">
        <f>AC151</f>
        <v>0.21726776639968448</v>
      </c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</row>
    <row r="153" spans="1:44" x14ac:dyDescent="0.3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</row>
    <row r="154" spans="1:44" x14ac:dyDescent="0.3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29" t="s">
        <v>235</v>
      </c>
      <c r="P154" s="362" t="s">
        <v>425</v>
      </c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  <c r="AA154" s="362"/>
      <c r="AB154" s="362"/>
      <c r="AC154" s="362"/>
      <c r="AD154" s="227" t="s">
        <v>96</v>
      </c>
      <c r="AE154" s="358" t="s">
        <v>463</v>
      </c>
      <c r="AF154" s="358"/>
      <c r="AG154" s="358"/>
      <c r="AH154" s="358"/>
      <c r="AI154" s="358"/>
      <c r="AJ154" s="358"/>
      <c r="AK154" s="358"/>
      <c r="AL154" s="358"/>
      <c r="AM154" s="358"/>
      <c r="AN154" s="358"/>
      <c r="AO154" s="358"/>
      <c r="AP154" s="358"/>
      <c r="AQ154" s="358"/>
      <c r="AR154" s="358"/>
    </row>
    <row r="155" spans="1:44" x14ac:dyDescent="0.3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29"/>
      <c r="P155" s="29" t="s">
        <v>436</v>
      </c>
      <c r="Q155" s="29" t="s">
        <v>388</v>
      </c>
      <c r="R155" s="6">
        <f>AVERAGE('1-Influent'!$Q$4:$Q$92)</f>
        <v>4.365243243243242</v>
      </c>
      <c r="S155" s="29"/>
      <c r="T155" s="29" t="s">
        <v>393</v>
      </c>
      <c r="U155" s="29"/>
      <c r="V155" s="29"/>
      <c r="W155" s="29"/>
      <c r="X155" s="29"/>
      <c r="Y155" s="29"/>
      <c r="Z155" s="29"/>
      <c r="AA155" s="29"/>
      <c r="AB155" s="29"/>
      <c r="AC155" s="29"/>
      <c r="AE155" s="29" t="s">
        <v>436</v>
      </c>
      <c r="AF155" s="29" t="s">
        <v>388</v>
      </c>
      <c r="AG155" s="6">
        <f>AVERAGE('stable LTP'!$P$4:$P$92)</f>
        <v>3443.1868421052636</v>
      </c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</row>
    <row r="156" spans="1:44" x14ac:dyDescent="0.3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29"/>
      <c r="P156" s="29" t="s">
        <v>307</v>
      </c>
      <c r="Q156" s="29" t="s">
        <v>389</v>
      </c>
      <c r="R156" s="6">
        <f>STDEV('1-Influent'!$Q$4:$Q$92)</f>
        <v>8.826149100260098</v>
      </c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E156" s="29" t="s">
        <v>307</v>
      </c>
      <c r="AF156" s="29" t="s">
        <v>389</v>
      </c>
      <c r="AG156" s="6">
        <f>STDEV('stable LTP'!$P$4:$P$92)</f>
        <v>900.31055532473499</v>
      </c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</row>
    <row r="157" spans="1:44" ht="15" thickBot="1" x14ac:dyDescent="0.3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29"/>
      <c r="P157" s="29"/>
      <c r="Q157" s="29" t="s">
        <v>200</v>
      </c>
      <c r="R157" s="22">
        <f>COUNT('1-Influent'!$Q$4:$Q$92)</f>
        <v>74</v>
      </c>
      <c r="S157" s="29"/>
      <c r="T157" s="29" t="s">
        <v>394</v>
      </c>
      <c r="U157" s="29"/>
      <c r="V157" s="29"/>
      <c r="W157" s="29" t="s">
        <v>395</v>
      </c>
      <c r="X157" s="6">
        <v>0</v>
      </c>
      <c r="Y157" s="29"/>
      <c r="Z157" s="29"/>
      <c r="AA157" s="29"/>
      <c r="AB157" s="29"/>
      <c r="AC157" s="29"/>
      <c r="AE157" s="29"/>
      <c r="AF157" s="29" t="s">
        <v>200</v>
      </c>
      <c r="AG157" s="22">
        <f>COUNT('stable LTP'!$P$4:$P$92)</f>
        <v>57</v>
      </c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</row>
    <row r="158" spans="1:44" ht="15" thickTop="1" x14ac:dyDescent="0.3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29"/>
      <c r="P158" s="29"/>
      <c r="Q158" s="29" t="s">
        <v>174</v>
      </c>
      <c r="R158" s="6">
        <f>MIN('1-Influent'!$Q$4:$Q$92)</f>
        <v>8.0000000000000002E-3</v>
      </c>
      <c r="S158" s="29"/>
      <c r="T158" s="191" t="s">
        <v>396</v>
      </c>
      <c r="U158" s="191" t="s">
        <v>290</v>
      </c>
      <c r="V158" s="191" t="s">
        <v>292</v>
      </c>
      <c r="W158" s="191" t="s">
        <v>293</v>
      </c>
      <c r="X158" s="191" t="s">
        <v>397</v>
      </c>
      <c r="Y158" s="29"/>
      <c r="Z158" s="29"/>
      <c r="AA158" s="29"/>
      <c r="AB158" s="29"/>
      <c r="AC158" s="29"/>
      <c r="AE158" s="29"/>
      <c r="AF158" s="29" t="s">
        <v>174</v>
      </c>
      <c r="AG158" s="6">
        <f>MIN('stable LTP'!$P$4:$P$92)</f>
        <v>1512</v>
      </c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</row>
    <row r="159" spans="1:44" x14ac:dyDescent="0.3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29"/>
      <c r="P159" s="29"/>
      <c r="Q159" s="29" t="s">
        <v>175</v>
      </c>
      <c r="R159" s="6">
        <f>MAX('1-Influent'!$Q$4:$Q$92)</f>
        <v>39.195999999999998</v>
      </c>
      <c r="S159" s="29"/>
      <c r="T159" s="29" t="str">
        <f>P161</f>
        <v>Period 1</v>
      </c>
      <c r="U159" s="22">
        <f>R162</f>
        <v>38</v>
      </c>
      <c r="V159" s="6">
        <f>R160</f>
        <v>4.9227894736842117</v>
      </c>
      <c r="W159" s="20">
        <f>R156^2</f>
        <v>77.900907940022137</v>
      </c>
      <c r="X159" s="29"/>
      <c r="Y159" s="29"/>
      <c r="Z159" s="29"/>
      <c r="AA159" s="29"/>
      <c r="AB159" s="29"/>
      <c r="AC159" s="29"/>
      <c r="AE159" s="29"/>
      <c r="AF159" s="29" t="s">
        <v>175</v>
      </c>
      <c r="AG159" s="6">
        <f>MAX('stable LTP'!$P$4:$P$92)</f>
        <v>7398.0000000000009</v>
      </c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</row>
    <row r="160" spans="1:44" x14ac:dyDescent="0.3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29"/>
      <c r="P160" s="29" t="s">
        <v>437</v>
      </c>
      <c r="Q160" s="29" t="s">
        <v>388</v>
      </c>
      <c r="R160" s="6">
        <f>AVERAGE('1-Influent'!$Q$4:$Q$56)</f>
        <v>4.9227894736842117</v>
      </c>
      <c r="S160" s="29"/>
      <c r="T160" s="29" t="str">
        <f>P166</f>
        <v>Period 2</v>
      </c>
      <c r="U160" s="22">
        <f>R167</f>
        <v>34</v>
      </c>
      <c r="V160" s="20">
        <f>R165</f>
        <v>3.7767222222222219</v>
      </c>
      <c r="W160" s="20">
        <f>R166^2</f>
        <v>46.362416244744772</v>
      </c>
      <c r="X160" s="29"/>
      <c r="Y160" s="29"/>
      <c r="Z160" s="29"/>
      <c r="AA160" s="29"/>
      <c r="AB160" s="29"/>
      <c r="AC160" s="29"/>
      <c r="AE160" s="29"/>
      <c r="AF160" s="29" t="s">
        <v>442</v>
      </c>
      <c r="AG160" s="6">
        <f>DEVSQ('stable LTP'!$P$4:$P$92)</f>
        <v>45391309.377631575</v>
      </c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</row>
    <row r="161" spans="1:44" x14ac:dyDescent="0.3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29"/>
      <c r="P161" s="29" t="s">
        <v>411</v>
      </c>
      <c r="Q161" s="29" t="s">
        <v>389</v>
      </c>
      <c r="R161" s="6">
        <f>STDEV('1-Influent'!$Q$4:$Q$56)</f>
        <v>10.744001328605435</v>
      </c>
      <c r="S161" s="29"/>
      <c r="T161" s="8" t="s">
        <v>398</v>
      </c>
      <c r="U161" s="8"/>
      <c r="V161" s="8"/>
      <c r="W161" s="8">
        <f>((U159-1)*W159+(U160-1)*W160)/(U159+U160-2)</f>
        <v>63.032761855105676</v>
      </c>
      <c r="X161" s="8">
        <f>ABS(V159-V160-X157)/SQRT(W161)</f>
        <v>0.14435337245358829</v>
      </c>
      <c r="Y161" s="29"/>
      <c r="Z161" s="29"/>
      <c r="AA161" s="29"/>
      <c r="AB161" s="29"/>
      <c r="AC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</row>
    <row r="162" spans="1:44" x14ac:dyDescent="0.3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29"/>
      <c r="P162" s="29"/>
      <c r="Q162" s="29" t="s">
        <v>200</v>
      </c>
      <c r="R162" s="22">
        <f>COUNT('1-Influent'!$Q$4:$Q$56)</f>
        <v>38</v>
      </c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</row>
    <row r="163" spans="1:44" ht="15" thickBot="1" x14ac:dyDescent="0.3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29"/>
      <c r="P163" s="29"/>
      <c r="Q163" s="29" t="s">
        <v>174</v>
      </c>
      <c r="R163" s="6">
        <f>MIN('1-Influent'!$Q$4:$Q$56)</f>
        <v>8.0000000000000002E-3</v>
      </c>
      <c r="S163" s="29"/>
      <c r="T163" s="29" t="s">
        <v>399</v>
      </c>
      <c r="U163" s="29"/>
      <c r="V163" s="29"/>
      <c r="W163" s="29"/>
      <c r="X163" s="29" t="s">
        <v>288</v>
      </c>
      <c r="Y163" s="29">
        <v>0.05</v>
      </c>
      <c r="Z163" s="29"/>
      <c r="AA163" s="29"/>
      <c r="AB163" s="29"/>
      <c r="AC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</row>
    <row r="164" spans="1:44" ht="15" thickTop="1" x14ac:dyDescent="0.3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29"/>
      <c r="P164" s="29"/>
      <c r="Q164" s="29" t="s">
        <v>175</v>
      </c>
      <c r="R164" s="6">
        <f>MAX('1-Influent'!$Q$4:$Q$56)</f>
        <v>39.195999999999998</v>
      </c>
      <c r="S164" s="29"/>
      <c r="T164" s="191" t="s">
        <v>400</v>
      </c>
      <c r="U164" s="191" t="s">
        <v>401</v>
      </c>
      <c r="V164" s="191" t="s">
        <v>402</v>
      </c>
      <c r="W164" s="191" t="s">
        <v>205</v>
      </c>
      <c r="X164" s="191" t="s">
        <v>311</v>
      </c>
      <c r="Y164" s="191" t="s">
        <v>403</v>
      </c>
      <c r="Z164" s="191" t="s">
        <v>404</v>
      </c>
      <c r="AA164" s="191" t="s">
        <v>405</v>
      </c>
      <c r="AB164" s="191" t="s">
        <v>406</v>
      </c>
      <c r="AC164" s="191" t="s">
        <v>407</v>
      </c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</row>
    <row r="165" spans="1:44" x14ac:dyDescent="0.3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29"/>
      <c r="P165" s="29" t="s">
        <v>439</v>
      </c>
      <c r="Q165" s="29" t="s">
        <v>388</v>
      </c>
      <c r="R165" s="6">
        <f>AVERAGE('1-Influent'!$Q$57:$Q$92)</f>
        <v>3.7767222222222219</v>
      </c>
      <c r="S165" s="29"/>
      <c r="T165" s="29" t="s">
        <v>408</v>
      </c>
      <c r="U165" s="29">
        <f>SQRT(W161*(1/U159+1/U160))</f>
        <v>1.8742096071059176</v>
      </c>
      <c r="V165" s="29">
        <f>(ABS(V159-V160-X157))/U165</f>
        <v>0.61149363823382741</v>
      </c>
      <c r="W165" s="29">
        <f>U159+U160-2</f>
        <v>70</v>
      </c>
      <c r="X165" s="29">
        <f>TDIST(V165,W165,1)</f>
        <v>0.27142685414520085</v>
      </c>
      <c r="Y165" s="29">
        <f>TINV(Y163*2,W165)</f>
        <v>1.6669144790559576</v>
      </c>
      <c r="Z165" s="29"/>
      <c r="AA165" s="29"/>
      <c r="AB165" s="183" t="str">
        <f>IF(X165&lt;Y163,"yes","no")</f>
        <v>no</v>
      </c>
      <c r="AC165" s="29">
        <f>SQRT(V165^2/(V165^2+W165))</f>
        <v>7.2893039167361617E-2</v>
      </c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</row>
    <row r="166" spans="1:44" x14ac:dyDescent="0.3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29"/>
      <c r="P166" s="29" t="s">
        <v>412</v>
      </c>
      <c r="Q166" s="29" t="s">
        <v>389</v>
      </c>
      <c r="R166" s="6">
        <f>STDEV('1-Influent'!$Q$57:$Q$96)</f>
        <v>6.8089952448760585</v>
      </c>
      <c r="S166" s="29"/>
      <c r="T166" s="29" t="s">
        <v>409</v>
      </c>
      <c r="U166" s="29">
        <f>U165</f>
        <v>1.8742096071059176</v>
      </c>
      <c r="V166" s="29">
        <f>V165</f>
        <v>0.61149363823382741</v>
      </c>
      <c r="W166" s="29">
        <f t="shared" ref="W166" si="18">W165</f>
        <v>70</v>
      </c>
      <c r="X166" s="29">
        <f>TDIST(V166,W166,2)</f>
        <v>0.54285370829040169</v>
      </c>
      <c r="Y166" s="29">
        <f>TINV(Y163,W166)</f>
        <v>1.9944371117711854</v>
      </c>
      <c r="Z166" s="29">
        <f>(V159-V160)-Y166*U166</f>
        <v>-2.5919259441881444</v>
      </c>
      <c r="AA166" s="29">
        <f>(V159-V160)+Y166*U166</f>
        <v>4.8840604471121241</v>
      </c>
      <c r="AB166" s="183" t="str">
        <f>IF(X166&lt;Y163,"yes","no")</f>
        <v>no</v>
      </c>
      <c r="AC166" s="29">
        <f>AC165</f>
        <v>7.2893039167361617E-2</v>
      </c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</row>
    <row r="167" spans="1:44" x14ac:dyDescent="0.3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29"/>
      <c r="P167" s="29"/>
      <c r="Q167" s="29" t="s">
        <v>200</v>
      </c>
      <c r="R167" s="22">
        <f>COUNT('1-Influent'!$Q$57:$Q$90)</f>
        <v>34</v>
      </c>
      <c r="S167" s="29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</row>
    <row r="168" spans="1:44" ht="15" thickBot="1" x14ac:dyDescent="0.3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29"/>
      <c r="P168" s="29"/>
      <c r="Q168" s="29" t="s">
        <v>174</v>
      </c>
      <c r="R168" s="6">
        <f>MIN('1-Influent'!$Q$57:$Q$92)</f>
        <v>8.0000000000000002E-3</v>
      </c>
      <c r="S168" s="29"/>
      <c r="T168" s="29" t="s">
        <v>410</v>
      </c>
      <c r="U168" s="29"/>
      <c r="V168" s="29"/>
      <c r="W168" s="29"/>
      <c r="X168" s="29" t="s">
        <v>288</v>
      </c>
      <c r="Y168" s="29">
        <f>Y163</f>
        <v>0.05</v>
      </c>
      <c r="Z168" s="29"/>
      <c r="AA168" s="29"/>
      <c r="AB168" s="29"/>
      <c r="AC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</row>
    <row r="169" spans="1:44" ht="15" thickTop="1" x14ac:dyDescent="0.3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29"/>
      <c r="P169" s="29"/>
      <c r="Q169" s="29" t="s">
        <v>175</v>
      </c>
      <c r="R169" s="6">
        <f>MAX('1-Influent'!$Q$57:$Q$92)</f>
        <v>19.268000000000001</v>
      </c>
      <c r="S169" s="29"/>
      <c r="T169" s="191" t="s">
        <v>400</v>
      </c>
      <c r="U169" s="191" t="s">
        <v>401</v>
      </c>
      <c r="V169" s="191" t="s">
        <v>402</v>
      </c>
      <c r="W169" s="191" t="s">
        <v>205</v>
      </c>
      <c r="X169" s="191" t="s">
        <v>311</v>
      </c>
      <c r="Y169" s="191" t="s">
        <v>403</v>
      </c>
      <c r="Z169" s="191" t="s">
        <v>404</v>
      </c>
      <c r="AA169" s="191" t="s">
        <v>405</v>
      </c>
      <c r="AB169" s="191" t="s">
        <v>406</v>
      </c>
      <c r="AC169" s="191" t="s">
        <v>407</v>
      </c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</row>
    <row r="170" spans="1:44" x14ac:dyDescent="0.3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29"/>
      <c r="P170" s="29"/>
      <c r="Q170" s="29"/>
      <c r="R170" s="212"/>
      <c r="S170" s="29"/>
      <c r="T170" s="29" t="s">
        <v>408</v>
      </c>
      <c r="U170" s="29">
        <f>SQRT(W159/U159+W160/U160)</f>
        <v>1.8475996240920511</v>
      </c>
      <c r="V170" s="29">
        <f>(ABS(V159-V160-X157))/U170</f>
        <v>0.62030065200148066</v>
      </c>
      <c r="W170" s="29">
        <f>(W159/U159+W160/U160)^2/((W159/U159)^2/(U159-1)+(W160/U160)^2/(U160-1))</f>
        <v>68.574556221265311</v>
      </c>
      <c r="X170" s="29" t="e">
        <f ca="1">[1]!T_DIST_RT(V170,W170)</f>
        <v>#NAME?</v>
      </c>
      <c r="Y170" s="29" t="e">
        <f ca="1">[1]!T_INV(1-Y168,W170)</f>
        <v>#NAME?</v>
      </c>
      <c r="Z170" s="29"/>
      <c r="AA170" s="29"/>
      <c r="AB170" s="183" t="e">
        <f ca="1">IF(X170&lt;Y168,"yes","no")</f>
        <v>#NAME?</v>
      </c>
      <c r="AC170" s="29">
        <f>SQRT(V170^2/(V170^2+W170))</f>
        <v>7.4697440975754315E-2</v>
      </c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</row>
    <row r="171" spans="1:44" x14ac:dyDescent="0.3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29"/>
      <c r="P171" s="29"/>
      <c r="Q171" s="29"/>
      <c r="R171" s="29"/>
      <c r="S171" s="29"/>
      <c r="T171" s="29" t="s">
        <v>409</v>
      </c>
      <c r="U171" s="29">
        <f>U170</f>
        <v>1.8475996240920511</v>
      </c>
      <c r="V171" s="29">
        <f t="shared" ref="V171:W171" si="19">V170</f>
        <v>0.62030065200148066</v>
      </c>
      <c r="W171" s="29">
        <f t="shared" si="19"/>
        <v>68.574556221265311</v>
      </c>
      <c r="X171" s="29" t="e">
        <f ca="1">[1]!T_DIST_2T(V171,W171)</f>
        <v>#NAME?</v>
      </c>
      <c r="Y171" s="29" t="e">
        <f ca="1">[1]!T_INV_2T(Y168,W171)</f>
        <v>#NAME?</v>
      </c>
      <c r="Z171" s="29" t="e">
        <f ca="1">(V159-V160)-Y171*U171</f>
        <v>#NAME?</v>
      </c>
      <c r="AA171" s="29" t="e">
        <f ca="1">(V159-V160)+Y171*U171</f>
        <v>#NAME?</v>
      </c>
      <c r="AB171" s="183" t="e">
        <f ca="1">IF(X171&lt;Y168,"yes","no")</f>
        <v>#NAME?</v>
      </c>
      <c r="AC171" s="29">
        <f>AC170</f>
        <v>7.4697440975754315E-2</v>
      </c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</row>
    <row r="172" spans="1:44" x14ac:dyDescent="0.3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</row>
    <row r="173" spans="1:44" x14ac:dyDescent="0.3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29" t="s">
        <v>427</v>
      </c>
      <c r="P173" s="362" t="s">
        <v>426</v>
      </c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  <c r="AB173" s="362"/>
      <c r="AC173" s="362"/>
      <c r="AD173" s="227" t="s">
        <v>100</v>
      </c>
      <c r="AE173" s="358" t="s">
        <v>464</v>
      </c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</row>
    <row r="174" spans="1:44" x14ac:dyDescent="0.3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29"/>
      <c r="P174" s="29" t="s">
        <v>436</v>
      </c>
      <c r="Q174" s="29" t="s">
        <v>388</v>
      </c>
      <c r="R174" s="6">
        <f>AVERAGE('1-Influent'!$R$4:$R$92)</f>
        <v>1.1303513513513515</v>
      </c>
      <c r="S174" s="29"/>
      <c r="T174" s="29" t="s">
        <v>393</v>
      </c>
      <c r="U174" s="29"/>
      <c r="V174" s="29"/>
      <c r="W174" s="29"/>
      <c r="X174" s="29"/>
      <c r="Y174" s="29"/>
      <c r="Z174" s="29"/>
      <c r="AA174" s="29"/>
      <c r="AB174" s="29"/>
      <c r="AC174" s="29"/>
      <c r="AE174" s="29" t="s">
        <v>436</v>
      </c>
      <c r="AF174" s="29" t="s">
        <v>388</v>
      </c>
      <c r="AG174" s="6">
        <f>AVERAGE('stable LTP'!$U$4:$U$92)</f>
        <v>21.633965517241371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</row>
    <row r="175" spans="1:44" x14ac:dyDescent="0.3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29"/>
      <c r="P175" s="29" t="s">
        <v>307</v>
      </c>
      <c r="Q175" s="29" t="s">
        <v>389</v>
      </c>
      <c r="R175" s="6">
        <f>STDEV('1-LTP'!$R$4:$R$92)</f>
        <v>865.91899984104418</v>
      </c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E175" s="29" t="s">
        <v>307</v>
      </c>
      <c r="AF175" s="29" t="s">
        <v>389</v>
      </c>
      <c r="AG175" s="6">
        <f>STDEV('stable LTP'!$U$4:$U$92)</f>
        <v>19.571626700866965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</row>
    <row r="176" spans="1:44" ht="15" thickBot="1" x14ac:dyDescent="0.3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29"/>
      <c r="P176" s="29"/>
      <c r="Q176" s="29" t="s">
        <v>200</v>
      </c>
      <c r="R176" s="22">
        <f>COUNT('1-LTP'!$R$4:$R$92)</f>
        <v>36</v>
      </c>
      <c r="S176" s="29"/>
      <c r="T176" s="29" t="s">
        <v>394</v>
      </c>
      <c r="U176" s="29"/>
      <c r="V176" s="29"/>
      <c r="W176" s="29" t="s">
        <v>395</v>
      </c>
      <c r="X176" s="6">
        <v>0</v>
      </c>
      <c r="Y176" s="29"/>
      <c r="Z176" s="29"/>
      <c r="AA176" s="29"/>
      <c r="AB176" s="29"/>
      <c r="AC176" s="29"/>
      <c r="AE176" s="29"/>
      <c r="AF176" s="29" t="s">
        <v>200</v>
      </c>
      <c r="AG176" s="22">
        <f>COUNT('stable LTP'!$U$4:$U$92)</f>
        <v>58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</row>
    <row r="177" spans="1:44" ht="15" thickTop="1" x14ac:dyDescent="0.3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29"/>
      <c r="P177" s="29"/>
      <c r="Q177" s="29" t="s">
        <v>174</v>
      </c>
      <c r="R177" s="6">
        <f>MIN('1-LTP'!$R$4:$R$92)</f>
        <v>2460</v>
      </c>
      <c r="S177" s="29"/>
      <c r="T177" s="191" t="s">
        <v>396</v>
      </c>
      <c r="U177" s="191" t="s">
        <v>290</v>
      </c>
      <c r="V177" s="191" t="s">
        <v>292</v>
      </c>
      <c r="W177" s="191" t="s">
        <v>293</v>
      </c>
      <c r="X177" s="191" t="s">
        <v>397</v>
      </c>
      <c r="Y177" s="29"/>
      <c r="Z177" s="29"/>
      <c r="AA177" s="29"/>
      <c r="AB177" s="29"/>
      <c r="AC177" s="29"/>
      <c r="AE177" s="29"/>
      <c r="AF177" s="29" t="s">
        <v>174</v>
      </c>
      <c r="AG177" s="6">
        <f>MIN('stable LTP'!$U$4:$U$92)</f>
        <v>3.44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</row>
    <row r="178" spans="1:44" x14ac:dyDescent="0.3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29"/>
      <c r="P178" s="29"/>
      <c r="Q178" s="29" t="s">
        <v>175</v>
      </c>
      <c r="R178" s="6">
        <f>MAX('1-LTP'!$R$4:$R$92)</f>
        <v>6600</v>
      </c>
      <c r="S178" s="29"/>
      <c r="T178" s="29" t="str">
        <f>P180</f>
        <v>Period 1</v>
      </c>
      <c r="U178" s="22">
        <f>R181</f>
        <v>22</v>
      </c>
      <c r="V178" s="6">
        <f>R179</f>
        <v>4444.545454545455</v>
      </c>
      <c r="W178" s="20">
        <f>R175^2</f>
        <v>749815.71428571432</v>
      </c>
      <c r="X178" s="29"/>
      <c r="Y178" s="29"/>
      <c r="Z178" s="29"/>
      <c r="AA178" s="29"/>
      <c r="AB178" s="29"/>
      <c r="AC178" s="29"/>
      <c r="AE178" s="29"/>
      <c r="AF178" s="29" t="s">
        <v>175</v>
      </c>
      <c r="AG178" s="6">
        <f>MAX('stable LTP'!$U$4:$U$92)</f>
        <v>108.04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</row>
    <row r="179" spans="1:44" x14ac:dyDescent="0.3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29"/>
      <c r="P179" s="29" t="s">
        <v>437</v>
      </c>
      <c r="Q179" s="29" t="s">
        <v>388</v>
      </c>
      <c r="R179" s="6">
        <f>AVERAGE('1-LTP'!$R$4:$R$56)</f>
        <v>4444.545454545455</v>
      </c>
      <c r="S179" s="29"/>
      <c r="T179" s="29" t="str">
        <f>P185</f>
        <v>Period 2</v>
      </c>
      <c r="U179" s="22">
        <f>R186</f>
        <v>14</v>
      </c>
      <c r="V179" s="20">
        <f>R184</f>
        <v>4059.1428571428573</v>
      </c>
      <c r="W179" s="20">
        <f>R185^2</f>
        <v>574523.36263736151</v>
      </c>
      <c r="X179" s="29"/>
      <c r="Y179" s="29"/>
      <c r="Z179" s="29"/>
      <c r="AA179" s="29"/>
      <c r="AB179" s="29"/>
      <c r="AC179" s="29"/>
      <c r="AE179" s="29"/>
      <c r="AF179" s="29" t="s">
        <v>442</v>
      </c>
      <c r="AG179" s="6">
        <f>DEVSQ('stable LTP'!$U$4:$U$92)</f>
        <v>21833.76858793103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</row>
    <row r="180" spans="1:44" x14ac:dyDescent="0.3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29"/>
      <c r="P180" s="29" t="s">
        <v>411</v>
      </c>
      <c r="Q180" s="29" t="s">
        <v>389</v>
      </c>
      <c r="R180" s="6">
        <f>STDEV('1-LTP'!$R$4:$R$56)</f>
        <v>912.97382882600277</v>
      </c>
      <c r="S180" s="29"/>
      <c r="T180" s="8" t="s">
        <v>398</v>
      </c>
      <c r="U180" s="8"/>
      <c r="V180" s="8"/>
      <c r="W180" s="8">
        <f>((U178-1)*W178+(U179-1)*W179)/(U178+U179-2)</f>
        <v>682792.16806722654</v>
      </c>
      <c r="X180" s="8">
        <f>ABS(V178-V179-X176)/SQRT(W180)</f>
        <v>0.46641270474206775</v>
      </c>
      <c r="Y180" s="29"/>
      <c r="Z180" s="29"/>
      <c r="AA180" s="29"/>
      <c r="AB180" s="29"/>
      <c r="AC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</row>
    <row r="181" spans="1:44" x14ac:dyDescent="0.3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29"/>
      <c r="P181" s="29"/>
      <c r="Q181" s="29" t="s">
        <v>200</v>
      </c>
      <c r="R181" s="22">
        <f>COUNT('1-LTP'!$R$4:$R$56)</f>
        <v>22</v>
      </c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</row>
    <row r="182" spans="1:44" ht="15" thickBot="1" x14ac:dyDescent="0.3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29"/>
      <c r="P182" s="29"/>
      <c r="Q182" s="29" t="s">
        <v>174</v>
      </c>
      <c r="R182" s="6">
        <f>MIN('1-LTP'!$R$4:$R$56)</f>
        <v>2460</v>
      </c>
      <c r="S182" s="29"/>
      <c r="T182" s="29" t="s">
        <v>399</v>
      </c>
      <c r="U182" s="29"/>
      <c r="V182" s="29"/>
      <c r="W182" s="29"/>
      <c r="X182" s="29" t="s">
        <v>288</v>
      </c>
      <c r="Y182" s="29">
        <v>0.05</v>
      </c>
      <c r="Z182" s="29"/>
      <c r="AA182" s="29"/>
      <c r="AB182" s="29"/>
      <c r="AC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</row>
    <row r="183" spans="1:44" ht="15" thickTop="1" x14ac:dyDescent="0.3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29"/>
      <c r="P183" s="29"/>
      <c r="Q183" s="29" t="s">
        <v>175</v>
      </c>
      <c r="R183" s="6">
        <f>MAX('1-LTP'!$R$4:$R$56)</f>
        <v>6600</v>
      </c>
      <c r="S183" s="29"/>
      <c r="T183" s="191" t="s">
        <v>400</v>
      </c>
      <c r="U183" s="191" t="s">
        <v>401</v>
      </c>
      <c r="V183" s="191" t="s">
        <v>402</v>
      </c>
      <c r="W183" s="191" t="s">
        <v>205</v>
      </c>
      <c r="X183" s="191" t="s">
        <v>311</v>
      </c>
      <c r="Y183" s="191" t="s">
        <v>403</v>
      </c>
      <c r="Z183" s="191" t="s">
        <v>404</v>
      </c>
      <c r="AA183" s="191" t="s">
        <v>405</v>
      </c>
      <c r="AB183" s="191" t="s">
        <v>406</v>
      </c>
      <c r="AC183" s="191" t="s">
        <v>407</v>
      </c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</row>
    <row r="184" spans="1:44" x14ac:dyDescent="0.3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29"/>
      <c r="P184" s="29" t="s">
        <v>439</v>
      </c>
      <c r="Q184" s="29" t="s">
        <v>388</v>
      </c>
      <c r="R184" s="6">
        <f>AVERAGE('1-LTP'!$R$57:$R$92)</f>
        <v>4059.1428571428573</v>
      </c>
      <c r="S184" s="29"/>
      <c r="T184" s="29" t="s">
        <v>408</v>
      </c>
      <c r="U184" s="29">
        <f>SQRT(W180*(1/U178+1/U179))</f>
        <v>282.50110935548275</v>
      </c>
      <c r="V184" s="29">
        <f>(ABS(V178-V179-X176))/U184</f>
        <v>1.3642516246462937</v>
      </c>
      <c r="W184" s="29">
        <f>U178+U179-2</f>
        <v>34</v>
      </c>
      <c r="X184" s="29">
        <f>TDIST(V184,W184,1)</f>
        <v>9.0725671755395448E-2</v>
      </c>
      <c r="Y184" s="29">
        <f>TINV(Y182*2,W184)</f>
        <v>1.6909242551868542</v>
      </c>
      <c r="Z184" s="29"/>
      <c r="AA184" s="29"/>
      <c r="AB184" s="183" t="str">
        <f>IF(X184&lt;Y182,"yes","no")</f>
        <v>no</v>
      </c>
      <c r="AC184" s="29">
        <f>SQRT(V184^2/(V184^2+W184))</f>
        <v>0.22781492695693562</v>
      </c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</row>
    <row r="185" spans="1:44" x14ac:dyDescent="0.3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29"/>
      <c r="P185" s="29" t="s">
        <v>412</v>
      </c>
      <c r="Q185" s="29" t="s">
        <v>389</v>
      </c>
      <c r="R185" s="6">
        <f>STDEV('1-LTP'!$R$57:$R$96)</f>
        <v>757.97319387783205</v>
      </c>
      <c r="S185" s="29"/>
      <c r="T185" s="29" t="s">
        <v>409</v>
      </c>
      <c r="U185" s="29">
        <f>U184</f>
        <v>282.50110935548275</v>
      </c>
      <c r="V185" s="29">
        <f>V184</f>
        <v>1.3642516246462937</v>
      </c>
      <c r="W185" s="29">
        <f t="shared" ref="W185" si="20">W184</f>
        <v>34</v>
      </c>
      <c r="X185" s="29">
        <f>TDIST(V185,W185,2)</f>
        <v>0.1814513435107909</v>
      </c>
      <c r="Y185" s="29">
        <f>TINV(Y182,W185)</f>
        <v>2.0322445093177191</v>
      </c>
      <c r="Z185" s="29">
        <f>(V178-V179)-Y185*U185</f>
        <v>-188.70873096124672</v>
      </c>
      <c r="AA185" s="29">
        <f>(V178-V179)+Y185*U185</f>
        <v>959.51392576644196</v>
      </c>
      <c r="AB185" s="183" t="str">
        <f>IF(X185&lt;Y182,"yes","no")</f>
        <v>no</v>
      </c>
      <c r="AC185" s="29">
        <f>AC184</f>
        <v>0.22781492695693562</v>
      </c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</row>
    <row r="186" spans="1:44" x14ac:dyDescent="0.3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29"/>
      <c r="P186" s="29"/>
      <c r="Q186" s="29" t="s">
        <v>200</v>
      </c>
      <c r="R186" s="22">
        <f>COUNT('1-LTP'!$R$57:$R$90)</f>
        <v>14</v>
      </c>
      <c r="S186" s="29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</row>
    <row r="187" spans="1:44" ht="15" thickBot="1" x14ac:dyDescent="0.3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29"/>
      <c r="P187" s="29"/>
      <c r="Q187" s="29" t="s">
        <v>174</v>
      </c>
      <c r="R187" s="6">
        <f>MIN('1-LTP'!$R$57:$R$92)</f>
        <v>2643</v>
      </c>
      <c r="S187" s="29"/>
      <c r="T187" s="29" t="s">
        <v>410</v>
      </c>
      <c r="U187" s="29"/>
      <c r="V187" s="29"/>
      <c r="W187" s="29"/>
      <c r="X187" s="29" t="s">
        <v>288</v>
      </c>
      <c r="Y187" s="29">
        <f>Y182</f>
        <v>0.05</v>
      </c>
      <c r="Z187" s="29"/>
      <c r="AA187" s="29"/>
      <c r="AB187" s="29"/>
      <c r="AC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</row>
    <row r="188" spans="1:44" ht="15" thickTop="1" x14ac:dyDescent="0.3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29"/>
      <c r="P188" s="29"/>
      <c r="Q188" s="29" t="s">
        <v>175</v>
      </c>
      <c r="R188" s="6">
        <f>MAX('1-LTP'!$R$57:$R$92)</f>
        <v>5430</v>
      </c>
      <c r="S188" s="29"/>
      <c r="T188" s="191" t="s">
        <v>400</v>
      </c>
      <c r="U188" s="191" t="s">
        <v>401</v>
      </c>
      <c r="V188" s="191" t="s">
        <v>402</v>
      </c>
      <c r="W188" s="191" t="s">
        <v>205</v>
      </c>
      <c r="X188" s="191" t="s">
        <v>311</v>
      </c>
      <c r="Y188" s="191" t="s">
        <v>403</v>
      </c>
      <c r="Z188" s="191" t="s">
        <v>404</v>
      </c>
      <c r="AA188" s="191" t="s">
        <v>405</v>
      </c>
      <c r="AB188" s="191" t="s">
        <v>406</v>
      </c>
      <c r="AC188" s="191" t="s">
        <v>407</v>
      </c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</row>
    <row r="189" spans="1:44" x14ac:dyDescent="0.3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29"/>
      <c r="P189" s="29"/>
      <c r="Q189" s="29"/>
      <c r="R189" s="212"/>
      <c r="S189" s="29"/>
      <c r="T189" s="29" t="s">
        <v>408</v>
      </c>
      <c r="U189" s="29">
        <f>SQRT(W178/U178+W179/U179)</f>
        <v>274.08012608187823</v>
      </c>
      <c r="V189" s="29">
        <f>(ABS(V178-V179-X176))/U189</f>
        <v>1.4061676156974006</v>
      </c>
      <c r="W189" s="29">
        <f>(W178/U178+W179/U179)^2/((W178/U178)^2/(U178-1)+(W179/U179)^2/(U179-1))</f>
        <v>30.526012027808346</v>
      </c>
      <c r="X189" s="29" t="e">
        <f ca="1">[1]!T_DIST_RT(V189,W189)</f>
        <v>#NAME?</v>
      </c>
      <c r="Y189" s="29" t="e">
        <f ca="1">[1]!T_INV(1-Y187,W189)</f>
        <v>#NAME?</v>
      </c>
      <c r="Z189" s="29"/>
      <c r="AA189" s="29"/>
      <c r="AB189" s="183" t="e">
        <f ca="1">IF(X189&lt;Y187,"yes","no")</f>
        <v>#NAME?</v>
      </c>
      <c r="AC189" s="29">
        <f>SQRT(V189^2/(V189^2+W189))</f>
        <v>0.24664552150466848</v>
      </c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</row>
    <row r="190" spans="1:44" x14ac:dyDescent="0.3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29"/>
      <c r="P190" s="29"/>
      <c r="Q190" s="29"/>
      <c r="R190" s="29"/>
      <c r="S190" s="29"/>
      <c r="T190" s="29" t="s">
        <v>409</v>
      </c>
      <c r="U190" s="29">
        <f>U189</f>
        <v>274.08012608187823</v>
      </c>
      <c r="V190" s="29">
        <f t="shared" ref="V190:W190" si="21">V189</f>
        <v>1.4061676156974006</v>
      </c>
      <c r="W190" s="29">
        <f t="shared" si="21"/>
        <v>30.526012027808346</v>
      </c>
      <c r="X190" s="29" t="e">
        <f ca="1">[1]!T_DIST_2T(V190,W190)</f>
        <v>#NAME?</v>
      </c>
      <c r="Y190" s="29" t="e">
        <f ca="1">[1]!T_INV_2T(Y187,W190)</f>
        <v>#NAME?</v>
      </c>
      <c r="Z190" s="29" t="e">
        <f ca="1">(V178-V179)-Y190*U190</f>
        <v>#NAME?</v>
      </c>
      <c r="AA190" s="29" t="e">
        <f ca="1">(V178-V179)+Y190*U190</f>
        <v>#NAME?</v>
      </c>
      <c r="AB190" s="183" t="e">
        <f ca="1">IF(X190&lt;Y187,"yes","no")</f>
        <v>#NAME?</v>
      </c>
      <c r="AC190" s="29">
        <f>AC189</f>
        <v>0.24664552150466848</v>
      </c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</row>
    <row r="191" spans="1:44" x14ac:dyDescent="0.3"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</row>
    <row r="192" spans="1:44" x14ac:dyDescent="0.3">
      <c r="AD192" s="227" t="s">
        <v>97</v>
      </c>
      <c r="AE192" s="358" t="s">
        <v>465</v>
      </c>
      <c r="AF192" s="358"/>
      <c r="AG192" s="358"/>
      <c r="AH192" s="358"/>
      <c r="AI192" s="358"/>
      <c r="AJ192" s="358"/>
      <c r="AK192" s="358"/>
      <c r="AL192" s="358"/>
      <c r="AM192" s="358"/>
      <c r="AN192" s="358"/>
      <c r="AO192" s="358"/>
      <c r="AP192" s="358"/>
      <c r="AQ192" s="358"/>
      <c r="AR192" s="358"/>
    </row>
    <row r="193" spans="31:44" x14ac:dyDescent="0.3">
      <c r="AE193" s="29" t="s">
        <v>436</v>
      </c>
      <c r="AF193" s="29" t="s">
        <v>388</v>
      </c>
      <c r="AG193" s="6">
        <f>AVERAGE('stable LTP'!$Q$4:$Q$92)</f>
        <v>1409.0847457627119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</row>
    <row r="194" spans="31:44" x14ac:dyDescent="0.3">
      <c r="AE194" s="29" t="s">
        <v>307</v>
      </c>
      <c r="AF194" s="29" t="s">
        <v>389</v>
      </c>
      <c r="AG194" s="6">
        <f>STDEV('stable LTP'!$Q$4:$Q$92)</f>
        <v>362.62583015324611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</row>
    <row r="195" spans="31:44" x14ac:dyDescent="0.3">
      <c r="AE195" s="29"/>
      <c r="AF195" s="29" t="s">
        <v>200</v>
      </c>
      <c r="AG195" s="22">
        <f>COUNT('stable LTP'!$Q$4:$Q$92)</f>
        <v>59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</row>
    <row r="196" spans="31:44" x14ac:dyDescent="0.3">
      <c r="AE196" s="29"/>
      <c r="AF196" s="29" t="s">
        <v>174</v>
      </c>
      <c r="AG196" s="6">
        <f>MIN('stable LTP'!$Q$4:$Q$92)</f>
        <v>965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</row>
    <row r="197" spans="31:44" x14ac:dyDescent="0.3">
      <c r="AE197" s="29"/>
      <c r="AF197" s="29" t="s">
        <v>175</v>
      </c>
      <c r="AG197" s="6">
        <f>MAX('stable LTP'!$Q$4:$Q$92)</f>
        <v>2477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</row>
    <row r="198" spans="31:44" x14ac:dyDescent="0.3">
      <c r="AE198" s="29"/>
      <c r="AF198" s="29" t="s">
        <v>442</v>
      </c>
      <c r="AG198" s="6">
        <f>DEVSQ('stable LTP'!$Q$4:$Q$92)</f>
        <v>7626854.5762711857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</row>
    <row r="199" spans="31:44" x14ac:dyDescent="0.3"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</row>
    <row r="200" spans="31:44" x14ac:dyDescent="0.3"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</row>
    <row r="201" spans="31:44" x14ac:dyDescent="0.3"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</row>
    <row r="202" spans="31:44" x14ac:dyDescent="0.3"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</row>
    <row r="203" spans="31:44" x14ac:dyDescent="0.3"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</row>
    <row r="204" spans="31:44" x14ac:dyDescent="0.3"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</row>
    <row r="205" spans="31:44" x14ac:dyDescent="0.3"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</row>
    <row r="206" spans="31:44" x14ac:dyDescent="0.3"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</row>
    <row r="207" spans="31:44" x14ac:dyDescent="0.3"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</row>
    <row r="208" spans="31:44" x14ac:dyDescent="0.3"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</row>
    <row r="209" spans="30:44" x14ac:dyDescent="0.3"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</row>
    <row r="210" spans="30:44" x14ac:dyDescent="0.3"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</row>
    <row r="211" spans="30:44" x14ac:dyDescent="0.3">
      <c r="AD211" s="227" t="s">
        <v>420</v>
      </c>
      <c r="AE211" s="358" t="s">
        <v>466</v>
      </c>
      <c r="AF211" s="358"/>
      <c r="AG211" s="358"/>
      <c r="AH211" s="358"/>
      <c r="AI211" s="358"/>
      <c r="AJ211" s="358"/>
      <c r="AK211" s="358"/>
      <c r="AL211" s="358"/>
      <c r="AM211" s="358"/>
      <c r="AN211" s="358"/>
      <c r="AO211" s="358"/>
      <c r="AP211" s="358"/>
      <c r="AQ211" s="358"/>
      <c r="AR211" s="358"/>
    </row>
    <row r="212" spans="30:44" x14ac:dyDescent="0.3">
      <c r="AE212" s="29" t="s">
        <v>436</v>
      </c>
      <c r="AF212" s="29" t="s">
        <v>388</v>
      </c>
      <c r="AG212" s="6">
        <f>AVERAGE('stable LTP'!$K$4:$K$92)</f>
        <v>3.5</v>
      </c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</row>
    <row r="213" spans="30:44" x14ac:dyDescent="0.3">
      <c r="AE213" s="29" t="s">
        <v>307</v>
      </c>
      <c r="AF213" s="29" t="s">
        <v>389</v>
      </c>
      <c r="AG213" s="6">
        <f>STDEV('stable LTP'!$K$4:$K$92)</f>
        <v>0</v>
      </c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</row>
    <row r="214" spans="30:44" x14ac:dyDescent="0.3">
      <c r="AE214" s="29"/>
      <c r="AF214" s="29" t="s">
        <v>200</v>
      </c>
      <c r="AG214" s="22">
        <f>COUNT('stable LTP'!$K$4:$K$92)</f>
        <v>59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</row>
    <row r="215" spans="30:44" x14ac:dyDescent="0.3">
      <c r="AE215" s="29"/>
      <c r="AF215" s="29" t="s">
        <v>174</v>
      </c>
      <c r="AG215" s="6">
        <f>MIN('stable LTP'!$K$4:$K$92)</f>
        <v>3.5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</row>
    <row r="216" spans="30:44" x14ac:dyDescent="0.3">
      <c r="AE216" s="29"/>
      <c r="AF216" s="29" t="s">
        <v>175</v>
      </c>
      <c r="AG216" s="6">
        <f>MAX('stable LTP'!$K$4:$K$92)</f>
        <v>3.5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</row>
    <row r="217" spans="30:44" x14ac:dyDescent="0.3">
      <c r="AE217" s="29"/>
      <c r="AF217" s="29" t="s">
        <v>442</v>
      </c>
      <c r="AG217" s="6">
        <f>DEVSQ('stable LTP'!$K$4:$K$92)</f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</row>
    <row r="218" spans="30:44" x14ac:dyDescent="0.3"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</row>
    <row r="219" spans="30:44" x14ac:dyDescent="0.3"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</row>
    <row r="220" spans="30:44" x14ac:dyDescent="0.3"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</row>
    <row r="221" spans="30:44" x14ac:dyDescent="0.3"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</row>
    <row r="222" spans="30:44" x14ac:dyDescent="0.3"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</row>
    <row r="223" spans="30:44" x14ac:dyDescent="0.3"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</row>
    <row r="224" spans="30:44" x14ac:dyDescent="0.3"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</row>
    <row r="225" spans="30:44" x14ac:dyDescent="0.3"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</row>
    <row r="226" spans="30:44" x14ac:dyDescent="0.3"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</row>
    <row r="227" spans="30:44" x14ac:dyDescent="0.3"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</row>
    <row r="228" spans="30:44" x14ac:dyDescent="0.3"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</row>
    <row r="229" spans="30:44" x14ac:dyDescent="0.3"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</row>
    <row r="230" spans="30:44" x14ac:dyDescent="0.3">
      <c r="AD230" s="227" t="s">
        <v>92</v>
      </c>
      <c r="AE230" s="358" t="s">
        <v>467</v>
      </c>
      <c r="AF230" s="358"/>
      <c r="AG230" s="358"/>
      <c r="AH230" s="358"/>
      <c r="AI230" s="358"/>
      <c r="AJ230" s="358"/>
      <c r="AK230" s="358"/>
      <c r="AL230" s="358"/>
      <c r="AM230" s="358"/>
      <c r="AN230" s="358"/>
      <c r="AO230" s="358"/>
      <c r="AP230" s="358"/>
      <c r="AQ230" s="358"/>
      <c r="AR230" s="358"/>
    </row>
    <row r="231" spans="30:44" x14ac:dyDescent="0.3">
      <c r="AE231" s="29" t="s">
        <v>436</v>
      </c>
      <c r="AF231" s="29" t="s">
        <v>388</v>
      </c>
      <c r="AG231" s="6">
        <f>AVERAGE('stable LTP'!$J$4:$J$92)</f>
        <v>7.4738983050847443</v>
      </c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</row>
    <row r="232" spans="30:44" x14ac:dyDescent="0.3">
      <c r="AE232" s="29" t="s">
        <v>307</v>
      </c>
      <c r="AF232" s="29" t="s">
        <v>389</v>
      </c>
      <c r="AG232" s="6">
        <f>STDEV('stable LTP'!$J$4:$J$92)</f>
        <v>0.23852287499028155</v>
      </c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</row>
    <row r="233" spans="30:44" x14ac:dyDescent="0.3">
      <c r="AE233" s="29"/>
      <c r="AF233" s="29" t="s">
        <v>200</v>
      </c>
      <c r="AG233" s="22">
        <f>COUNT('stable LTP'!$J$4:$J$92)</f>
        <v>59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</row>
    <row r="234" spans="30:44" x14ac:dyDescent="0.3">
      <c r="AE234" s="29"/>
      <c r="AF234" s="29" t="s">
        <v>174</v>
      </c>
      <c r="AG234" s="6">
        <f>MIN('stable LTP'!$J$4:$J$92)</f>
        <v>6.96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</row>
    <row r="235" spans="30:44" x14ac:dyDescent="0.3">
      <c r="AE235" s="29"/>
      <c r="AF235" s="29" t="s">
        <v>175</v>
      </c>
      <c r="AG235" s="6">
        <f>MAX('stable LTP'!$J$4:$J$92)</f>
        <v>8.02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</row>
    <row r="236" spans="30:44" x14ac:dyDescent="0.3">
      <c r="AE236" s="29"/>
      <c r="AF236" s="29" t="s">
        <v>442</v>
      </c>
      <c r="AG236" s="6">
        <f>DEVSQ('stable LTP'!$J$4:$J$92)</f>
        <v>3.2998033898305095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</row>
    <row r="237" spans="30:44" x14ac:dyDescent="0.3"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</row>
    <row r="238" spans="30:44" x14ac:dyDescent="0.3"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</row>
    <row r="239" spans="30:44" x14ac:dyDescent="0.3"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</row>
    <row r="240" spans="30:44" x14ac:dyDescent="0.3"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</row>
    <row r="241" spans="30:44" x14ac:dyDescent="0.3"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</row>
    <row r="242" spans="30:44" x14ac:dyDescent="0.3"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</row>
    <row r="243" spans="30:44" x14ac:dyDescent="0.3"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</row>
    <row r="244" spans="30:44" x14ac:dyDescent="0.3"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</row>
    <row r="245" spans="30:44" x14ac:dyDescent="0.3"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</row>
    <row r="246" spans="30:44" x14ac:dyDescent="0.3"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</row>
    <row r="247" spans="30:44" x14ac:dyDescent="0.3"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</row>
    <row r="248" spans="30:44" x14ac:dyDescent="0.3"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</row>
    <row r="249" spans="30:44" x14ac:dyDescent="0.3">
      <c r="AD249" s="227" t="s">
        <v>488</v>
      </c>
      <c r="AE249" s="358" t="s">
        <v>472</v>
      </c>
      <c r="AF249" s="358"/>
      <c r="AG249" s="358"/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</row>
    <row r="250" spans="30:44" x14ac:dyDescent="0.3">
      <c r="AE250" s="29" t="s">
        <v>436</v>
      </c>
      <c r="AF250" s="29" t="s">
        <v>388</v>
      </c>
      <c r="AG250" s="6">
        <f>AVERAGE('stable LTP'!$AF$4:$AF$92)</f>
        <v>0.24490952622678505</v>
      </c>
      <c r="AH250" s="29">
        <f>AG250*1000</f>
        <v>244.90952622678506</v>
      </c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</row>
    <row r="251" spans="30:44" x14ac:dyDescent="0.3">
      <c r="AE251" s="29" t="s">
        <v>307</v>
      </c>
      <c r="AF251" s="29" t="s">
        <v>389</v>
      </c>
      <c r="AG251" s="6">
        <f>STDEV('stable LTP'!$AF$4:$AF$92)</f>
        <v>0.13328751387899571</v>
      </c>
      <c r="AH251" s="29">
        <f t="shared" ref="AH251:AH255" si="22">AG251*1000</f>
        <v>133.2875138789957</v>
      </c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</row>
    <row r="252" spans="30:44" x14ac:dyDescent="0.3">
      <c r="AE252" s="29"/>
      <c r="AF252" s="29" t="s">
        <v>200</v>
      </c>
      <c r="AG252" s="22">
        <f>COUNT('stable LTP'!$AF$4:$AF$92)</f>
        <v>51</v>
      </c>
      <c r="AH252" s="29">
        <f t="shared" si="22"/>
        <v>51000</v>
      </c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</row>
    <row r="253" spans="30:44" x14ac:dyDescent="0.3">
      <c r="AE253" s="29"/>
      <c r="AF253" s="29" t="s">
        <v>174</v>
      </c>
      <c r="AG253" s="6">
        <f>MIN('stable LTP'!$AF$4:$AF$92)</f>
        <v>7.4416211990050831E-3</v>
      </c>
      <c r="AH253" s="29">
        <f t="shared" si="22"/>
        <v>7.4416211990050831</v>
      </c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</row>
    <row r="254" spans="30:44" x14ac:dyDescent="0.3">
      <c r="AE254" s="29"/>
      <c r="AF254" s="29" t="s">
        <v>175</v>
      </c>
      <c r="AG254" s="6">
        <f>MAX('stable LTP'!$AF$4:$AF$92)</f>
        <v>0.55179885949821006</v>
      </c>
      <c r="AH254" s="29">
        <f t="shared" si="22"/>
        <v>551.79885949821005</v>
      </c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</row>
    <row r="255" spans="30:44" x14ac:dyDescent="0.3">
      <c r="AE255" s="29"/>
      <c r="AF255" s="29" t="s">
        <v>442</v>
      </c>
      <c r="AG255" s="6">
        <f>DEVSQ('stable LTP'!$AF$4:$AF$92)</f>
        <v>0.88827806780217244</v>
      </c>
      <c r="AH255" s="29">
        <f t="shared" si="22"/>
        <v>888.27806780217247</v>
      </c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</row>
    <row r="256" spans="30:44" x14ac:dyDescent="0.3"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</row>
    <row r="257" spans="30:44" x14ac:dyDescent="0.3"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</row>
    <row r="258" spans="30:44" x14ac:dyDescent="0.3"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</row>
    <row r="259" spans="30:44" x14ac:dyDescent="0.3"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</row>
    <row r="260" spans="30:44" x14ac:dyDescent="0.3"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</row>
    <row r="261" spans="30:44" x14ac:dyDescent="0.3"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</row>
    <row r="262" spans="30:44" x14ac:dyDescent="0.3"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</row>
    <row r="263" spans="30:44" x14ac:dyDescent="0.3"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</row>
    <row r="264" spans="30:44" x14ac:dyDescent="0.3"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</row>
    <row r="265" spans="30:44" x14ac:dyDescent="0.3"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</row>
    <row r="266" spans="30:44" x14ac:dyDescent="0.3"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</row>
    <row r="267" spans="30:44" x14ac:dyDescent="0.3"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</row>
    <row r="268" spans="30:44" x14ac:dyDescent="0.3">
      <c r="AD268" s="227" t="s">
        <v>479</v>
      </c>
      <c r="AE268" s="358" t="s">
        <v>471</v>
      </c>
      <c r="AF268" s="358"/>
      <c r="AG268" s="358"/>
      <c r="AH268" s="358"/>
      <c r="AI268" s="358"/>
      <c r="AJ268" s="358"/>
      <c r="AK268" s="358"/>
      <c r="AL268" s="358"/>
      <c r="AM268" s="358"/>
      <c r="AN268" s="358"/>
      <c r="AO268" s="358"/>
      <c r="AP268" s="358"/>
      <c r="AQ268" s="358"/>
      <c r="AR268" s="358"/>
    </row>
    <row r="269" spans="30:44" x14ac:dyDescent="0.3">
      <c r="AE269" s="29" t="s">
        <v>436</v>
      </c>
      <c r="AF269" s="29" t="s">
        <v>388</v>
      </c>
      <c r="AG269" s="6">
        <f>AVERAGE('stable LTP'!$AG$4:$AG$92)</f>
        <v>2.9373342595074674</v>
      </c>
    </row>
    <row r="270" spans="30:44" x14ac:dyDescent="0.3">
      <c r="AE270" s="29" t="s">
        <v>307</v>
      </c>
      <c r="AF270" s="29" t="s">
        <v>389</v>
      </c>
      <c r="AG270" s="6">
        <f>STDEV('stable LTP'!$AG$4:$AG$92)</f>
        <v>2.0215406999535084</v>
      </c>
    </row>
    <row r="271" spans="30:44" x14ac:dyDescent="0.3">
      <c r="AE271" s="29"/>
      <c r="AF271" s="29" t="s">
        <v>200</v>
      </c>
      <c r="AG271" s="22">
        <f>COUNT('stable LTP'!$AG$4:$AG$92)</f>
        <v>51</v>
      </c>
    </row>
    <row r="272" spans="30:44" x14ac:dyDescent="0.3">
      <c r="AE272" s="29"/>
      <c r="AF272" s="29" t="s">
        <v>174</v>
      </c>
      <c r="AG272" s="6">
        <f>MIN('stable LTP'!$AG$4:$AG$92)</f>
        <v>0.46264368111937387</v>
      </c>
    </row>
    <row r="273" spans="30:44" x14ac:dyDescent="0.3">
      <c r="AE273" s="29"/>
      <c r="AF273" s="29" t="s">
        <v>175</v>
      </c>
      <c r="AG273" s="6">
        <f>MAX('stable LTP'!$AG$4:$AG$92)</f>
        <v>9.5807107343765612</v>
      </c>
    </row>
    <row r="274" spans="30:44" x14ac:dyDescent="0.3">
      <c r="AE274" s="29"/>
      <c r="AF274" s="29" t="s">
        <v>442</v>
      </c>
      <c r="AG274" s="6">
        <f>DEVSQ('stable LTP'!$AG$4:$AG$92)</f>
        <v>204.33134007842608</v>
      </c>
    </row>
    <row r="279" spans="30:44" x14ac:dyDescent="0.3">
      <c r="AD279" s="227" t="s">
        <v>489</v>
      </c>
      <c r="AE279" s="358" t="s">
        <v>522</v>
      </c>
      <c r="AF279" s="358"/>
      <c r="AG279" s="358"/>
      <c r="AH279" s="358"/>
      <c r="AI279" s="358"/>
      <c r="AJ279" s="358"/>
      <c r="AK279" s="358"/>
      <c r="AL279" s="358"/>
      <c r="AM279" s="358"/>
      <c r="AN279" s="358"/>
      <c r="AO279" s="358"/>
      <c r="AP279" s="358"/>
      <c r="AQ279" s="358"/>
      <c r="AR279" s="358"/>
    </row>
    <row r="280" spans="30:44" x14ac:dyDescent="0.3">
      <c r="AE280" s="29" t="s">
        <v>436</v>
      </c>
      <c r="AF280" s="29" t="s">
        <v>388</v>
      </c>
      <c r="AG280" s="6">
        <f>AVERAGE('stable LTP'!$AL$4:$AL$92)</f>
        <v>6.1279370934701934E-2</v>
      </c>
    </row>
    <row r="281" spans="30:44" x14ac:dyDescent="0.3">
      <c r="AE281" s="29" t="s">
        <v>307</v>
      </c>
      <c r="AF281" s="29" t="s">
        <v>389</v>
      </c>
      <c r="AG281" s="6">
        <f>STDEV('stable LTP'!$AL$4:$AL$92)</f>
        <v>4.6077929977697003E-2</v>
      </c>
    </row>
    <row r="282" spans="30:44" x14ac:dyDescent="0.3">
      <c r="AE282" s="29"/>
      <c r="AF282" s="29" t="s">
        <v>200</v>
      </c>
      <c r="AG282" s="22">
        <f>COUNT('stable LTP'!$AL$4:$AL$92)</f>
        <v>47</v>
      </c>
    </row>
    <row r="283" spans="30:44" x14ac:dyDescent="0.3">
      <c r="AE283" s="29"/>
      <c r="AF283" s="29" t="s">
        <v>174</v>
      </c>
      <c r="AG283" s="6">
        <f>MIN('stable LTP'!$AL$4:$AL$92)</f>
        <v>3.1585488693240578E-3</v>
      </c>
    </row>
    <row r="284" spans="30:44" x14ac:dyDescent="0.3">
      <c r="AE284" s="29"/>
      <c r="AF284" s="29" t="s">
        <v>175</v>
      </c>
      <c r="AG284" s="6">
        <f>MAX('stable LTP'!$AL$4:$AL$92)</f>
        <v>0.227293960324077</v>
      </c>
    </row>
    <row r="285" spans="30:44" x14ac:dyDescent="0.3">
      <c r="AE285" s="29"/>
      <c r="AF285" s="29" t="s">
        <v>442</v>
      </c>
      <c r="AG285" s="6">
        <f>DEVSQ('stable LTP'!$AL$4:$AL$92)</f>
        <v>9.7666079027359118E-2</v>
      </c>
    </row>
    <row r="290" spans="30:44" x14ac:dyDescent="0.3">
      <c r="AD290" s="227" t="s">
        <v>427</v>
      </c>
      <c r="AE290" s="358" t="s">
        <v>523</v>
      </c>
      <c r="AF290" s="358"/>
      <c r="AG290" s="358"/>
      <c r="AH290" s="358"/>
      <c r="AI290" s="358"/>
      <c r="AJ290" s="358"/>
      <c r="AK290" s="358"/>
      <c r="AL290" s="358"/>
      <c r="AM290" s="358"/>
      <c r="AN290" s="358"/>
      <c r="AO290" s="358"/>
      <c r="AP290" s="358"/>
      <c r="AQ290" s="358"/>
      <c r="AR290" s="358"/>
    </row>
    <row r="291" spans="30:44" x14ac:dyDescent="0.3">
      <c r="AE291" s="29" t="s">
        <v>436</v>
      </c>
      <c r="AF291" s="29" t="s">
        <v>388</v>
      </c>
      <c r="AG291" s="6">
        <f>AVERAGE('stable LTP'!$T$4:$T$92)</f>
        <v>4294.666666666667</v>
      </c>
    </row>
    <row r="292" spans="30:44" x14ac:dyDescent="0.3">
      <c r="AE292" s="29" t="s">
        <v>307</v>
      </c>
      <c r="AF292" s="29" t="s">
        <v>389</v>
      </c>
      <c r="AG292" s="6">
        <f>STDEV('stable LTP'!$T$4:$T$92)</f>
        <v>865.91899984104418</v>
      </c>
    </row>
    <row r="293" spans="30:44" x14ac:dyDescent="0.3">
      <c r="AE293" s="29"/>
      <c r="AF293" s="29" t="s">
        <v>200</v>
      </c>
      <c r="AG293" s="22">
        <f>COUNT('stable LTP'!$T$4:$T$92)</f>
        <v>36</v>
      </c>
    </row>
    <row r="294" spans="30:44" x14ac:dyDescent="0.3">
      <c r="AE294" s="29"/>
      <c r="AF294" s="29" t="s">
        <v>174</v>
      </c>
      <c r="AG294" s="6">
        <f>MIN('stable LTP'!$T$4:$T$92)</f>
        <v>2460</v>
      </c>
    </row>
    <row r="295" spans="30:44" x14ac:dyDescent="0.3">
      <c r="AE295" s="29"/>
      <c r="AF295" s="29" t="s">
        <v>175</v>
      </c>
      <c r="AG295" s="6">
        <f>MAX('stable LTP'!$T$4:$T$92)</f>
        <v>6600</v>
      </c>
    </row>
    <row r="296" spans="30:44" x14ac:dyDescent="0.3">
      <c r="AE296" s="29"/>
      <c r="AF296" s="29" t="s">
        <v>442</v>
      </c>
      <c r="AG296" s="6">
        <f>DEVSQ('stable LTP'!$T$4:$T$92)</f>
        <v>26243550.000000004</v>
      </c>
    </row>
    <row r="300" spans="30:44" x14ac:dyDescent="0.3">
      <c r="AD300" s="227" t="s">
        <v>587</v>
      </c>
      <c r="AE300" s="358" t="s">
        <v>584</v>
      </c>
      <c r="AF300" s="358"/>
      <c r="AG300" s="358"/>
      <c r="AH300" s="358"/>
      <c r="AI300" s="358"/>
      <c r="AJ300" s="358"/>
      <c r="AK300" s="358"/>
      <c r="AL300" s="358"/>
      <c r="AM300" s="358"/>
      <c r="AN300" s="358"/>
      <c r="AO300" s="358"/>
      <c r="AP300" s="358"/>
      <c r="AQ300" s="358"/>
      <c r="AR300" s="358"/>
    </row>
    <row r="301" spans="30:44" x14ac:dyDescent="0.3">
      <c r="AE301" s="29" t="s">
        <v>436</v>
      </c>
      <c r="AF301" s="29" t="s">
        <v>388</v>
      </c>
      <c r="AG301" s="6">
        <f>AVERAGE('stable LTP'!$AJ$4:$AJ$92)</f>
        <v>0.26388229008516839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</row>
    <row r="302" spans="30:44" x14ac:dyDescent="0.3">
      <c r="AE302" s="29" t="s">
        <v>307</v>
      </c>
      <c r="AF302" s="29" t="s">
        <v>389</v>
      </c>
      <c r="AG302" s="6">
        <f>STDEV('stable LTP'!$AJ$4:$AJ$92)</f>
        <v>0.11594650335897601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</row>
    <row r="303" spans="30:44" x14ac:dyDescent="0.3">
      <c r="AE303" s="29"/>
      <c r="AF303" s="29" t="s">
        <v>200</v>
      </c>
      <c r="AG303" s="22">
        <f>COUNT('stable LTP'!$AJ$4:$AJ$92)</f>
        <v>59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</row>
    <row r="304" spans="30:44" x14ac:dyDescent="0.3">
      <c r="AE304" s="29"/>
      <c r="AF304" s="29" t="s">
        <v>174</v>
      </c>
      <c r="AG304" s="6">
        <f>MIN('stable LTP'!$AJ$4:$AJ$92)</f>
        <v>1.8140140140140138E-2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</row>
    <row r="305" spans="30:44" x14ac:dyDescent="0.3">
      <c r="AE305" s="29"/>
      <c r="AF305" s="29" t="s">
        <v>175</v>
      </c>
      <c r="AG305" s="6">
        <f>MAX('stable LTP'!$AJ$4:$AJ$92)</f>
        <v>0.7275478938397858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</row>
    <row r="306" spans="30:44" x14ac:dyDescent="0.3">
      <c r="AE306" s="29"/>
      <c r="AF306" s="29" t="s">
        <v>442</v>
      </c>
      <c r="AG306" s="6">
        <f>DEVSQ('stable LTP'!$AJ$4:$AJ$92)</f>
        <v>0.77972831518803465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</row>
    <row r="310" spans="30:44" x14ac:dyDescent="0.3">
      <c r="AD310" s="227" t="s">
        <v>490</v>
      </c>
      <c r="AE310" s="358" t="s">
        <v>583</v>
      </c>
      <c r="AF310" s="358"/>
      <c r="AG310" s="358"/>
      <c r="AH310" s="358"/>
      <c r="AI310" s="358"/>
      <c r="AJ310" s="358"/>
      <c r="AK310" s="358"/>
      <c r="AL310" s="358"/>
      <c r="AM310" s="358"/>
      <c r="AN310" s="358"/>
      <c r="AO310" s="358"/>
      <c r="AP310" s="358"/>
      <c r="AQ310" s="358"/>
      <c r="AR310" s="358"/>
    </row>
    <row r="311" spans="30:44" x14ac:dyDescent="0.3">
      <c r="AE311" s="29" t="s">
        <v>436</v>
      </c>
      <c r="AF311" s="29" t="s">
        <v>388</v>
      </c>
      <c r="AG311" s="89">
        <f>AVERAGE('stable LTP'!$AN$4:$AN$92)</f>
        <v>0.21195029883788899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</row>
    <row r="312" spans="30:44" x14ac:dyDescent="0.3">
      <c r="AE312" s="29" t="s">
        <v>307</v>
      </c>
      <c r="AF312" s="29" t="s">
        <v>389</v>
      </c>
      <c r="AG312" s="89">
        <f>STDEV('stable LTP'!$AN$4:$AN$92)</f>
        <v>0.15558867127365503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</row>
    <row r="313" spans="30:44" x14ac:dyDescent="0.3">
      <c r="AE313" s="29"/>
      <c r="AF313" s="29" t="s">
        <v>200</v>
      </c>
      <c r="AG313" s="89">
        <f>COUNT('stable LTP'!$AN$4:$AN$92)</f>
        <v>47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</row>
    <row r="314" spans="30:44" x14ac:dyDescent="0.3">
      <c r="AE314" s="29"/>
      <c r="AF314" s="29" t="s">
        <v>174</v>
      </c>
      <c r="AG314" s="89">
        <f>MIN('stable LTP'!$AN$4:$AN$92)</f>
        <v>4.7379168354259371E-2</v>
      </c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</row>
    <row r="315" spans="30:44" x14ac:dyDescent="0.3">
      <c r="AE315" s="29"/>
      <c r="AF315" s="29" t="s">
        <v>175</v>
      </c>
      <c r="AG315" s="89">
        <f>MAX('stable LTP'!$AN$4:$AN$92)</f>
        <v>0.86217409088433605</v>
      </c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</row>
    <row r="316" spans="30:44" x14ac:dyDescent="0.3">
      <c r="AE316" s="29"/>
      <c r="AF316" s="29" t="s">
        <v>442</v>
      </c>
      <c r="AG316" s="89">
        <f>DEVSQ('stable LTP'!$AN$4:$AN$92)</f>
        <v>1.1135603929202678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</row>
    <row r="318" spans="30:44" x14ac:dyDescent="0.3">
      <c r="AD318" s="227" t="s">
        <v>585</v>
      </c>
      <c r="AE318" s="358" t="s">
        <v>607</v>
      </c>
      <c r="AF318" s="358"/>
      <c r="AG318" s="358"/>
      <c r="AH318" s="358"/>
      <c r="AI318" s="358"/>
      <c r="AJ318" s="358"/>
      <c r="AK318" s="358"/>
      <c r="AL318" s="358"/>
      <c r="AM318" s="358"/>
      <c r="AN318" s="358"/>
      <c r="AO318" s="358"/>
      <c r="AP318" s="358"/>
      <c r="AQ318" s="358"/>
      <c r="AR318" s="358"/>
    </row>
    <row r="319" spans="30:44" x14ac:dyDescent="0.3">
      <c r="AE319" s="29" t="s">
        <v>436</v>
      </c>
      <c r="AF319" s="29" t="s">
        <v>388</v>
      </c>
      <c r="AG319" s="89">
        <f>AVERAGE('stable LTP'!$AM$4:$AM$92)</f>
        <v>0.91235096667657256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</row>
    <row r="320" spans="30:44" x14ac:dyDescent="0.3">
      <c r="AE320" s="29" t="s">
        <v>307</v>
      </c>
      <c r="AF320" s="29" t="s">
        <v>389</v>
      </c>
      <c r="AG320" s="89">
        <f>STDEV('stable LTP'!$AM$4:$AM$92)</f>
        <v>5.2366224836488624E-2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</row>
    <row r="321" spans="31:44" x14ac:dyDescent="0.3">
      <c r="AE321" s="29"/>
      <c r="AF321" s="29" t="s">
        <v>200</v>
      </c>
      <c r="AG321" s="89">
        <f>COUNT('stable LTP'!$AM$4:$AM$92)</f>
        <v>59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</row>
    <row r="322" spans="31:44" x14ac:dyDescent="0.3">
      <c r="AE322" s="29"/>
      <c r="AF322" s="29" t="s">
        <v>174</v>
      </c>
      <c r="AG322" s="89">
        <f>MIN('stable LTP'!$AM$4:$AM$92)</f>
        <v>0.70698256314019869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</row>
    <row r="323" spans="31:44" x14ac:dyDescent="0.3">
      <c r="AE323" s="29"/>
      <c r="AF323" s="29" t="s">
        <v>175</v>
      </c>
      <c r="AG323" s="89">
        <f>MAX('stable LTP'!$AM$4:$AM$92)</f>
        <v>0.98811265832743289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spans="31:44" x14ac:dyDescent="0.3">
      <c r="AE324" s="29"/>
      <c r="AF324" s="29" t="s">
        <v>442</v>
      </c>
      <c r="AG324" s="89">
        <f>DEVSQ('stable LTP'!$AM$4:$AM$92)</f>
        <v>0.15904884721028933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</sheetData>
  <mergeCells count="34">
    <mergeCell ref="AE318:AR318"/>
    <mergeCell ref="AE300:AR300"/>
    <mergeCell ref="AE310:AR310"/>
    <mergeCell ref="AE97:AR97"/>
    <mergeCell ref="AE116:AR116"/>
    <mergeCell ref="AE135:AR135"/>
    <mergeCell ref="AE154:AR154"/>
    <mergeCell ref="AE268:AR268"/>
    <mergeCell ref="AE173:AR173"/>
    <mergeCell ref="AE192:AR192"/>
    <mergeCell ref="AE211:AR211"/>
    <mergeCell ref="AE230:AR230"/>
    <mergeCell ref="AE249:AR249"/>
    <mergeCell ref="AE279:AR279"/>
    <mergeCell ref="AE290:AR290"/>
    <mergeCell ref="A1:N1"/>
    <mergeCell ref="P1:AC1"/>
    <mergeCell ref="A2:N2"/>
    <mergeCell ref="P2:AC2"/>
    <mergeCell ref="P21:AC21"/>
    <mergeCell ref="AE1:AR1"/>
    <mergeCell ref="P173:AC173"/>
    <mergeCell ref="P59:AC59"/>
    <mergeCell ref="P78:AC78"/>
    <mergeCell ref="P97:AC97"/>
    <mergeCell ref="P116:AC116"/>
    <mergeCell ref="P135:AC135"/>
    <mergeCell ref="P154:AC154"/>
    <mergeCell ref="P40:AC40"/>
    <mergeCell ref="AE2:AR2"/>
    <mergeCell ref="AE21:AR21"/>
    <mergeCell ref="AE40:AR40"/>
    <mergeCell ref="AE59:AR59"/>
    <mergeCell ref="AE78:AR7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844-155B-4A78-85E5-2FB06B3CDFA9}">
  <sheetPr>
    <tabColor theme="5" tint="0.59999389629810485"/>
  </sheetPr>
  <dimension ref="A1:K67"/>
  <sheetViews>
    <sheetView workbookViewId="0">
      <selection activeCell="J6" sqref="J6"/>
    </sheetView>
  </sheetViews>
  <sheetFormatPr defaultRowHeight="14.4" x14ac:dyDescent="0.3"/>
  <cols>
    <col min="1" max="1" width="9.77734375" customWidth="1"/>
    <col min="2" max="2" width="10.21875" customWidth="1"/>
  </cols>
  <sheetData>
    <row r="1" spans="1:11" x14ac:dyDescent="0.3">
      <c r="A1" t="s">
        <v>617</v>
      </c>
      <c r="B1" t="s">
        <v>616</v>
      </c>
      <c r="C1" t="s">
        <v>618</v>
      </c>
      <c r="E1" t="s">
        <v>617</v>
      </c>
      <c r="F1" t="s">
        <v>616</v>
      </c>
      <c r="G1" t="s">
        <v>618</v>
      </c>
      <c r="I1" t="s">
        <v>620</v>
      </c>
      <c r="J1" t="s">
        <v>621</v>
      </c>
      <c r="K1" t="s">
        <v>622</v>
      </c>
    </row>
    <row r="2" spans="1:11" x14ac:dyDescent="0.3">
      <c r="A2">
        <v>190.44200000000001</v>
      </c>
      <c r="B2">
        <v>324.3420000000001</v>
      </c>
      <c r="C2">
        <v>-2838.2999999999997</v>
      </c>
      <c r="E2">
        <v>116.32929999999999</v>
      </c>
      <c r="F2">
        <v>-572.20299999999997</v>
      </c>
      <c r="G2">
        <v>-2838.2999999999997</v>
      </c>
      <c r="I2">
        <f>COUNTIF(E2:E45,"&lt;=0")</f>
        <v>0</v>
      </c>
      <c r="J2" s="29">
        <f t="shared" ref="J2:K2" si="0">COUNTIF(F2:F45,"&lt;=0")</f>
        <v>4</v>
      </c>
      <c r="K2" s="29">
        <f t="shared" si="0"/>
        <v>20</v>
      </c>
    </row>
    <row r="3" spans="1:11" x14ac:dyDescent="0.3">
      <c r="A3">
        <v>339.01259999999996</v>
      </c>
      <c r="C3">
        <v>-1624.5749999999998</v>
      </c>
      <c r="E3">
        <v>123.58439999999996</v>
      </c>
      <c r="F3">
        <v>-490.1550000000002</v>
      </c>
      <c r="G3">
        <v>-1624.5749999999998</v>
      </c>
      <c r="I3" t="s">
        <v>619</v>
      </c>
    </row>
    <row r="4" spans="1:11" x14ac:dyDescent="0.3">
      <c r="A4">
        <v>423.78740000000005</v>
      </c>
      <c r="C4">
        <v>-907.24600000000009</v>
      </c>
      <c r="E4">
        <v>190.44200000000001</v>
      </c>
      <c r="F4">
        <v>-127.37799999999993</v>
      </c>
      <c r="G4">
        <v>-907.24600000000009</v>
      </c>
      <c r="I4">
        <f>COUNT(E2:E91)</f>
        <v>44</v>
      </c>
      <c r="J4" s="29">
        <f t="shared" ref="J4:K4" si="1">COUNT(F2:F91)</f>
        <v>50</v>
      </c>
      <c r="K4" s="29">
        <f t="shared" si="1"/>
        <v>30</v>
      </c>
    </row>
    <row r="5" spans="1:11" x14ac:dyDescent="0.3">
      <c r="A5">
        <v>220.61310000000003</v>
      </c>
      <c r="B5">
        <v>75.764999999999986</v>
      </c>
      <c r="C5">
        <v>-852.03599999999983</v>
      </c>
      <c r="E5">
        <v>190.95640000000003</v>
      </c>
      <c r="F5">
        <v>-8.40300000000002</v>
      </c>
      <c r="G5">
        <v>-852.03599999999983</v>
      </c>
    </row>
    <row r="6" spans="1:11" x14ac:dyDescent="0.3">
      <c r="A6">
        <v>205.18960000000004</v>
      </c>
      <c r="B6">
        <v>219.79200000000003</v>
      </c>
      <c r="C6">
        <v>-702.24299999999994</v>
      </c>
      <c r="E6">
        <v>196.28960000000001</v>
      </c>
      <c r="F6">
        <v>29.411000000000058</v>
      </c>
      <c r="G6">
        <v>-702.24299999999994</v>
      </c>
    </row>
    <row r="7" spans="1:11" x14ac:dyDescent="0.3">
      <c r="A7">
        <v>405.74630000000002</v>
      </c>
      <c r="B7">
        <v>444.65099999999995</v>
      </c>
      <c r="C7">
        <v>-632.61400000000003</v>
      </c>
      <c r="E7">
        <v>197.5625</v>
      </c>
      <c r="F7">
        <v>42.423000000000002</v>
      </c>
      <c r="G7">
        <v>-632.61400000000003</v>
      </c>
    </row>
    <row r="8" spans="1:11" x14ac:dyDescent="0.3">
      <c r="A8">
        <v>410.26390000000004</v>
      </c>
      <c r="C8">
        <v>-521.48099999999999</v>
      </c>
      <c r="E8">
        <v>205.18960000000004</v>
      </c>
      <c r="F8">
        <v>44.691999999999993</v>
      </c>
      <c r="G8">
        <v>-521.48099999999999</v>
      </c>
    </row>
    <row r="9" spans="1:11" x14ac:dyDescent="0.3">
      <c r="A9">
        <v>272.96140000000003</v>
      </c>
      <c r="B9">
        <v>703.94599999999991</v>
      </c>
      <c r="C9">
        <v>-520.68499999999995</v>
      </c>
      <c r="E9">
        <v>209.54860000000002</v>
      </c>
      <c r="F9">
        <v>51.784000000000106</v>
      </c>
      <c r="G9">
        <v>-520.68499999999995</v>
      </c>
    </row>
    <row r="10" spans="1:11" x14ac:dyDescent="0.3">
      <c r="B10">
        <v>-572.20299999999997</v>
      </c>
      <c r="C10">
        <v>-431.22500000000002</v>
      </c>
      <c r="E10">
        <v>211.85550000000001</v>
      </c>
      <c r="F10">
        <v>52.782999999999902</v>
      </c>
      <c r="G10">
        <v>-431.22500000000002</v>
      </c>
    </row>
    <row r="11" spans="1:11" x14ac:dyDescent="0.3">
      <c r="B11">
        <v>354.4369999999999</v>
      </c>
      <c r="C11">
        <v>-423.18499999999995</v>
      </c>
      <c r="E11">
        <v>214.32869999999997</v>
      </c>
      <c r="F11">
        <v>75.764999999999986</v>
      </c>
      <c r="G11">
        <v>-423.18499999999995</v>
      </c>
    </row>
    <row r="12" spans="1:11" x14ac:dyDescent="0.3">
      <c r="B12">
        <v>-490.1550000000002</v>
      </c>
      <c r="C12">
        <v>-416.40499999999997</v>
      </c>
      <c r="E12">
        <v>220.61310000000003</v>
      </c>
      <c r="F12">
        <v>99.773000000000025</v>
      </c>
      <c r="G12">
        <v>-416.40499999999997</v>
      </c>
    </row>
    <row r="13" spans="1:11" x14ac:dyDescent="0.3">
      <c r="B13">
        <v>709.32400000000007</v>
      </c>
      <c r="C13">
        <v>-405.7890000000001</v>
      </c>
      <c r="E13">
        <v>222.96440000000001</v>
      </c>
      <c r="F13">
        <v>117.75800000000004</v>
      </c>
      <c r="G13">
        <v>-405.7890000000001</v>
      </c>
    </row>
    <row r="14" spans="1:11" x14ac:dyDescent="0.3">
      <c r="A14">
        <v>197.5625</v>
      </c>
      <c r="B14">
        <v>160.38999999999999</v>
      </c>
      <c r="C14">
        <v>-395.12100000000009</v>
      </c>
      <c r="E14">
        <v>226.49680000000001</v>
      </c>
      <c r="F14">
        <v>129.33600000000024</v>
      </c>
      <c r="G14">
        <v>-395.12100000000009</v>
      </c>
    </row>
    <row r="15" spans="1:11" x14ac:dyDescent="0.3">
      <c r="C15">
        <v>-109.77499999999998</v>
      </c>
      <c r="E15">
        <v>234.99869999999999</v>
      </c>
      <c r="F15">
        <v>141.21200000000005</v>
      </c>
      <c r="G15">
        <v>-109.77499999999998</v>
      </c>
    </row>
    <row r="16" spans="1:11" x14ac:dyDescent="0.3">
      <c r="C16">
        <v>-83.274000000000001</v>
      </c>
      <c r="E16">
        <v>235.42930000000001</v>
      </c>
      <c r="F16">
        <v>160.38999999999999</v>
      </c>
      <c r="G16">
        <v>-83.274000000000001</v>
      </c>
    </row>
    <row r="17" spans="1:7" x14ac:dyDescent="0.3">
      <c r="A17">
        <v>295.89170000000001</v>
      </c>
      <c r="B17">
        <v>44.691999999999993</v>
      </c>
      <c r="C17">
        <v>-81.413000000000011</v>
      </c>
      <c r="E17">
        <v>245.78030000000001</v>
      </c>
      <c r="F17">
        <v>169.56700000000001</v>
      </c>
      <c r="G17">
        <v>-81.413000000000011</v>
      </c>
    </row>
    <row r="18" spans="1:7" x14ac:dyDescent="0.3">
      <c r="A18">
        <v>284.80970000000002</v>
      </c>
      <c r="B18">
        <v>42.423000000000002</v>
      </c>
      <c r="C18">
        <v>-54.727999999999952</v>
      </c>
      <c r="E18">
        <v>245.82530000000003</v>
      </c>
      <c r="F18">
        <v>170.798</v>
      </c>
      <c r="G18">
        <v>-54.727999999999952</v>
      </c>
    </row>
    <row r="19" spans="1:7" x14ac:dyDescent="0.3">
      <c r="C19">
        <v>-43.687000000000012</v>
      </c>
      <c r="E19">
        <v>248.37960000000004</v>
      </c>
      <c r="F19">
        <v>192.47699999999998</v>
      </c>
      <c r="G19">
        <v>-43.687000000000012</v>
      </c>
    </row>
    <row r="20" spans="1:7" x14ac:dyDescent="0.3">
      <c r="A20">
        <v>280.98600000000005</v>
      </c>
      <c r="B20">
        <v>302.51100000000002</v>
      </c>
      <c r="C20">
        <v>-43.194000000000074</v>
      </c>
      <c r="E20">
        <v>253.71100000000001</v>
      </c>
      <c r="F20">
        <v>219.79200000000003</v>
      </c>
      <c r="G20">
        <v>-43.194000000000074</v>
      </c>
    </row>
    <row r="21" spans="1:7" x14ac:dyDescent="0.3">
      <c r="A21">
        <v>196.28960000000001</v>
      </c>
      <c r="B21">
        <v>99.773000000000025</v>
      </c>
      <c r="C21">
        <v>-40.900999999999954</v>
      </c>
      <c r="E21">
        <v>269.52100000000002</v>
      </c>
      <c r="F21">
        <v>227.72900000000004</v>
      </c>
      <c r="G21">
        <v>-40.900999999999954</v>
      </c>
    </row>
    <row r="22" spans="1:7" x14ac:dyDescent="0.3">
      <c r="B22">
        <v>383.97800000000029</v>
      </c>
      <c r="C22">
        <v>67.643000000000001</v>
      </c>
      <c r="E22">
        <v>272.11649999999997</v>
      </c>
      <c r="F22">
        <v>269.58500000000004</v>
      </c>
      <c r="G22">
        <v>67.643000000000001</v>
      </c>
    </row>
    <row r="23" spans="1:7" x14ac:dyDescent="0.3">
      <c r="C23">
        <v>76.757000000000005</v>
      </c>
      <c r="E23">
        <v>272.20409999999998</v>
      </c>
      <c r="F23">
        <v>280.46000000000004</v>
      </c>
      <c r="G23">
        <v>76.757000000000005</v>
      </c>
    </row>
    <row r="24" spans="1:7" x14ac:dyDescent="0.3">
      <c r="C24">
        <v>80.970000000000027</v>
      </c>
      <c r="E24">
        <v>272.55130000000003</v>
      </c>
      <c r="F24">
        <v>302.51100000000002</v>
      </c>
      <c r="G24">
        <v>80.970000000000027</v>
      </c>
    </row>
    <row r="25" spans="1:7" x14ac:dyDescent="0.3">
      <c r="C25">
        <v>92.75200000000001</v>
      </c>
      <c r="E25">
        <v>272.96140000000003</v>
      </c>
      <c r="F25">
        <v>324.3420000000001</v>
      </c>
      <c r="G25">
        <v>92.75200000000001</v>
      </c>
    </row>
    <row r="26" spans="1:7" x14ac:dyDescent="0.3">
      <c r="A26">
        <v>248.37960000000004</v>
      </c>
      <c r="B26">
        <v>192.47699999999998</v>
      </c>
      <c r="C26">
        <v>144.92599999999999</v>
      </c>
      <c r="E26">
        <v>280.98600000000005</v>
      </c>
      <c r="F26">
        <v>347.11900000000014</v>
      </c>
      <c r="G26">
        <v>144.92599999999999</v>
      </c>
    </row>
    <row r="27" spans="1:7" x14ac:dyDescent="0.3">
      <c r="A27">
        <v>235.42930000000001</v>
      </c>
      <c r="B27">
        <v>227.72900000000004</v>
      </c>
      <c r="C27">
        <v>181.85300000000001</v>
      </c>
      <c r="E27">
        <v>284.23940000000005</v>
      </c>
      <c r="F27">
        <v>352.41600000000017</v>
      </c>
      <c r="G27">
        <v>181.85300000000001</v>
      </c>
    </row>
    <row r="28" spans="1:7" x14ac:dyDescent="0.3">
      <c r="A28">
        <v>335.36110000000002</v>
      </c>
      <c r="B28">
        <v>896.98</v>
      </c>
      <c r="C28">
        <v>270.17500000000007</v>
      </c>
      <c r="E28">
        <v>284.80970000000002</v>
      </c>
      <c r="F28">
        <v>354.4369999999999</v>
      </c>
      <c r="G28">
        <v>270.17500000000007</v>
      </c>
    </row>
    <row r="29" spans="1:7" x14ac:dyDescent="0.3">
      <c r="A29">
        <v>1109.8333</v>
      </c>
      <c r="B29">
        <v>621.92200000000003</v>
      </c>
      <c r="C29">
        <v>416.10199999999998</v>
      </c>
      <c r="E29">
        <v>290.76080000000002</v>
      </c>
      <c r="F29">
        <v>365.49499999999989</v>
      </c>
      <c r="G29">
        <v>416.10199999999998</v>
      </c>
    </row>
    <row r="30" spans="1:7" x14ac:dyDescent="0.3">
      <c r="A30">
        <v>234.99869999999999</v>
      </c>
      <c r="B30">
        <v>559.43499999999995</v>
      </c>
      <c r="C30">
        <v>662.92000000000007</v>
      </c>
      <c r="E30">
        <v>295.01670000000001</v>
      </c>
      <c r="F30">
        <v>383.97800000000029</v>
      </c>
      <c r="G30">
        <v>662.92000000000007</v>
      </c>
    </row>
    <row r="31" spans="1:7" x14ac:dyDescent="0.3">
      <c r="A31">
        <v>245.78030000000001</v>
      </c>
      <c r="B31">
        <v>499.46000000000004</v>
      </c>
      <c r="C31">
        <v>839.73</v>
      </c>
      <c r="E31">
        <v>295.89170000000001</v>
      </c>
      <c r="F31">
        <v>398.90100000000007</v>
      </c>
      <c r="G31">
        <v>839.73</v>
      </c>
    </row>
    <row r="32" spans="1:7" x14ac:dyDescent="0.3">
      <c r="A32">
        <v>116.32929999999999</v>
      </c>
      <c r="B32">
        <v>51.784000000000106</v>
      </c>
      <c r="E32">
        <v>299.52440000000001</v>
      </c>
      <c r="F32">
        <v>444.65099999999995</v>
      </c>
    </row>
    <row r="33" spans="1:6" x14ac:dyDescent="0.3">
      <c r="A33">
        <v>123.58439999999996</v>
      </c>
      <c r="B33">
        <v>141.21200000000005</v>
      </c>
      <c r="E33">
        <v>313.73090000000002</v>
      </c>
      <c r="F33">
        <v>458.01</v>
      </c>
    </row>
    <row r="34" spans="1:6" x14ac:dyDescent="0.3">
      <c r="A34">
        <v>190.95640000000003</v>
      </c>
      <c r="E34">
        <v>335.36110000000002</v>
      </c>
      <c r="F34">
        <v>499.46000000000004</v>
      </c>
    </row>
    <row r="35" spans="1:6" x14ac:dyDescent="0.3">
      <c r="A35">
        <v>209.54860000000002</v>
      </c>
      <c r="B35">
        <v>29.411000000000058</v>
      </c>
      <c r="E35">
        <v>339.01259999999996</v>
      </c>
      <c r="F35">
        <v>504.69299999999998</v>
      </c>
    </row>
    <row r="36" spans="1:6" x14ac:dyDescent="0.3">
      <c r="A36">
        <v>211.85550000000001</v>
      </c>
      <c r="B36">
        <v>269.58500000000004</v>
      </c>
      <c r="E36">
        <v>399.94119999999998</v>
      </c>
      <c r="F36">
        <v>512.55600000000004</v>
      </c>
    </row>
    <row r="37" spans="1:6" x14ac:dyDescent="0.3">
      <c r="A37">
        <v>214.32869999999997</v>
      </c>
      <c r="B37">
        <v>280.46000000000004</v>
      </c>
      <c r="E37">
        <v>405.74630000000002</v>
      </c>
      <c r="F37">
        <v>521.32400000000007</v>
      </c>
    </row>
    <row r="38" spans="1:6" x14ac:dyDescent="0.3">
      <c r="A38">
        <v>222.96440000000001</v>
      </c>
      <c r="B38">
        <v>-127.37799999999993</v>
      </c>
      <c r="E38">
        <v>410.26390000000004</v>
      </c>
      <c r="F38">
        <v>528.14499999999998</v>
      </c>
    </row>
    <row r="39" spans="1:6" x14ac:dyDescent="0.3">
      <c r="A39">
        <v>226.49680000000001</v>
      </c>
      <c r="B39">
        <v>169.56700000000001</v>
      </c>
      <c r="E39">
        <v>423.78740000000005</v>
      </c>
      <c r="F39">
        <v>558.00300000000016</v>
      </c>
    </row>
    <row r="40" spans="1:6" x14ac:dyDescent="0.3">
      <c r="A40">
        <v>245.82530000000003</v>
      </c>
      <c r="B40">
        <v>129.33600000000024</v>
      </c>
      <c r="E40">
        <v>547.56909999999993</v>
      </c>
      <c r="F40">
        <v>558.72500000000014</v>
      </c>
    </row>
    <row r="41" spans="1:6" x14ac:dyDescent="0.3">
      <c r="A41">
        <v>253.71100000000001</v>
      </c>
      <c r="B41">
        <v>352.41600000000017</v>
      </c>
      <c r="E41">
        <v>610.92840000000001</v>
      </c>
      <c r="F41">
        <v>559.43499999999995</v>
      </c>
    </row>
    <row r="42" spans="1:6" x14ac:dyDescent="0.3">
      <c r="A42">
        <v>269.52100000000002</v>
      </c>
      <c r="B42">
        <v>170.798</v>
      </c>
      <c r="E42">
        <v>634.88720000000001</v>
      </c>
      <c r="F42">
        <v>559.55200000000013</v>
      </c>
    </row>
    <row r="43" spans="1:6" x14ac:dyDescent="0.3">
      <c r="A43">
        <v>272.11649999999997</v>
      </c>
      <c r="B43">
        <v>117.75800000000004</v>
      </c>
      <c r="E43">
        <v>677.58909999999992</v>
      </c>
      <c r="F43">
        <v>588.05200000000013</v>
      </c>
    </row>
    <row r="44" spans="1:6" x14ac:dyDescent="0.3">
      <c r="A44">
        <v>272.20409999999998</v>
      </c>
      <c r="E44">
        <v>1109.8333</v>
      </c>
      <c r="F44">
        <v>590.83600000000001</v>
      </c>
    </row>
    <row r="45" spans="1:6" x14ac:dyDescent="0.3">
      <c r="A45">
        <v>272.55130000000003</v>
      </c>
      <c r="B45">
        <v>347.11900000000014</v>
      </c>
      <c r="E45">
        <v>2071.3283999999999</v>
      </c>
      <c r="F45">
        <v>621.92200000000003</v>
      </c>
    </row>
    <row r="46" spans="1:6" x14ac:dyDescent="0.3">
      <c r="A46">
        <v>284.23940000000005</v>
      </c>
      <c r="F46">
        <v>685.88200000000006</v>
      </c>
    </row>
    <row r="47" spans="1:6" x14ac:dyDescent="0.3">
      <c r="A47">
        <v>290.76080000000002</v>
      </c>
      <c r="F47">
        <v>691.15499999999997</v>
      </c>
    </row>
    <row r="48" spans="1:6" x14ac:dyDescent="0.3">
      <c r="A48">
        <v>295.01670000000001</v>
      </c>
      <c r="F48">
        <v>703.94599999999991</v>
      </c>
    </row>
    <row r="49" spans="1:6" x14ac:dyDescent="0.3">
      <c r="A49">
        <v>299.52440000000001</v>
      </c>
      <c r="F49">
        <v>709.32400000000007</v>
      </c>
    </row>
    <row r="50" spans="1:6" x14ac:dyDescent="0.3">
      <c r="A50">
        <v>313.73090000000002</v>
      </c>
      <c r="B50">
        <v>588.05200000000013</v>
      </c>
      <c r="F50">
        <v>822.33500000000004</v>
      </c>
    </row>
    <row r="51" spans="1:6" x14ac:dyDescent="0.3">
      <c r="A51">
        <v>399.94119999999998</v>
      </c>
      <c r="F51">
        <v>896.98</v>
      </c>
    </row>
    <row r="52" spans="1:6" x14ac:dyDescent="0.3">
      <c r="A52">
        <v>547.56909999999993</v>
      </c>
      <c r="B52">
        <v>458.01</v>
      </c>
    </row>
    <row r="53" spans="1:6" x14ac:dyDescent="0.3">
      <c r="A53">
        <v>610.92840000000001</v>
      </c>
      <c r="B53">
        <v>590.83600000000001</v>
      </c>
    </row>
    <row r="54" spans="1:6" x14ac:dyDescent="0.3">
      <c r="A54">
        <v>634.88720000000001</v>
      </c>
      <c r="B54">
        <v>691.15499999999997</v>
      </c>
    </row>
    <row r="55" spans="1:6" x14ac:dyDescent="0.3">
      <c r="A55">
        <v>677.58909999999992</v>
      </c>
      <c r="B55">
        <v>-8.40300000000002</v>
      </c>
    </row>
    <row r="56" spans="1:6" x14ac:dyDescent="0.3">
      <c r="A56">
        <v>2071.3283999999999</v>
      </c>
      <c r="B56">
        <v>52.782999999999902</v>
      </c>
    </row>
    <row r="57" spans="1:6" x14ac:dyDescent="0.3">
      <c r="B57">
        <v>365.49499999999989</v>
      </c>
    </row>
    <row r="58" spans="1:6" x14ac:dyDescent="0.3">
      <c r="B58">
        <v>398.90100000000007</v>
      </c>
    </row>
    <row r="59" spans="1:6" x14ac:dyDescent="0.3">
      <c r="B59">
        <v>504.69299999999998</v>
      </c>
    </row>
    <row r="60" spans="1:6" x14ac:dyDescent="0.3">
      <c r="B60">
        <v>512.55600000000004</v>
      </c>
    </row>
    <row r="61" spans="1:6" x14ac:dyDescent="0.3">
      <c r="B61">
        <v>521.32400000000007</v>
      </c>
    </row>
    <row r="62" spans="1:6" x14ac:dyDescent="0.3">
      <c r="B62">
        <v>528.14499999999998</v>
      </c>
    </row>
    <row r="63" spans="1:6" x14ac:dyDescent="0.3">
      <c r="B63">
        <v>558.00300000000016</v>
      </c>
    </row>
    <row r="64" spans="1:6" x14ac:dyDescent="0.3">
      <c r="B64">
        <v>558.72500000000014</v>
      </c>
    </row>
    <row r="65" spans="2:2" x14ac:dyDescent="0.3">
      <c r="B65">
        <v>559.55200000000013</v>
      </c>
    </row>
    <row r="66" spans="2:2" x14ac:dyDescent="0.3">
      <c r="B66">
        <v>685.88200000000006</v>
      </c>
    </row>
    <row r="67" spans="2:2" x14ac:dyDescent="0.3">
      <c r="B67">
        <v>822.33500000000004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59999389629810485"/>
  </sheetPr>
  <dimension ref="A1:AZ74"/>
  <sheetViews>
    <sheetView zoomScale="70" zoomScaleNormal="70" workbookViewId="0">
      <pane xSplit="2" ySplit="3" topLeftCell="Z48" activePane="bottomRight" state="frozen"/>
      <selection activeCell="F26" sqref="F26"/>
      <selection pane="topRight" activeCell="F26" sqref="F26"/>
      <selection pane="bottomLeft" activeCell="F26" sqref="F26"/>
      <selection pane="bottomRight" activeCell="AN4" sqref="AN4:AN74"/>
    </sheetView>
  </sheetViews>
  <sheetFormatPr defaultColWidth="8.88671875" defaultRowHeight="14.4" x14ac:dyDescent="0.3"/>
  <cols>
    <col min="1" max="1" width="15.6640625" style="29" customWidth="1"/>
    <col min="2" max="2" width="10.6640625" style="29" customWidth="1"/>
    <col min="3" max="3" width="10.44140625" style="29" customWidth="1"/>
    <col min="4" max="4" width="11.88671875" style="29" customWidth="1"/>
    <col min="5" max="5" width="9.109375" style="29" customWidth="1"/>
    <col min="6" max="6" width="11" style="29" customWidth="1"/>
    <col min="7" max="7" width="6.88671875" style="29" customWidth="1"/>
    <col min="8" max="8" width="11" style="29" customWidth="1"/>
    <col min="9" max="9" width="11.44140625" style="29" customWidth="1"/>
    <col min="10" max="12" width="9.33203125" style="29" customWidth="1"/>
    <col min="13" max="14" width="10.5546875" style="29" customWidth="1"/>
    <col min="15" max="15" width="18.21875" style="29" bestFit="1" customWidth="1"/>
    <col min="16" max="16" width="10.44140625" style="29" customWidth="1"/>
    <col min="17" max="17" width="8.33203125" style="29" customWidth="1"/>
    <col min="18" max="18" width="8.77734375" style="29" customWidth="1"/>
    <col min="19" max="19" width="7.44140625" style="29" customWidth="1"/>
    <col min="20" max="20" width="7.5546875" style="29" customWidth="1"/>
    <col min="21" max="21" width="7.6640625" style="29" hidden="1" customWidth="1"/>
    <col min="22" max="22" width="7.88671875" style="29" hidden="1" customWidth="1"/>
    <col min="23" max="23" width="8" style="29" hidden="1" customWidth="1"/>
    <col min="24" max="24" width="9.6640625" style="29" customWidth="1"/>
    <col min="25" max="25" width="8.33203125" style="29" customWidth="1"/>
    <col min="26" max="26" width="9.109375" style="29" customWidth="1"/>
    <col min="27" max="28" width="10.6640625" style="29" customWidth="1"/>
    <col min="29" max="30" width="9.5546875" style="29" customWidth="1"/>
    <col min="31" max="32" width="14.109375" style="29" bestFit="1" customWidth="1"/>
    <col min="33" max="33" width="8.5546875" style="29" hidden="1" customWidth="1"/>
    <col min="34" max="34" width="8" style="29" hidden="1" customWidth="1"/>
    <col min="35" max="36" width="19.77734375" style="29" bestFit="1" customWidth="1"/>
    <col min="37" max="37" width="17.88671875" style="29" bestFit="1" customWidth="1"/>
    <col min="38" max="38" width="17.44140625" style="29" bestFit="1" customWidth="1"/>
    <col min="39" max="39" width="17.5546875" style="29" bestFit="1" customWidth="1"/>
    <col min="40" max="40" width="11.33203125" style="29" customWidth="1"/>
    <col min="41" max="41" width="11.109375" style="29" customWidth="1"/>
    <col min="42" max="46" width="14.44140625" style="29" customWidth="1"/>
    <col min="47" max="47" width="63.77734375" style="29" customWidth="1"/>
    <col min="48" max="16384" width="8.88671875" style="29"/>
  </cols>
  <sheetData>
    <row r="1" spans="1:52" ht="20.399999999999999" thickBot="1" x14ac:dyDescent="0.45">
      <c r="A1" s="1" t="s">
        <v>244</v>
      </c>
      <c r="B1" s="1"/>
      <c r="G1" s="5"/>
      <c r="H1" s="5"/>
      <c r="I1" s="5"/>
      <c r="J1" s="5"/>
      <c r="K1" s="5"/>
      <c r="L1" s="5"/>
      <c r="M1" s="5"/>
      <c r="N1" s="5"/>
      <c r="P1" s="5"/>
      <c r="Q1" s="5"/>
      <c r="R1" s="5"/>
      <c r="U1" s="46"/>
      <c r="V1" s="46"/>
      <c r="W1" s="46"/>
      <c r="X1" s="153"/>
      <c r="Y1" s="153"/>
      <c r="Z1" s="153"/>
      <c r="AV1" s="31"/>
      <c r="AW1" s="31"/>
      <c r="AX1" s="31"/>
      <c r="AY1" s="31"/>
      <c r="AZ1" s="30"/>
    </row>
    <row r="2" spans="1:52" ht="15" thickTop="1" x14ac:dyDescent="0.3">
      <c r="A2" s="12"/>
      <c r="B2" s="12"/>
      <c r="C2" s="334" t="s">
        <v>24</v>
      </c>
      <c r="D2" s="334"/>
      <c r="E2" s="334"/>
      <c r="F2" s="334"/>
      <c r="G2" s="334"/>
      <c r="H2" s="334"/>
      <c r="I2" s="334"/>
      <c r="J2" s="334"/>
      <c r="K2" s="230"/>
      <c r="L2" s="230"/>
      <c r="M2" s="335" t="s">
        <v>145</v>
      </c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30"/>
      <c r="AW2" s="30"/>
      <c r="AX2" s="30"/>
      <c r="AY2" s="30"/>
      <c r="AZ2" s="30"/>
    </row>
    <row r="3" spans="1:52" ht="87.6" customHeight="1" x14ac:dyDescent="0.3">
      <c r="A3" s="2" t="s">
        <v>1</v>
      </c>
      <c r="B3" s="2" t="s">
        <v>2</v>
      </c>
      <c r="C3" s="24" t="s">
        <v>352</v>
      </c>
      <c r="D3" s="24" t="s">
        <v>351</v>
      </c>
      <c r="E3" s="24" t="s">
        <v>132</v>
      </c>
      <c r="F3" s="24" t="s">
        <v>382</v>
      </c>
      <c r="G3" s="24" t="s">
        <v>354</v>
      </c>
      <c r="H3" s="24" t="s">
        <v>355</v>
      </c>
      <c r="I3" s="24" t="s">
        <v>151</v>
      </c>
      <c r="J3" s="24" t="s">
        <v>356</v>
      </c>
      <c r="K3" s="24" t="s">
        <v>357</v>
      </c>
      <c r="L3" s="24" t="s">
        <v>358</v>
      </c>
      <c r="M3" s="78" t="s">
        <v>359</v>
      </c>
      <c r="N3" s="78" t="s">
        <v>470</v>
      </c>
      <c r="O3" s="78" t="s">
        <v>348</v>
      </c>
      <c r="P3" s="78" t="s">
        <v>152</v>
      </c>
      <c r="Q3" s="78" t="s">
        <v>349</v>
      </c>
      <c r="R3" s="78" t="s">
        <v>350</v>
      </c>
      <c r="S3" s="78" t="s">
        <v>360</v>
      </c>
      <c r="T3" s="78" t="s">
        <v>361</v>
      </c>
      <c r="U3" s="78" t="s">
        <v>140</v>
      </c>
      <c r="V3" s="78" t="s">
        <v>129</v>
      </c>
      <c r="W3" s="78" t="s">
        <v>128</v>
      </c>
      <c r="X3" s="78" t="s">
        <v>362</v>
      </c>
      <c r="Y3" s="78" t="s">
        <v>363</v>
      </c>
      <c r="Z3" s="78" t="s">
        <v>364</v>
      </c>
      <c r="AA3" s="78" t="s">
        <v>365</v>
      </c>
      <c r="AB3" s="2" t="s">
        <v>150</v>
      </c>
      <c r="AC3" s="2" t="s">
        <v>157</v>
      </c>
      <c r="AD3" s="2" t="s">
        <v>341</v>
      </c>
      <c r="AE3" s="2" t="s">
        <v>367</v>
      </c>
      <c r="AF3" s="2" t="s">
        <v>368</v>
      </c>
      <c r="AG3" s="47" t="s">
        <v>163</v>
      </c>
      <c r="AH3" s="2" t="s">
        <v>161</v>
      </c>
      <c r="AI3" s="2" t="s">
        <v>378</v>
      </c>
      <c r="AJ3" s="2" t="s">
        <v>344</v>
      </c>
      <c r="AK3" s="2" t="s">
        <v>443</v>
      </c>
      <c r="AL3" s="2" t="s">
        <v>346</v>
      </c>
      <c r="AM3" s="2" t="s">
        <v>444</v>
      </c>
      <c r="AN3" s="2" t="s">
        <v>369</v>
      </c>
      <c r="AO3" s="2" t="s">
        <v>370</v>
      </c>
      <c r="AP3" s="47" t="s">
        <v>445</v>
      </c>
      <c r="AQ3" s="47" t="s">
        <v>623</v>
      </c>
      <c r="AR3" s="47" t="s">
        <v>613</v>
      </c>
      <c r="AS3" s="47" t="s">
        <v>614</v>
      </c>
      <c r="AT3" s="47" t="s">
        <v>615</v>
      </c>
      <c r="AU3" s="77" t="s">
        <v>29</v>
      </c>
    </row>
    <row r="4" spans="1:52" x14ac:dyDescent="0.3">
      <c r="A4" s="3">
        <v>43327</v>
      </c>
      <c r="B4" s="29">
        <v>1</v>
      </c>
      <c r="C4" s="6">
        <v>617.4</v>
      </c>
      <c r="D4" s="28">
        <f>C4/1000*24</f>
        <v>14.817599999999999</v>
      </c>
      <c r="E4" s="27">
        <v>2</v>
      </c>
      <c r="F4" s="27">
        <v>4</v>
      </c>
      <c r="G4" s="41">
        <f>IFERROR(Information!$R$40/(stableSSBR[[#This Row],[Flow 
(L h-1)]]*stableSSBR[[#This Row],[Batch cycles]]*stableSSBR[[#This Row],[Cycle duration 
(h)]]/1000)*24,0)</f>
        <v>38.872691933916428</v>
      </c>
      <c r="H4" s="6">
        <v>0.26</v>
      </c>
      <c r="I4" s="6">
        <v>6.7837522553782064</v>
      </c>
      <c r="J4" s="6">
        <v>27.744652777777791</v>
      </c>
      <c r="K4" s="41"/>
      <c r="L4" s="41"/>
      <c r="M4" s="29">
        <v>1376</v>
      </c>
      <c r="N4" s="29">
        <f>stableSSBR[[#This Row],[COD 
(mg L-1)]]*Information!$AK$41</f>
        <v>1114.5600000000002</v>
      </c>
      <c r="O4" s="29">
        <v>2117</v>
      </c>
      <c r="P4" s="29">
        <v>7.9</v>
      </c>
      <c r="Q4" s="29">
        <v>286</v>
      </c>
      <c r="R4" s="29">
        <v>130</v>
      </c>
      <c r="S4" s="29">
        <v>2.2999999999999998</v>
      </c>
      <c r="T4" s="29">
        <v>0.2</v>
      </c>
      <c r="U4" s="6">
        <f>stableSSBR[[#This Row],[NH4-N 
(mg L-1)]]*1.288</f>
        <v>576.93384000000003</v>
      </c>
      <c r="V4" s="6">
        <f>(stableSSBR[[#This Row],[NO3-N 
(mg L-1)]])*4.426</f>
        <v>0.8497920000000001</v>
      </c>
      <c r="W4" s="6">
        <f>stableSSBR[[#This Row],[NO2-N 
(mg L-1)]]*3.284</f>
        <v>2.6272E-2</v>
      </c>
      <c r="X4" s="29">
        <v>447.93</v>
      </c>
      <c r="Y4" s="29">
        <v>8.0000000000000002E-3</v>
      </c>
      <c r="Z4" s="6">
        <f>IF(stableSSBR[[#This Row],[TON 
(mg L-1)]]-stableSSBR[[#This Row],[NO2-N 
(mg L-1)]]&lt;0,0.19,stableSSBR[[#This Row],[TON 
(mg L-1)]]-stableSSBR[[#This Row],[NO2-N 
(mg L-1)]])</f>
        <v>0.192</v>
      </c>
      <c r="AA4" s="4">
        <f>SUM(stableSSBR[[#This Row],[NO3-N 
(mg L-1)]],stableSSBR[[#This Row],[NO2-N 
(mg L-1)]],stableSSBR[[#This Row],[NH4-N 
(mg L-1)]])</f>
        <v>448.13</v>
      </c>
      <c r="AB4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4.6476725327394646E-4</v>
      </c>
      <c r="AC4" s="48">
        <f>IF(IFERROR(stableSSBR[[#This Row],[NO2-N 
(mg L-1)]]/stableSSBR[[#This Row],[NH4-N 
(mg L-1)]],0)&lt;0,0,IFERROR(stableSSBR[[#This Row],[NO2-N 
(mg L-1)]]/stableSSBR[[#This Row],[NH4-N 
(mg L-1)]],0))</f>
        <v>1.7859933471747819E-5</v>
      </c>
      <c r="AD4" s="48">
        <f>stableSSBR[[#This Row],[NO2-N 
(mg L-1)]]/(stableSSBR[[#This Row],[NO3-N 
(mg L-1)]]+stableSSBR[[#This Row],[NO2-N 
(mg L-1)]])</f>
        <v>0.04</v>
      </c>
      <c r="AE4" s="20">
        <f>46/14*stableSSBR[[#This Row],[NO2-N 
(mg L-1)]]/(EXP(-2300/(stableSSBR[[#This Row],[Temp. 
(°C)]]+273))*10^(stableSSBR[[#This Row],[pHreactor]]))</f>
        <v>9.0638850341756588E-6</v>
      </c>
      <c r="AF4" s="20">
        <f>17/14*(stableSSBR[NH4-N 
(mg L-1)]*10^stableSSBR[[#This Row],[pHreactor]])/(EXP((6344/(273+stableSSBR[[#This Row],[Temp. 
(°C)]])))+10^stableSSBR[pHreactor])</f>
        <v>2.2715623455505858</v>
      </c>
      <c r="AG4" s="1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412.90999999999997</v>
      </c>
      <c r="AH4" s="19">
        <f>IFERROR(IF(Influent[[#This Row],[COD (mg L-1)]]-stableSSBR[[#This Row],[COD 
(mg L-1)]]&lt;0,0,Influent[[#This Row],[COD (mg L-1)]]-stableSSBR[[#This Row],[COD 
(mg L-1)]]),0)</f>
        <v>0</v>
      </c>
      <c r="AI4" s="20"/>
      <c r="AJ4" s="20"/>
      <c r="AK4" s="20">
        <f>IF(IFERROR((Influent[[#This Row],[NH4-N (mg L-1)]])*stableSSBR[ARE 
(%)]/stableSSBR[HRT 
(h)]*24/1000,0)&lt;0,0,IFERROR((Influent[[#This Row],[NH4-N (mg L-1)]])*stableSSBR[ARE 
(%)]/stableSSBR[HRT 
(h)]*24/1000,0))</f>
        <v>0.25505411399999989</v>
      </c>
      <c r="AL4" s="20">
        <f>Influent[[#This Row],[TN (mg L-1)]]/stableSSBR[[#This Row],[HRT 
(h)]]*24/1000</f>
        <v>0.53282175659999997</v>
      </c>
      <c r="AM4" s="20">
        <f>stableSSBR[[#This Row],[NLR 
(kg N m-3 d-1)]]*stableSSBR[[#This Row],[NRE 
(%)]]</f>
        <v>0.25614629459999999</v>
      </c>
      <c r="AN4" s="21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0.47978026572516952</v>
      </c>
      <c r="AO4" s="21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0.48073542686113357</v>
      </c>
      <c r="AP4" s="6"/>
      <c r="AQ4" s="276"/>
      <c r="AR4" s="6">
        <f>stableSSBR[[#This Row],[NH4-N 
(mg L-1)]]-20</f>
        <v>427.93</v>
      </c>
      <c r="AS4" s="6">
        <f>stableSSBR[[#This Row],[Ammonia residual to reach target]]*2.19</f>
        <v>937.16669999999999</v>
      </c>
      <c r="AT4" s="6">
        <f>stableSSBR[[#This Row],[Alkalinity 
(mg CaCO3 L-1) ]]-stableSSBR[[#This Row],[Alkalinity need]]-70</f>
        <v>1109.8333</v>
      </c>
    </row>
    <row r="5" spans="1:52" x14ac:dyDescent="0.3">
      <c r="A5" s="3">
        <v>43328</v>
      </c>
      <c r="B5" s="29">
        <v>2</v>
      </c>
      <c r="C5" s="6"/>
      <c r="D5" s="162"/>
      <c r="E5" s="151"/>
      <c r="F5" s="151"/>
      <c r="G5" s="163"/>
      <c r="H5" s="6"/>
      <c r="I5" s="6"/>
      <c r="J5" s="6"/>
      <c r="K5" s="163"/>
      <c r="L5" s="163"/>
      <c r="U5" s="6">
        <f>stableSSBR[[#This Row],[NH4-N 
(mg L-1)]]*1.288</f>
        <v>0</v>
      </c>
      <c r="V5" s="6">
        <f>(stableSSBR[[#This Row],[NO3-N 
(mg L-1)]])*4.426</f>
        <v>0</v>
      </c>
      <c r="W5" s="6">
        <f>stableSSBR[[#This Row],[NO2-N 
(mg L-1)]]*3.284</f>
        <v>0</v>
      </c>
      <c r="Z5" s="6"/>
      <c r="AA5" s="4"/>
      <c r="AB5" s="21"/>
      <c r="AC5" s="164"/>
      <c r="AD5" s="164"/>
      <c r="AE5" s="20"/>
      <c r="AF5" s="20"/>
      <c r="AG5" s="129"/>
      <c r="AH5" s="19"/>
      <c r="AI5" s="20"/>
      <c r="AJ5" s="20"/>
      <c r="AK5" s="6"/>
      <c r="AL5" s="20"/>
      <c r="AM5" s="20"/>
      <c r="AN5" s="26"/>
      <c r="AO5" s="26"/>
      <c r="AP5" s="6"/>
      <c r="AQ5" s="276"/>
      <c r="AR5" s="6"/>
      <c r="AS5" s="6"/>
      <c r="AT5" s="6"/>
    </row>
    <row r="6" spans="1:52" x14ac:dyDescent="0.3">
      <c r="A6" s="3">
        <v>43329</v>
      </c>
      <c r="B6" s="29">
        <v>3</v>
      </c>
      <c r="C6" s="6"/>
      <c r="D6" s="162"/>
      <c r="E6" s="151"/>
      <c r="F6" s="151"/>
      <c r="G6" s="163"/>
      <c r="H6" s="6"/>
      <c r="I6" s="6"/>
      <c r="J6" s="6"/>
      <c r="K6" s="163"/>
      <c r="L6" s="163"/>
      <c r="U6" s="6">
        <f>stableSSBR[[#This Row],[NH4-N 
(mg L-1)]]*1.288</f>
        <v>0</v>
      </c>
      <c r="V6" s="6">
        <f>(stableSSBR[[#This Row],[NO3-N 
(mg L-1)]])*4.426</f>
        <v>0</v>
      </c>
      <c r="W6" s="6">
        <f>stableSSBR[[#This Row],[NO2-N 
(mg L-1)]]*3.284</f>
        <v>0</v>
      </c>
      <c r="Z6" s="6"/>
      <c r="AA6" s="4"/>
      <c r="AB6" s="21"/>
      <c r="AC6" s="164"/>
      <c r="AD6" s="164"/>
      <c r="AE6" s="20"/>
      <c r="AF6" s="20"/>
      <c r="AG6" s="129"/>
      <c r="AH6" s="19"/>
      <c r="AI6" s="20"/>
      <c r="AJ6" s="20"/>
      <c r="AK6" s="6"/>
      <c r="AL6" s="20"/>
      <c r="AM6" s="20"/>
      <c r="AN6" s="26"/>
      <c r="AO6" s="26"/>
      <c r="AP6" s="6"/>
      <c r="AQ6" s="276"/>
      <c r="AR6" s="6"/>
      <c r="AS6" s="6"/>
      <c r="AT6" s="6"/>
    </row>
    <row r="7" spans="1:52" x14ac:dyDescent="0.3">
      <c r="A7" s="3">
        <v>43330</v>
      </c>
      <c r="B7" s="29">
        <v>4</v>
      </c>
      <c r="C7" s="6"/>
      <c r="D7" s="162"/>
      <c r="E7" s="151"/>
      <c r="F7" s="151"/>
      <c r="G7" s="163"/>
      <c r="H7" s="6"/>
      <c r="I7" s="6"/>
      <c r="J7" s="6"/>
      <c r="K7" s="163"/>
      <c r="L7" s="163"/>
      <c r="U7" s="6">
        <f>stableSSBR[[#This Row],[NH4-N 
(mg L-1)]]*1.288</f>
        <v>0</v>
      </c>
      <c r="V7" s="6">
        <f>(stableSSBR[[#This Row],[NO3-N 
(mg L-1)]])*4.426</f>
        <v>0</v>
      </c>
      <c r="W7" s="6">
        <f>stableSSBR[[#This Row],[NO2-N 
(mg L-1)]]*3.284</f>
        <v>0</v>
      </c>
      <c r="Z7" s="6"/>
      <c r="AA7" s="4"/>
      <c r="AB7" s="21"/>
      <c r="AC7" s="164"/>
      <c r="AD7" s="164"/>
      <c r="AE7" s="20"/>
      <c r="AF7" s="20"/>
      <c r="AG7" s="129"/>
      <c r="AH7" s="19"/>
      <c r="AI7" s="20"/>
      <c r="AJ7" s="20"/>
      <c r="AK7" s="6"/>
      <c r="AL7" s="20"/>
      <c r="AM7" s="20"/>
      <c r="AN7" s="26"/>
      <c r="AO7" s="26"/>
      <c r="AP7" s="6"/>
      <c r="AQ7" s="276"/>
      <c r="AR7" s="6"/>
      <c r="AS7" s="6"/>
      <c r="AT7" s="6"/>
    </row>
    <row r="8" spans="1:52" x14ac:dyDescent="0.3">
      <c r="A8" s="3">
        <v>43331</v>
      </c>
      <c r="B8" s="29">
        <v>5</v>
      </c>
      <c r="C8" s="6"/>
      <c r="D8" s="162"/>
      <c r="E8" s="151"/>
      <c r="F8" s="151"/>
      <c r="G8" s="163"/>
      <c r="H8" s="6"/>
      <c r="I8" s="6"/>
      <c r="J8" s="6"/>
      <c r="K8" s="41"/>
      <c r="L8" s="41"/>
      <c r="U8" s="6"/>
      <c r="V8" s="6"/>
      <c r="W8" s="6"/>
      <c r="Z8" s="6"/>
      <c r="AA8" s="4"/>
      <c r="AB8" s="21"/>
      <c r="AC8" s="48"/>
      <c r="AD8" s="48"/>
      <c r="AE8" s="20"/>
      <c r="AF8" s="20"/>
      <c r="AG8" s="129"/>
      <c r="AH8" s="19"/>
      <c r="AI8" s="20"/>
      <c r="AJ8" s="20"/>
      <c r="AK8" s="6"/>
      <c r="AL8" s="20"/>
      <c r="AM8" s="20"/>
      <c r="AN8" s="26"/>
      <c r="AO8" s="26"/>
      <c r="AP8" s="6"/>
      <c r="AQ8" s="276"/>
      <c r="AR8" s="6"/>
      <c r="AS8" s="6"/>
      <c r="AT8" s="6"/>
    </row>
    <row r="9" spans="1:52" x14ac:dyDescent="0.3">
      <c r="A9" s="3">
        <v>43332</v>
      </c>
      <c r="B9" s="29">
        <v>6</v>
      </c>
      <c r="C9" s="6"/>
      <c r="D9" s="162"/>
      <c r="E9" s="151"/>
      <c r="F9" s="151"/>
      <c r="G9" s="163"/>
      <c r="H9" s="6"/>
      <c r="I9" s="6"/>
      <c r="J9" s="6"/>
      <c r="K9" s="41"/>
      <c r="L9" s="41"/>
      <c r="U9" s="6"/>
      <c r="V9" s="6"/>
      <c r="W9" s="6"/>
      <c r="Z9" s="6"/>
      <c r="AA9" s="4"/>
      <c r="AB9" s="21"/>
      <c r="AC9" s="48"/>
      <c r="AD9" s="48"/>
      <c r="AE9" s="20"/>
      <c r="AF9" s="20"/>
      <c r="AG9" s="129"/>
      <c r="AH9" s="19"/>
      <c r="AI9" s="20"/>
      <c r="AJ9" s="20"/>
      <c r="AK9" s="6"/>
      <c r="AL9" s="20"/>
      <c r="AM9" s="20"/>
      <c r="AN9" s="26"/>
      <c r="AO9" s="26"/>
      <c r="AP9" s="6"/>
      <c r="AQ9" s="276"/>
      <c r="AR9" s="6"/>
      <c r="AS9" s="6"/>
      <c r="AT9" s="6"/>
      <c r="AU9" s="29" t="s">
        <v>529</v>
      </c>
    </row>
    <row r="10" spans="1:52" x14ac:dyDescent="0.3">
      <c r="A10" s="3">
        <v>43333</v>
      </c>
      <c r="B10" s="29">
        <v>7</v>
      </c>
      <c r="C10" s="6">
        <v>658.7</v>
      </c>
      <c r="D10" s="162">
        <f t="shared" ref="D10:D39" si="0">C10/1000*24</f>
        <v>15.808800000000002</v>
      </c>
      <c r="E10" s="163">
        <v>2</v>
      </c>
      <c r="F10" s="163">
        <v>4</v>
      </c>
      <c r="G10" s="163">
        <f>IFERROR(Information!$R$40/(stableSSBR[[#This Row],[Flow 
(L h-1)]]*stableSSBR[[#This Row],[Batch cycles]]*stableSSBR[[#This Row],[Cycle duration 
(h)]]/1000)*24,0)</f>
        <v>36.435403066646423</v>
      </c>
      <c r="H10" s="6">
        <v>0.2129701596113808</v>
      </c>
      <c r="I10" s="6">
        <v>7.2713740458015463</v>
      </c>
      <c r="J10" s="6">
        <v>29.483194444444461</v>
      </c>
      <c r="K10" s="41">
        <f>stableSSBR[[#This Row],[MLVSS 
(mg L-1)]]/0.4</f>
        <v>13200</v>
      </c>
      <c r="L10" s="41">
        <f>2640*2</f>
        <v>5280</v>
      </c>
      <c r="M10" s="29">
        <v>1345</v>
      </c>
      <c r="N10" s="29">
        <f>stableSSBR[[#This Row],[COD 
(mg L-1)]]*Information!$AK$41</f>
        <v>1089.45</v>
      </c>
      <c r="O10" s="29">
        <v>1105</v>
      </c>
      <c r="P10" s="29">
        <v>8.3000000000000007</v>
      </c>
      <c r="Q10" s="29">
        <v>418</v>
      </c>
      <c r="R10" s="29">
        <v>155</v>
      </c>
      <c r="S10" s="29">
        <v>3.71</v>
      </c>
      <c r="T10" s="29">
        <v>3.5</v>
      </c>
      <c r="U10" s="6">
        <f>stableSSBR[[#This Row],[NH4-N 
(mg L-1)]]*1.288</f>
        <v>275.16831999999999</v>
      </c>
      <c r="V10" s="6">
        <f>(stableSSBR[[#This Row],[NO3-N 
(mg L-1)]])*4.426</f>
        <v>12.308706000000001</v>
      </c>
      <c r="W10" s="6">
        <f>stableSSBR[[#This Row],[NO2-N 
(mg L-1)]]*3.284</f>
        <v>2.3611959999999996</v>
      </c>
      <c r="X10" s="29">
        <v>213.64</v>
      </c>
      <c r="Y10" s="29">
        <v>0.71899999999999997</v>
      </c>
      <c r="Z10" s="6">
        <f>IF(stableSSBR[[#This Row],[TON 
(mg L-1)]]-stableSSBR[[#This Row],[NO2-N 
(mg L-1)]]&lt;0,0.19,stableSSBR[[#This Row],[TON 
(mg L-1)]]-stableSSBR[[#This Row],[NO2-N 
(mg L-1)]])</f>
        <v>2.7810000000000001</v>
      </c>
      <c r="AA10" s="4">
        <f>SUM(stableSSBR[[#This Row],[NO3-N 
(mg L-1)]],stableSSBR[[#This Row],[NO2-N 
(mg L-1)]],stableSSBR[[#This Row],[NH4-N 
(mg L-1)]])</f>
        <v>217.14</v>
      </c>
      <c r="AB10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2.3175772525750858E-3</v>
      </c>
      <c r="AC10" s="48">
        <f>IF(IFERROR(stableSSBR[[#This Row],[NO2-N 
(mg L-1)]]/stableSSBR[[#This Row],[NH4-N 
(mg L-1)]],0)&lt;0,0,IFERROR(stableSSBR[[#This Row],[NO2-N 
(mg L-1)]]/stableSSBR[[#This Row],[NH4-N 
(mg L-1)]],0))</f>
        <v>3.3654746302190603E-3</v>
      </c>
      <c r="AD10" s="48">
        <f>stableSSBR[[#This Row],[NO2-N 
(mg L-1)]]/(stableSSBR[[#This Row],[NO3-N 
(mg L-1)]]+stableSSBR[[#This Row],[NO2-N 
(mg L-1)]])</f>
        <v>0.20542857142857143</v>
      </c>
      <c r="AE10" s="20">
        <f>46/14*stableSSBR[[#This Row],[NO2-N 
(mg L-1)]]/(EXP(-2300/(stableSSBR[[#This Row],[Temp. 
(°C)]]+273))*10^(stableSSBR[[#This Row],[pHreactor]]))</f>
        <v>2.5365407633716984E-4</v>
      </c>
      <c r="AF10" s="20">
        <f>17/14*(stableSSBR[NH4-N 
(mg L-1)]*10^stableSSBR[[#This Row],[pHreactor]])/(EXP((6344/(273+stableSSBR[[#This Row],[Temp. 
(°C)]])))+10^stableSSBR[pHreactor])</f>
        <v>3.7206332871627712</v>
      </c>
      <c r="AG10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1196.46</v>
      </c>
      <c r="AH10" s="19">
        <f>IFERROR(IF(Influent[[#This Row],[COD (mg L-1)]]-stableSSBR[[#This Row],[COD 
(mg L-1)]]&lt;0,0,Influent[[#This Row],[COD (mg L-1)]]-stableSSBR[[#This Row],[COD 
(mg L-1)]]),0)</f>
        <v>2625</v>
      </c>
      <c r="AI10" s="20">
        <f>Influent[[#This Row],[COD (mg L-1)]]/stableSSBR[HRT 
(h)]*24/1000</f>
        <v>2.6150389999999999</v>
      </c>
      <c r="AJ10" s="20">
        <f>IF(((stableSSBR[[#This Row],[ΔC   (mg L-1)]])/stableSSBR[[#This Row],[HRT 
(h)]]*24/1000) &lt;0,0, (stableSSBR[[#This Row],[ΔC   (mg L-1)]])/stableSSBR[HRT 
(h)]*24/1000)</f>
        <v>1.7290875000000001</v>
      </c>
      <c r="AK10" s="6">
        <f>IF(IFERROR((Influent[[#This Row],[NH4-N (mg L-1)]])*stableSSBR[ARE 
(%)]/stableSSBR[HRT 
(h)]*24/1000,0)&lt;0,0,IFERROR((Influent[[#This Row],[NH4-N (mg L-1)]])*stableSSBR[ARE 
(%)]/stableSSBR[HRT 
(h)]*24/1000,0))</f>
        <v>0.79041365200000002</v>
      </c>
      <c r="AL10" s="20">
        <f>Influent[[#This Row],[TN (mg L-1)]]/stableSSBR[[#This Row],[HRT 
(h)]]*24/1000</f>
        <v>0.93127006000000001</v>
      </c>
      <c r="AM10" s="20">
        <f>stableSSBR[[#This Row],[NLR 
(kg N m-3 d-1)]]*stableSSBR[[#This Row],[NRE 
(%)]]</f>
        <v>0.78823994199999992</v>
      </c>
      <c r="AN10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0.84886813808715345</v>
      </c>
      <c r="AO10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0.8464139199320978</v>
      </c>
      <c r="AP10" s="6">
        <v>2.1000000000000001E-2</v>
      </c>
      <c r="AQ10" s="276">
        <f>stableSSBR[[#This Row],[SAA 
(g N g VSS-1 d-1)]]/MAX(stableSSBR[SAA 
(g N g VSS-1 d-1)])</f>
        <v>0.30882352941176472</v>
      </c>
      <c r="AR10" s="6">
        <f>stableSSBR[[#This Row],[NH4-N 
(mg L-1)]]-20</f>
        <v>193.64</v>
      </c>
      <c r="AS10" s="6">
        <f>stableSSBR[[#This Row],[Ammonia residual to reach target]]*2.19</f>
        <v>424.07159999999993</v>
      </c>
      <c r="AT10" s="6">
        <f>stableSSBR[[#This Row],[Alkalinity 
(mg CaCO3 L-1) ]]-stableSSBR[[#This Row],[Alkalinity need]]-70</f>
        <v>610.92840000000001</v>
      </c>
    </row>
    <row r="11" spans="1:52" x14ac:dyDescent="0.3">
      <c r="A11" s="3">
        <v>43334</v>
      </c>
      <c r="B11" s="29">
        <v>8</v>
      </c>
      <c r="C11" s="6">
        <v>635.5</v>
      </c>
      <c r="D11" s="162">
        <f t="shared" si="0"/>
        <v>15.251999999999999</v>
      </c>
      <c r="E11" s="163">
        <v>2</v>
      </c>
      <c r="F11" s="163">
        <v>4</v>
      </c>
      <c r="G11" s="163">
        <f>IFERROR(Information!$R$40/(stableSSBR[[#This Row],[Flow 
(L h-1)]]*stableSSBR[[#This Row],[Batch cycles]]*stableSSBR[[#This Row],[Cycle duration 
(h)]]/1000)*24,0)</f>
        <v>37.765538945712038</v>
      </c>
      <c r="H11" s="6">
        <v>0.22548230395558641</v>
      </c>
      <c r="I11" s="6">
        <v>7.1040922970159821</v>
      </c>
      <c r="J11" s="6">
        <v>28.499097222222229</v>
      </c>
      <c r="K11" s="41"/>
      <c r="L11" s="41"/>
      <c r="M11" s="29">
        <v>1258</v>
      </c>
      <c r="N11" s="29">
        <f>stableSSBR[[#This Row],[COD 
(mg L-1)]]*Information!$AK$41</f>
        <v>1018.98</v>
      </c>
      <c r="O11" s="29">
        <v>1176</v>
      </c>
      <c r="P11" s="29">
        <v>8.3000000000000007</v>
      </c>
      <c r="Q11" s="29">
        <v>240</v>
      </c>
      <c r="R11" s="29">
        <v>91</v>
      </c>
      <c r="S11" s="29">
        <v>3.65</v>
      </c>
      <c r="T11" s="29">
        <v>3.9</v>
      </c>
      <c r="U11" s="6">
        <f>stableSSBR[[#This Row],[NH4-N 
(mg L-1)]]*1.288</f>
        <v>302.83456000000001</v>
      </c>
      <c r="V11" s="6">
        <f>(stableSSBR[[#This Row],[NO3-N 
(mg L-1)]])*4.426</f>
        <v>12.888512</v>
      </c>
      <c r="W11" s="6">
        <f>stableSSBR[[#This Row],[NO2-N 
(mg L-1)]]*3.284</f>
        <v>3.2445919999999999</v>
      </c>
      <c r="X11" s="29">
        <v>235.12</v>
      </c>
      <c r="Y11" s="29">
        <v>0.98799999999999999</v>
      </c>
      <c r="Z11" s="6">
        <f>IF(stableSSBR[[#This Row],[TON 
(mg L-1)]]-stableSSBR[[#This Row],[NO2-N 
(mg L-1)]]&lt;0,0.19,stableSSBR[[#This Row],[TON 
(mg L-1)]]-stableSSBR[[#This Row],[NO2-N 
(mg L-1)]])</f>
        <v>2.9119999999999999</v>
      </c>
      <c r="AA11" s="4">
        <f>SUM(stableSSBR[[#This Row],[NO3-N 
(mg L-1)]],stableSSBR[[#This Row],[NO2-N 
(mg L-1)]],stableSSBR[[#This Row],[NH4-N 
(mg L-1)]])</f>
        <v>239.02</v>
      </c>
      <c r="AB11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2.3350546877505853E-3</v>
      </c>
      <c r="AC11" s="48">
        <f>IF(IFERROR(stableSSBR[[#This Row],[NO2-N 
(mg L-1)]]/stableSSBR[[#This Row],[NH4-N 
(mg L-1)]],0)&lt;0,0,IFERROR(stableSSBR[[#This Row],[NO2-N 
(mg L-1)]]/stableSSBR[[#This Row],[NH4-N 
(mg L-1)]],0))</f>
        <v>4.2021095610751957E-3</v>
      </c>
      <c r="AD11" s="48">
        <f>stableSSBR[[#This Row],[NO2-N 
(mg L-1)]]/(stableSSBR[[#This Row],[NO3-N 
(mg L-1)]]+stableSSBR[[#This Row],[NO2-N 
(mg L-1)]])</f>
        <v>0.25333333333333335</v>
      </c>
      <c r="AE11" s="20">
        <f>46/14*stableSSBR[[#This Row],[NO2-N 
(mg L-1)]]/(EXP(-2300/(stableSSBR[[#This Row],[Temp. 
(°C)]]+273))*10^(stableSSBR[[#This Row],[pHreactor]]))</f>
        <v>5.2520670543501255E-4</v>
      </c>
      <c r="AF11" s="20">
        <f>17/14*(stableSSBR[NH4-N 
(mg L-1)]*10^stableSSBR[[#This Row],[pHreactor]])/(EXP((6344/(273+stableSSBR[[#This Row],[Temp. 
(°C)]])))+10^stableSSBR[pHreactor])</f>
        <v>2.6151065078474787</v>
      </c>
      <c r="AG11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1243.18</v>
      </c>
      <c r="AH11" s="19">
        <f>IFERROR(IF(Influent[[#This Row],[COD (mg L-1)]]-stableSSBR[[#This Row],[COD 
(mg L-1)]]&lt;0,0,Influent[[#This Row],[COD (mg L-1)]]-stableSSBR[[#This Row],[COD 
(mg L-1)]]),0)</f>
        <v>2682</v>
      </c>
      <c r="AI11" s="20">
        <f>Influent[[#This Row],[COD (mg L-1)]]/stableSSBR[HRT 
(h)]*24/1000</f>
        <v>2.50387</v>
      </c>
      <c r="AJ11" s="20">
        <f>IF(((stableSSBR[[#This Row],[ΔC   (mg L-1)]])/stableSSBR[[#This Row],[HRT 
(h)]]*24/1000) &lt;0,0, (stableSSBR[[#This Row],[ΔC   (mg L-1)]])/stableSSBR[HRT 
(h)]*24/1000)</f>
        <v>1.7044109999999999</v>
      </c>
      <c r="AK11" s="6">
        <f>IF(IFERROR((Influent[[#This Row],[NH4-N (mg L-1)]])*stableSSBR[ARE 
(%)]/stableSSBR[HRT 
(h)]*24/1000,0)&lt;0,0,IFERROR((Influent[[#This Row],[NH4-N (mg L-1)]])*stableSSBR[ARE 
(%)]/stableSSBR[HRT 
(h)]*24/1000,0))</f>
        <v>0.79251934000000002</v>
      </c>
      <c r="AL11" s="20">
        <f>Influent[[#This Row],[TN (mg L-1)]]/stableSSBR[[#This Row],[HRT 
(h)]]*24/1000</f>
        <v>0.94206520000000016</v>
      </c>
      <c r="AM11" s="20">
        <f>stableSSBR[[#This Row],[NLR 
(kg N m-3 d-1)]]*stableSSBR[[#This Row],[NRE 
(%)]]</f>
        <v>0.79016799000000015</v>
      </c>
      <c r="AN11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0.84137093509647809</v>
      </c>
      <c r="AO11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0.83876146788990824</v>
      </c>
      <c r="AP11" s="6"/>
      <c r="AQ11" s="276"/>
      <c r="AR11" s="6">
        <f>stableSSBR[[#This Row],[NH4-N 
(mg L-1)]]-20</f>
        <v>215.12</v>
      </c>
      <c r="AS11" s="6">
        <f>stableSSBR[[#This Row],[Ammonia residual to reach target]]*2.19</f>
        <v>471.11279999999999</v>
      </c>
      <c r="AT11" s="6">
        <f>stableSSBR[[#This Row],[Alkalinity 
(mg CaCO3 L-1) ]]-stableSSBR[[#This Row],[Alkalinity need]]-70</f>
        <v>634.88720000000001</v>
      </c>
    </row>
    <row r="12" spans="1:52" x14ac:dyDescent="0.3">
      <c r="A12" s="3">
        <v>43335</v>
      </c>
      <c r="B12" s="29">
        <v>9</v>
      </c>
      <c r="C12" s="6">
        <v>766</v>
      </c>
      <c r="D12" s="162">
        <f t="shared" si="0"/>
        <v>18.384</v>
      </c>
      <c r="E12" s="163">
        <v>2</v>
      </c>
      <c r="F12" s="163">
        <v>4</v>
      </c>
      <c r="G12" s="163">
        <f>IFERROR(Information!$R$40/(stableSSBR[[#This Row],[Flow 
(L h-1)]]*stableSSBR[[#This Row],[Batch cycles]]*stableSSBR[[#This Row],[Cycle duration 
(h)]]/1000)*24,0)</f>
        <v>31.331592689295043</v>
      </c>
      <c r="H12" s="6">
        <v>0.1413185287994462</v>
      </c>
      <c r="I12" s="6">
        <v>6.8370596807772053</v>
      </c>
      <c r="J12" s="6">
        <v>26.52756944444446</v>
      </c>
      <c r="K12" s="41">
        <v>14060</v>
      </c>
      <c r="L12" s="41">
        <v>6230</v>
      </c>
      <c r="M12" s="29">
        <v>1290</v>
      </c>
      <c r="N12" s="29">
        <f>stableSSBR[[#This Row],[COD 
(mg L-1)]]*Information!$AK$41</f>
        <v>1044.9000000000001</v>
      </c>
      <c r="O12" s="29">
        <v>1058</v>
      </c>
      <c r="P12" s="29">
        <v>9.1999999999999993</v>
      </c>
      <c r="Q12" s="29">
        <v>316</v>
      </c>
      <c r="R12" s="29">
        <v>127</v>
      </c>
      <c r="S12" s="29">
        <v>2.9</v>
      </c>
      <c r="T12" s="29">
        <v>10.5</v>
      </c>
      <c r="U12" s="6">
        <f>stableSSBR[[#This Row],[NH4-N 
(mg L-1)]]*1.288</f>
        <v>284.78968000000003</v>
      </c>
      <c r="V12" s="6">
        <f>(stableSSBR[[#This Row],[NO3-N 
(mg L-1)]])*4.426</f>
        <v>18.044802000000001</v>
      </c>
      <c r="W12" s="6">
        <f>stableSSBR[[#This Row],[NO2-N 
(mg L-1)]]*3.284</f>
        <v>21.093132000000001</v>
      </c>
      <c r="X12" s="29">
        <v>221.11</v>
      </c>
      <c r="Y12" s="29">
        <v>6.423</v>
      </c>
      <c r="Z12" s="6">
        <f>IF(stableSSBR[[#This Row],[TON 
(mg L-1)]]-stableSSBR[[#This Row],[NO2-N 
(mg L-1)]]&lt;0,0.19,stableSSBR[[#This Row],[TON 
(mg L-1)]]-stableSSBR[[#This Row],[NO2-N 
(mg L-1)]])</f>
        <v>4.077</v>
      </c>
      <c r="AA12" s="4">
        <f>SUM(stableSSBR[[#This Row],[NO3-N 
(mg L-1)]],stableSSBR[[#This Row],[NO2-N 
(mg L-1)]],stableSSBR[[#This Row],[NH4-N 
(mg L-1)]])</f>
        <v>231.61</v>
      </c>
      <c r="AB12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3.3298213804425062E-3</v>
      </c>
      <c r="AC12" s="48">
        <f>IF(IFERROR(stableSSBR[[#This Row],[NO2-N 
(mg L-1)]]/stableSSBR[[#This Row],[NH4-N 
(mg L-1)]],0)&lt;0,0,IFERROR(stableSSBR[[#This Row],[NO2-N 
(mg L-1)]]/stableSSBR[[#This Row],[NH4-N 
(mg L-1)]],0))</f>
        <v>2.9048889692913027E-2</v>
      </c>
      <c r="AD12" s="48">
        <f>stableSSBR[[#This Row],[NO2-N 
(mg L-1)]]/(stableSSBR[[#This Row],[NO3-N 
(mg L-1)]]+stableSSBR[[#This Row],[NO2-N 
(mg L-1)]])</f>
        <v>0.61171428571428577</v>
      </c>
      <c r="AE12" s="20">
        <f>46/14*stableSSBR[[#This Row],[NO2-N 
(mg L-1)]]/(EXP(-2300/(stableSSBR[[#This Row],[Temp. 
(°C)]]+273))*10^(stableSSBR[[#This Row],[pHreactor]]))</f>
        <v>6.6397338361079026E-3</v>
      </c>
      <c r="AF12" s="20">
        <f>17/14*(stableSSBR[NH4-N 
(mg L-1)]*10^stableSSBR[[#This Row],[pHreactor]])/(EXP((6344/(273+stableSSBR[[#This Row],[Temp. 
(°C)]])))+10^stableSSBR[pHreactor])</f>
        <v>1.1634213792463444</v>
      </c>
      <c r="AG12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1213.8899999999999</v>
      </c>
      <c r="AH12" s="19">
        <f>IFERROR(IF(Influent[[#This Row],[COD (mg L-1)]]-stableSSBR[[#This Row],[COD 
(mg L-1)]]&lt;0,0,Influent[[#This Row],[COD (mg L-1)]]-stableSSBR[[#This Row],[COD 
(mg L-1)]]),0)</f>
        <v>2555</v>
      </c>
      <c r="AI12" s="20">
        <f>Influent[[#This Row],[COD (mg L-1)]]/stableSSBR[HRT 
(h)]*24/1000</f>
        <v>2.9452699999999994</v>
      </c>
      <c r="AJ12" s="20">
        <f>IF(((stableSSBR[[#This Row],[ΔC   (mg L-1)]])/stableSSBR[[#This Row],[HRT 
(h)]]*24/1000) &lt;0,0, (stableSSBR[[#This Row],[ΔC   (mg L-1)]])/stableSSBR[HRT 
(h)]*24/1000)</f>
        <v>1.9571299999999996</v>
      </c>
      <c r="AK12" s="6">
        <f>IF(IFERROR((Influent[[#This Row],[NH4-N (mg L-1)]])*stableSSBR[ARE 
(%)]/stableSSBR[HRT 
(h)]*24/1000,0)&lt;0,0,IFERROR((Influent[[#This Row],[NH4-N (mg L-1)]])*stableSSBR[ARE 
(%)]/stableSSBR[HRT 
(h)]*24/1000,0))</f>
        <v>0.93788273999999983</v>
      </c>
      <c r="AL12" s="20">
        <f>Influent[[#This Row],[TN (mg L-1)]]/stableSSBR[[#This Row],[HRT 
(h)]]*24/1000</f>
        <v>1.1074062</v>
      </c>
      <c r="AM12" s="20">
        <f>stableSSBR[[#This Row],[NLR 
(kg N m-3 d-1)]]*stableSSBR[[#This Row],[NRE 
(%)]]</f>
        <v>0.9299929400000001</v>
      </c>
      <c r="AN12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0.84703562781044617</v>
      </c>
      <c r="AO12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0.83979387148094353</v>
      </c>
      <c r="AP12" s="6"/>
      <c r="AQ12" s="276"/>
      <c r="AR12" s="6">
        <f>stableSSBR[[#This Row],[NH4-N 
(mg L-1)]]-20</f>
        <v>201.11</v>
      </c>
      <c r="AS12" s="6">
        <f>stableSSBR[[#This Row],[Ammonia residual to reach target]]*2.19</f>
        <v>440.43090000000001</v>
      </c>
      <c r="AT12" s="6">
        <f>stableSSBR[[#This Row],[Alkalinity 
(mg CaCO3 L-1) ]]-stableSSBR[[#This Row],[Alkalinity need]]-70</f>
        <v>547.56909999999993</v>
      </c>
      <c r="AU12" s="29" t="s">
        <v>532</v>
      </c>
    </row>
    <row r="13" spans="1:52" x14ac:dyDescent="0.3">
      <c r="A13" s="3">
        <v>43336</v>
      </c>
      <c r="B13" s="29">
        <v>10</v>
      </c>
      <c r="C13" s="6"/>
      <c r="D13" s="162"/>
      <c r="E13" s="163"/>
      <c r="F13" s="163"/>
      <c r="G13" s="163"/>
      <c r="H13" s="6"/>
      <c r="I13" s="6"/>
      <c r="J13" s="6"/>
      <c r="K13" s="41"/>
      <c r="L13" s="41"/>
      <c r="U13" s="6">
        <f>stableSSBR[[#This Row],[NH4-N 
(mg L-1)]]*1.288</f>
        <v>0</v>
      </c>
      <c r="V13" s="6">
        <f>(stableSSBR[[#This Row],[NO3-N 
(mg L-1)]])*4.426</f>
        <v>0</v>
      </c>
      <c r="W13" s="6">
        <f>stableSSBR[[#This Row],[NO2-N 
(mg L-1)]]*3.284</f>
        <v>0</v>
      </c>
      <c r="Z13" s="6"/>
      <c r="AA13" s="4"/>
      <c r="AB13" s="21"/>
      <c r="AC13" s="48"/>
      <c r="AD13" s="48"/>
      <c r="AE13" s="20"/>
      <c r="AF13" s="20"/>
      <c r="AG13" s="129"/>
      <c r="AH13" s="19"/>
      <c r="AI13" s="20"/>
      <c r="AJ13" s="20"/>
      <c r="AK13" s="6"/>
      <c r="AL13" s="20"/>
      <c r="AM13" s="20"/>
      <c r="AN13" s="26"/>
      <c r="AO13" s="26"/>
      <c r="AP13" s="6"/>
      <c r="AQ13" s="276"/>
      <c r="AR13" s="6"/>
      <c r="AS13" s="6"/>
      <c r="AT13" s="6"/>
    </row>
    <row r="14" spans="1:52" x14ac:dyDescent="0.3">
      <c r="A14" s="3">
        <v>43337</v>
      </c>
      <c r="B14" s="29">
        <v>11</v>
      </c>
      <c r="C14" s="6">
        <v>756</v>
      </c>
      <c r="D14" s="162">
        <f t="shared" si="0"/>
        <v>18.143999999999998</v>
      </c>
      <c r="E14" s="163">
        <v>2</v>
      </c>
      <c r="F14" s="163">
        <v>4</v>
      </c>
      <c r="G14" s="163">
        <f>IFERROR(Information!$R$40/(stableSSBR[[#This Row],[Flow 
(L h-1)]]*stableSSBR[[#This Row],[Batch cycles]]*stableSSBR[[#This Row],[Cycle duration 
(h)]]/1000)*24,0)</f>
        <v>31.746031746031747</v>
      </c>
      <c r="H14" s="6">
        <v>9.8979875086745633E-2</v>
      </c>
      <c r="I14" s="6">
        <v>6.7906217904233026</v>
      </c>
      <c r="J14" s="6">
        <v>24.466111111111111</v>
      </c>
      <c r="K14" s="41"/>
      <c r="L14" s="41"/>
      <c r="M14" s="29">
        <v>1138</v>
      </c>
      <c r="N14" s="29">
        <f>stableSSBR[[#This Row],[COD 
(mg L-1)]]*Information!$AK$41</f>
        <v>921.78000000000009</v>
      </c>
      <c r="O14" s="29">
        <v>600</v>
      </c>
      <c r="P14" s="29">
        <v>8.1</v>
      </c>
      <c r="Q14" s="29">
        <v>160</v>
      </c>
      <c r="R14" s="29">
        <v>48</v>
      </c>
      <c r="S14" s="29">
        <v>1.58</v>
      </c>
      <c r="T14" s="29">
        <v>22.6</v>
      </c>
      <c r="U14" s="6">
        <f>stableSSBR[[#This Row],[NH4-N 
(mg L-1)]]*1.288</f>
        <v>161.30912000000001</v>
      </c>
      <c r="V14" s="6">
        <f>(stableSSBR[[#This Row],[NO3-N 
(mg L-1)]])*4.426</f>
        <v>49.770370000000007</v>
      </c>
      <c r="W14" s="6">
        <f>stableSSBR[[#This Row],[NO2-N 
(mg L-1)]]*3.284</f>
        <v>37.289819999999999</v>
      </c>
      <c r="X14" s="29">
        <v>125.24</v>
      </c>
      <c r="Y14" s="29">
        <v>11.355</v>
      </c>
      <c r="Z14" s="6">
        <f>IF(stableSSBR[[#This Row],[TON 
(mg L-1)]]-stableSSBR[[#This Row],[NO2-N 
(mg L-1)]]&lt;0,0.19,stableSSBR[[#This Row],[TON 
(mg L-1)]]-stableSSBR[[#This Row],[NO2-N 
(mg L-1)]])</f>
        <v>11.245000000000001</v>
      </c>
      <c r="AA14" s="4">
        <f>SUM(stableSSBR[[#This Row],[NO3-N 
(mg L-1)]],stableSSBR[[#This Row],[NO2-N 
(mg L-1)]],stableSSBR[[#This Row],[NH4-N 
(mg L-1)]])</f>
        <v>147.84</v>
      </c>
      <c r="AB14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8.6722810914194939E-3</v>
      </c>
      <c r="AC14" s="48">
        <f>IF(IFERROR(stableSSBR[[#This Row],[NO2-N 
(mg L-1)]]/stableSSBR[[#This Row],[NH4-N 
(mg L-1)]],0)&lt;0,0,IFERROR(stableSSBR[[#This Row],[NO2-N 
(mg L-1)]]/stableSSBR[[#This Row],[NH4-N 
(mg L-1)]],0))</f>
        <v>9.0665921430852767E-2</v>
      </c>
      <c r="AD14" s="48">
        <f>stableSSBR[[#This Row],[NO2-N 
(mg L-1)]]/(stableSSBR[[#This Row],[NO3-N 
(mg L-1)]]+stableSSBR[[#This Row],[NO2-N 
(mg L-1)]])</f>
        <v>0.50243362831858407</v>
      </c>
      <c r="AE14" s="20">
        <f>46/14*stableSSBR[[#This Row],[NO2-N 
(mg L-1)]]/(EXP(-2300/(stableSSBR[[#This Row],[Temp. 
(°C)]]+273))*10^(stableSSBR[[#This Row],[pHreactor]]))</f>
        <v>1.3776802754153999E-2</v>
      </c>
      <c r="AF14" s="20">
        <f>17/14*(stableSSBR[NH4-N 
(mg L-1)]*10^stableSSBR[[#This Row],[pHreactor]])/(EXP((6344/(273+stableSSBR[[#This Row],[Temp. 
(°C)]])))+10^stableSSBR[pHreactor])</f>
        <v>0.51181202206605947</v>
      </c>
      <c r="AG14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1274.0600000000002</v>
      </c>
      <c r="AH14" s="19">
        <f>IFERROR(IF(Influent[[#This Row],[COD (mg L-1)]]-stableSSBR[[#This Row],[COD 
(mg L-1)]]&lt;0,0,Influent[[#This Row],[COD (mg L-1)]]-stableSSBR[[#This Row],[COD 
(mg L-1)]]),0)</f>
        <v>2712</v>
      </c>
      <c r="AI14" s="20">
        <f>Influent[[#This Row],[COD (mg L-1)]]/stableSSBR[HRT 
(h)]*24/1000</f>
        <v>2.9106000000000001</v>
      </c>
      <c r="AJ14" s="20">
        <f>IF(((stableSSBR[[#This Row],[ΔC   (mg L-1)]])/stableSSBR[[#This Row],[HRT 
(h)]]*24/1000) &lt;0,0, (stableSSBR[[#This Row],[ΔC   (mg L-1)]])/stableSSBR[HRT 
(h)]*24/1000)</f>
        <v>2.0502720000000001</v>
      </c>
      <c r="AK14" s="6">
        <f>IF(IFERROR((Influent[[#This Row],[NH4-N (mg L-1)]])*stableSSBR[ARE 
(%)]/stableSSBR[HRT 
(h)]*24/1000,0)&lt;0,0,IFERROR((Influent[[#This Row],[NH4-N (mg L-1)]])*stableSSBR[ARE 
(%)]/stableSSBR[HRT 
(h)]*24/1000,0))</f>
        <v>0.98027496000000003</v>
      </c>
      <c r="AL14" s="20">
        <f>Influent[[#This Row],[TN (mg L-1)]]/stableSSBR[[#This Row],[HRT 
(h)]]*24/1000</f>
        <v>1.0751075999999999</v>
      </c>
      <c r="AM14" s="20">
        <f>stableSSBR[[#This Row],[NLR 
(kg N m-3 d-1)]]*stableSSBR[[#This Row],[NRE 
(%)]]</f>
        <v>0.96334056000000001</v>
      </c>
      <c r="AN14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0.9119206695266896</v>
      </c>
      <c r="AO14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0.89604106602911193</v>
      </c>
      <c r="AP14" s="6"/>
      <c r="AQ14" s="276"/>
      <c r="AR14" s="6">
        <f>stableSSBR[[#This Row],[NH4-N 
(mg L-1)]]-20</f>
        <v>105.24</v>
      </c>
      <c r="AS14" s="6">
        <f>stableSSBR[[#This Row],[Ammonia residual to reach target]]*2.19</f>
        <v>230.47559999999999</v>
      </c>
      <c r="AT14" s="6">
        <f>stableSSBR[[#This Row],[Alkalinity 
(mg CaCO3 L-1) ]]-stableSSBR[[#This Row],[Alkalinity need]]-70</f>
        <v>299.52440000000001</v>
      </c>
    </row>
    <row r="15" spans="1:52" x14ac:dyDescent="0.3">
      <c r="A15" s="3">
        <v>43338</v>
      </c>
      <c r="B15" s="29">
        <v>12</v>
      </c>
      <c r="C15" s="6">
        <v>14.5</v>
      </c>
      <c r="D15" s="162">
        <f t="shared" si="0"/>
        <v>0.34800000000000003</v>
      </c>
      <c r="E15" s="163">
        <v>2</v>
      </c>
      <c r="F15" s="163">
        <v>4</v>
      </c>
      <c r="G15" s="163">
        <f>IFERROR(Information!$R$40/(stableSSBR[[#This Row],[Flow 
(L h-1)]]*stableSSBR[[#This Row],[Batch cycles]]*stableSSBR[[#This Row],[Cycle duration 
(h)]]/1000)*24,0)</f>
        <v>1655.1724137931033</v>
      </c>
      <c r="H15" s="6">
        <v>6.3908205841446838E-2</v>
      </c>
      <c r="I15" s="6">
        <v>6.7852906815020857</v>
      </c>
      <c r="J15" s="6">
        <v>24.490555555555581</v>
      </c>
      <c r="K15" s="41"/>
      <c r="L15" s="41"/>
      <c r="M15" s="29">
        <v>1125</v>
      </c>
      <c r="N15" s="29">
        <f>stableSSBR[[#This Row],[COD 
(mg L-1)]]*Information!$AK$41</f>
        <v>911.25000000000011</v>
      </c>
      <c r="O15" s="29">
        <v>588</v>
      </c>
      <c r="P15" s="29">
        <v>8.1</v>
      </c>
      <c r="Q15" s="29">
        <v>113.3</v>
      </c>
      <c r="R15" s="29">
        <v>32</v>
      </c>
      <c r="S15" s="29">
        <v>1.1399999999999999</v>
      </c>
      <c r="T15" s="29">
        <v>21.5</v>
      </c>
      <c r="U15" s="6">
        <f>stableSSBR[[#This Row],[NH4-N 
(mg L-1)]]*1.288</f>
        <v>163.24112</v>
      </c>
      <c r="V15" s="6">
        <f>(stableSSBR[[#This Row],[NO3-N 
(mg L-1)]])*4.426</f>
        <v>47.220994000000005</v>
      </c>
      <c r="W15" s="6">
        <f>stableSSBR[[#This Row],[NO2-N 
(mg L-1)]]*3.284</f>
        <v>35.569004</v>
      </c>
      <c r="X15" s="29">
        <v>126.74</v>
      </c>
      <c r="Y15" s="29">
        <v>10.831</v>
      </c>
      <c r="Z15" s="6">
        <f>IF(stableSSBR[[#This Row],[TON 
(mg L-1)]]-stableSSBR[[#This Row],[NO2-N 
(mg L-1)]]&lt;0,0.19,stableSSBR[[#This Row],[TON 
(mg L-1)]]-stableSSBR[[#This Row],[NO2-N 
(mg L-1)]])</f>
        <v>10.669</v>
      </c>
      <c r="AA15" s="4">
        <f>SUM(stableSSBR[[#This Row],[NO3-N 
(mg L-1)]],stableSSBR[[#This Row],[NO2-N 
(mg L-1)]],stableSSBR[[#This Row],[NH4-N 
(mg L-1)]])</f>
        <v>148.24</v>
      </c>
      <c r="AB15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8.2682352211785864E-3</v>
      </c>
      <c r="AC15" s="48">
        <f>IF(IFERROR(stableSSBR[[#This Row],[NO2-N 
(mg L-1)]]/stableSSBR[[#This Row],[NH4-N 
(mg L-1)]],0)&lt;0,0,IFERROR(stableSSBR[[#This Row],[NO2-N 
(mg L-1)]]/stableSSBR[[#This Row],[NH4-N 
(mg L-1)]],0))</f>
        <v>8.5458418810162542E-2</v>
      </c>
      <c r="AD15" s="48">
        <f>stableSSBR[[#This Row],[NO2-N 
(mg L-1)]]/(stableSSBR[[#This Row],[NO3-N 
(mg L-1)]]+stableSSBR[[#This Row],[NO2-N 
(mg L-1)]])</f>
        <v>0.50376744186046507</v>
      </c>
      <c r="AE15" s="20">
        <f>46/14*stableSSBR[[#This Row],[NO2-N 
(mg L-1)]]/(EXP(-2300/(stableSSBR[[#This Row],[Temp. 
(°C)]]+273))*10^(stableSSBR[[#This Row],[pHreactor]]))</f>
        <v>1.329489916350996E-2</v>
      </c>
      <c r="AF15" s="20">
        <f>17/14*(stableSSBR[NH4-N 
(mg L-1)]*10^stableSSBR[[#This Row],[pHreactor]])/(EXP((6344/(273+stableSSBR[[#This Row],[Temp. 
(°C)]])))+10^stableSSBR[pHreactor])</f>
        <v>0.51253835950436821</v>
      </c>
      <c r="AG15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1268.8599999999999</v>
      </c>
      <c r="AH15" s="19">
        <f>IFERROR(IF(Influent[[#This Row],[COD (mg L-1)]]-stableSSBR[[#This Row],[COD 
(mg L-1)]]&lt;0,0,Influent[[#This Row],[COD (mg L-1)]]-stableSSBR[[#This Row],[COD 
(mg L-1)]]),0)</f>
        <v>2205</v>
      </c>
      <c r="AI15" s="20">
        <f>Influent[[#This Row],[COD (mg L-1)]]/stableSSBR[HRT 
(h)]*24/1000</f>
        <v>4.8285000000000008E-2</v>
      </c>
      <c r="AJ15" s="20">
        <f>IF(((stableSSBR[[#This Row],[ΔC   (mg L-1)]])/stableSSBR[[#This Row],[HRT 
(h)]]*24/1000) &lt;0,0, (stableSSBR[[#This Row],[ΔC   (mg L-1)]])/stableSSBR[HRT 
(h)]*24/1000)</f>
        <v>3.1972500000000001E-2</v>
      </c>
      <c r="AK15" s="6">
        <f>IF(IFERROR((Influent[[#This Row],[NH4-N (mg L-1)]])*stableSSBR[ARE 
(%)]/stableSSBR[HRT 
(h)]*24/1000,0)&lt;0,0,IFERROR((Influent[[#This Row],[NH4-N (mg L-1)]])*stableSSBR[ARE 
(%)]/stableSSBR[HRT 
(h)]*24/1000,0))</f>
        <v>1.871022E-2</v>
      </c>
      <c r="AL15" s="20">
        <f>Influent[[#This Row],[TN (mg L-1)]]/stableSSBR[[#This Row],[HRT 
(h)]]*24/1000</f>
        <v>2.0565350000000003E-2</v>
      </c>
      <c r="AM15" s="20">
        <f>stableSSBR[[#This Row],[NLR 
(kg N m-3 d-1)]]*stableSSBR[[#This Row],[NRE 
(%)]]</f>
        <v>1.8415870000000004E-2</v>
      </c>
      <c r="AN15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0.9105638275351069</v>
      </c>
      <c r="AO15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0.89548050482972574</v>
      </c>
      <c r="AP15" s="6"/>
      <c r="AQ15" s="276"/>
      <c r="AR15" s="6">
        <f>stableSSBR[[#This Row],[NH4-N 
(mg L-1)]]-20</f>
        <v>106.74</v>
      </c>
      <c r="AS15" s="6">
        <f>stableSSBR[[#This Row],[Ammonia residual to reach target]]*2.19</f>
        <v>233.76059999999998</v>
      </c>
      <c r="AT15" s="6">
        <f>stableSSBR[[#This Row],[Alkalinity 
(mg CaCO3 L-1) ]]-stableSSBR[[#This Row],[Alkalinity need]]-70</f>
        <v>284.23940000000005</v>
      </c>
    </row>
    <row r="16" spans="1:52" x14ac:dyDescent="0.3">
      <c r="A16" s="3">
        <v>43339</v>
      </c>
      <c r="B16" s="29">
        <v>13</v>
      </c>
      <c r="C16" s="161"/>
      <c r="D16" s="162"/>
      <c r="E16" s="163"/>
      <c r="F16" s="163"/>
      <c r="G16" s="163"/>
      <c r="H16" s="162"/>
      <c r="I16" s="162"/>
      <c r="J16" s="163"/>
      <c r="K16" s="41"/>
      <c r="L16" s="41"/>
      <c r="U16" s="6">
        <f>stableSSBR[[#This Row],[NH4-N 
(mg L-1)]]*1.288</f>
        <v>0</v>
      </c>
      <c r="V16" s="6">
        <f>(stableSSBR[[#This Row],[NO3-N 
(mg L-1)]])*4.426</f>
        <v>0</v>
      </c>
      <c r="W16" s="6">
        <f>stableSSBR[[#This Row],[NO2-N 
(mg L-1)]]*3.284</f>
        <v>0</v>
      </c>
      <c r="Z16" s="6"/>
      <c r="AA16" s="4"/>
      <c r="AB16" s="21"/>
      <c r="AC16" s="48"/>
      <c r="AD16" s="48"/>
      <c r="AE16" s="20"/>
      <c r="AF16" s="20"/>
      <c r="AG16" s="129"/>
      <c r="AH16" s="19"/>
      <c r="AI16" s="20"/>
      <c r="AJ16" s="20"/>
      <c r="AK16" s="6"/>
      <c r="AL16" s="20"/>
      <c r="AM16" s="20"/>
      <c r="AN16" s="26"/>
      <c r="AO16" s="26"/>
      <c r="AP16" s="6"/>
      <c r="AQ16" s="276"/>
      <c r="AR16" s="6"/>
      <c r="AS16" s="6"/>
      <c r="AT16" s="6"/>
    </row>
    <row r="17" spans="1:47" x14ac:dyDescent="0.3">
      <c r="A17" s="3">
        <v>43340</v>
      </c>
      <c r="B17" s="29">
        <v>14</v>
      </c>
      <c r="C17" s="161"/>
      <c r="D17" s="162"/>
      <c r="E17" s="163"/>
      <c r="F17" s="163"/>
      <c r="G17" s="163"/>
      <c r="H17" s="162"/>
      <c r="I17" s="162"/>
      <c r="J17" s="163"/>
      <c r="K17" s="41">
        <v>9500</v>
      </c>
      <c r="L17" s="41">
        <v>3550</v>
      </c>
      <c r="U17" s="6">
        <f>stableSSBR[[#This Row],[NH4-N 
(mg L-1)]]*1.288</f>
        <v>0</v>
      </c>
      <c r="V17" s="6">
        <f>(stableSSBR[[#This Row],[NO3-N 
(mg L-1)]])*4.426</f>
        <v>0</v>
      </c>
      <c r="W17" s="6">
        <f>stableSSBR[[#This Row],[NO2-N 
(mg L-1)]]*3.284</f>
        <v>0</v>
      </c>
      <c r="Z17" s="6"/>
      <c r="AA17" s="4"/>
      <c r="AB17" s="21"/>
      <c r="AC17" s="48"/>
      <c r="AD17" s="48"/>
      <c r="AE17" s="20"/>
      <c r="AF17" s="20"/>
      <c r="AG17" s="129"/>
      <c r="AH17" s="19"/>
      <c r="AI17" s="20"/>
      <c r="AJ17" s="20"/>
      <c r="AK17" s="6"/>
      <c r="AL17" s="20"/>
      <c r="AM17" s="20"/>
      <c r="AN17" s="26"/>
      <c r="AO17" s="26"/>
      <c r="AP17" s="6"/>
      <c r="AQ17" s="276"/>
      <c r="AR17" s="6"/>
      <c r="AS17" s="6"/>
      <c r="AT17" s="6"/>
      <c r="AU17" s="29" t="s">
        <v>534</v>
      </c>
    </row>
    <row r="18" spans="1:47" x14ac:dyDescent="0.3">
      <c r="A18" s="3">
        <v>43341</v>
      </c>
      <c r="B18" s="29">
        <v>15</v>
      </c>
      <c r="C18" s="6">
        <v>635.5</v>
      </c>
      <c r="D18" s="162">
        <f t="shared" ref="D18:D19" si="1">C18/1000*24</f>
        <v>15.251999999999999</v>
      </c>
      <c r="E18" s="163">
        <v>2</v>
      </c>
      <c r="F18" s="163">
        <v>4</v>
      </c>
      <c r="G18" s="163">
        <f>IFERROR(Information!$R$40/(stableSSBR[[#This Row],[Flow 
(L h-1)]]*stableSSBR[[#This Row],[Batch cycles]]*stableSSBR[[#This Row],[Cycle duration 
(h)]]/1000)*24,0)</f>
        <v>37.765538945712038</v>
      </c>
      <c r="H18" s="6">
        <v>0.22548230395558641</v>
      </c>
      <c r="I18" s="6">
        <v>7.1040922970159821</v>
      </c>
      <c r="J18" s="6">
        <v>28.499097222222229</v>
      </c>
      <c r="K18" s="163"/>
      <c r="L18" s="163"/>
      <c r="M18" s="29">
        <v>2390</v>
      </c>
      <c r="N18" s="29">
        <f>stableSSBR[[#This Row],[COD 
(mg L-1)]]*Information!$AK$41</f>
        <v>1935.9</v>
      </c>
      <c r="O18" s="29">
        <v>573</v>
      </c>
      <c r="P18" s="29">
        <v>8</v>
      </c>
      <c r="Q18" s="29">
        <v>6164</v>
      </c>
      <c r="S18" s="29">
        <v>1.29</v>
      </c>
      <c r="T18" s="29">
        <v>1.6</v>
      </c>
      <c r="U18" s="6">
        <f>stableSSBR[[#This Row],[NH4-N 
(mg L-1)]]*1.288</f>
        <v>147.56616</v>
      </c>
      <c r="V18" s="6">
        <f>(stableSSBR[[#This Row],[NO3-N 
(mg L-1)]])*4.426</f>
        <v>3.2088500000000004</v>
      </c>
      <c r="W18" s="6">
        <f>stableSSBR[[#This Row],[NO2-N 
(mg L-1)]]*3.284</f>
        <v>2.8734999999999999</v>
      </c>
      <c r="X18" s="29">
        <v>114.57</v>
      </c>
      <c r="Y18" s="29">
        <v>0.875</v>
      </c>
      <c r="Z18" s="6">
        <f>IF(stableSSBR[[#This Row],[TON 
(mg L-1)]]-stableSSBR[[#This Row],[NO2-N 
(mg L-1)]]&lt;0,0.19,stableSSBR[[#This Row],[TON 
(mg L-1)]]-stableSSBR[[#This Row],[NO2-N 
(mg L-1)]])</f>
        <v>0.72500000000000009</v>
      </c>
      <c r="AA18" s="4">
        <f>SUM(stableSSBR[[#This Row],[NO3-N 
(mg L-1)]],stableSSBR[[#This Row],[NO2-N 
(mg L-1)]],stableSSBR[[#This Row],[NH4-N 
(mg L-1)]])</f>
        <v>116.16999999999999</v>
      </c>
      <c r="AB18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6.460926987069235E-4</v>
      </c>
      <c r="AC18" s="48">
        <f>IF(IFERROR(stableSSBR[[#This Row],[NO2-N 
(mg L-1)]]/stableSSBR[[#This Row],[NH4-N 
(mg L-1)]],0)&lt;0,0,IFERROR(stableSSBR[[#This Row],[NO2-N 
(mg L-1)]]/stableSSBR[[#This Row],[NH4-N 
(mg L-1)]],0))</f>
        <v>7.6372523348171425E-3</v>
      </c>
      <c r="AD18" s="48">
        <f>stableSSBR[[#This Row],[NO2-N 
(mg L-1)]]/(stableSSBR[[#This Row],[NO3-N 
(mg L-1)]]+stableSSBR[[#This Row],[NO2-N 
(mg L-1)]])</f>
        <v>0.546875</v>
      </c>
      <c r="AE18" s="20">
        <f>46/14*stableSSBR[[#This Row],[NO2-N 
(mg L-1)]]/(EXP(-2300/(stableSSBR[[#This Row],[Temp. 
(°C)]]+273))*10^(stableSSBR[[#This Row],[pHreactor]]))</f>
        <v>4.6513751746521864E-4</v>
      </c>
      <c r="AF18" s="20">
        <f>17/14*(stableSSBR[NH4-N 
(mg L-1)]*10^stableSSBR[[#This Row],[pHreactor]])/(EXP((6344/(273+stableSSBR[[#This Row],[Temp. 
(°C)]])))+10^stableSSBR[pHreactor])</f>
        <v>1.2742971784794388</v>
      </c>
      <c r="AG18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1120.53</v>
      </c>
      <c r="AH18" s="19">
        <f>IFERROR(IF(Influent[[#This Row],[COD (mg L-1)]]-stableSSBR[[#This Row],[COD 
(mg L-1)]]&lt;0,0,Influent[[#This Row],[COD (mg L-1)]]-stableSSBR[[#This Row],[COD 
(mg L-1)]]),0)</f>
        <v>0</v>
      </c>
      <c r="AI18" s="20"/>
      <c r="AJ18" s="20"/>
      <c r="AK18" s="6">
        <f>IF(IFERROR((Influent[[#This Row],[NH4-N (mg L-1)]])*stableSSBR[ARE 
(%)]/stableSSBR[HRT 
(h)]*24/1000,0)&lt;0,0,IFERROR((Influent[[#This Row],[NH4-N (mg L-1)]])*stableSSBR[ARE 
(%)]/stableSSBR[HRT 
(h)]*24/1000,0))</f>
        <v>0.71311361500000003</v>
      </c>
      <c r="AL18" s="20">
        <f>Influent[[#This Row],[TN (mg L-1)]]/stableSSBR[[#This Row],[HRT 
(h)]]*24/1000</f>
        <v>0.78604995000000011</v>
      </c>
      <c r="AM18" s="20">
        <f>stableSSBR[[#This Row],[NLR 
(kg N m-3 d-1)]]*stableSSBR[[#This Row],[NRE 
(%)]]</f>
        <v>0.71222391500000004</v>
      </c>
      <c r="AN18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0.90735829222932007</v>
      </c>
      <c r="AO18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0.90607971541757615</v>
      </c>
      <c r="AP18" s="6"/>
      <c r="AQ18" s="276"/>
      <c r="AR18" s="6">
        <f>stableSSBR[[#This Row],[NH4-N 
(mg L-1)]]-20</f>
        <v>94.57</v>
      </c>
      <c r="AS18" s="6">
        <f>stableSSBR[[#This Row],[Ammonia residual to reach target]]*2.19</f>
        <v>207.10829999999999</v>
      </c>
      <c r="AT18" s="6">
        <f>stableSSBR[[#This Row],[Alkalinity 
(mg CaCO3 L-1) ]]-stableSSBR[[#This Row],[Alkalinity need]]-70</f>
        <v>295.89170000000001</v>
      </c>
    </row>
    <row r="19" spans="1:47" x14ac:dyDescent="0.3">
      <c r="A19" s="3">
        <v>43342</v>
      </c>
      <c r="B19" s="29">
        <v>16</v>
      </c>
      <c r="C19" s="6">
        <v>766</v>
      </c>
      <c r="D19" s="162">
        <f t="shared" si="1"/>
        <v>18.384</v>
      </c>
      <c r="E19" s="163">
        <v>2</v>
      </c>
      <c r="F19" s="163">
        <v>4</v>
      </c>
      <c r="G19" s="163">
        <f>IFERROR(Information!$R$40/(stableSSBR[[#This Row],[Flow 
(L h-1)]]*stableSSBR[[#This Row],[Batch cycles]]*stableSSBR[[#This Row],[Cycle duration 
(h)]]/1000)*24,0)</f>
        <v>31.331592689295043</v>
      </c>
      <c r="H19" s="6">
        <v>0.1413185287994462</v>
      </c>
      <c r="I19" s="6">
        <v>6.8370596807772053</v>
      </c>
      <c r="J19" s="6">
        <v>26.52756944444446</v>
      </c>
      <c r="K19" s="163"/>
      <c r="L19" s="163"/>
      <c r="M19" s="29">
        <v>4295</v>
      </c>
      <c r="N19" s="29">
        <f>stableSSBR[[#This Row],[COD 
(mg L-1)]]*Information!$AK$41</f>
        <v>3478.9500000000003</v>
      </c>
      <c r="O19" s="29">
        <v>579</v>
      </c>
      <c r="P19" s="29">
        <v>8</v>
      </c>
      <c r="Q19" s="29">
        <v>4300</v>
      </c>
      <c r="S19" s="29">
        <v>1.44</v>
      </c>
      <c r="T19" s="29">
        <v>0.2</v>
      </c>
      <c r="U19" s="6">
        <f>stableSSBR[[#This Row],[NH4-N 
(mg L-1)]]*1.288</f>
        <v>157.61256</v>
      </c>
      <c r="V19" s="6">
        <f>(stableSSBR[[#This Row],[NO3-N 
(mg L-1)]])*4.426</f>
        <v>0.84094000000000002</v>
      </c>
      <c r="W19" s="6">
        <f>stableSSBR[[#This Row],[NO2-N 
(mg L-1)]]*3.284</f>
        <v>1.681408</v>
      </c>
      <c r="X19" s="29">
        <v>122.37</v>
      </c>
      <c r="Y19" s="29">
        <v>0.51200000000000001</v>
      </c>
      <c r="Z19" s="6">
        <f>IF(stableSSBR[[#This Row],[TON 
(mg L-1)]]-stableSSBR[[#This Row],[NO2-N 
(mg L-1)]]&lt;0,0.19,stableSSBR[[#This Row],[TON 
(mg L-1)]]-stableSSBR[[#This Row],[NO2-N 
(mg L-1)]])</f>
        <v>0.19</v>
      </c>
      <c r="AA19" s="4">
        <f>SUM(stableSSBR[[#This Row],[NO3-N 
(mg L-1)]],stableSSBR[[#This Row],[NO2-N 
(mg L-1)]],stableSSBR[[#This Row],[NH4-N 
(mg L-1)]])</f>
        <v>123.072</v>
      </c>
      <c r="AB19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1.5686533523773355E-4</v>
      </c>
      <c r="AC19" s="164">
        <f>IF(IFERROR(stableSSBR[[#This Row],[NO2-N 
(mg L-1)]]/stableSSBR[[#This Row],[NH4-N 
(mg L-1)]],0)&lt;0,0,IFERROR(stableSSBR[[#This Row],[NO2-N 
(mg L-1)]]/stableSSBR[[#This Row],[NH4-N 
(mg L-1)]],0))</f>
        <v>4.1840320339952605E-3</v>
      </c>
      <c r="AD19" s="164">
        <f>stableSSBR[[#This Row],[NO2-N 
(mg L-1)]]/(stableSSBR[[#This Row],[NO3-N 
(mg L-1)]]+stableSSBR[[#This Row],[NO2-N 
(mg L-1)]])</f>
        <v>0.72934472934472938</v>
      </c>
      <c r="AE19" s="20">
        <f>46/14*stableSSBR[[#This Row],[NO2-N 
(mg L-1)]]/(EXP(-2300/(stableSSBR[[#This Row],[Temp. 
(°C)]]+273))*10^(stableSSBR[[#This Row],[pHreactor]]))</f>
        <v>5.292766190389609E-4</v>
      </c>
      <c r="AF19" s="20">
        <f>17/14*(stableSSBR[NH4-N 
(mg L-1)]*10^stableSSBR[[#This Row],[pHreactor]])/(EXP((6344/(273+stableSSBR[[#This Row],[Temp. 
(°C)]])))+10^stableSSBR[pHreactor])</f>
        <v>0.64387804340995503</v>
      </c>
      <c r="AG19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1210.5279999999998</v>
      </c>
      <c r="AH19" s="19">
        <f>IFERROR(IF(Influent[[#This Row],[COD (mg L-1)]]-stableSSBR[[#This Row],[COD 
(mg L-1)]]&lt;0,0,Influent[[#This Row],[COD (mg L-1)]]-stableSSBR[[#This Row],[COD 
(mg L-1)]]),0)</f>
        <v>0</v>
      </c>
      <c r="AI19" s="20"/>
      <c r="AJ19" s="20"/>
      <c r="AK19" s="6">
        <f>IF(IFERROR((Influent[[#This Row],[NH4-N (mg L-1)]])*stableSSBR[ARE 
(%)]/stableSSBR[HRT 
(h)]*24/1000,0)&lt;0,0,IFERROR((Influent[[#This Row],[NH4-N (mg L-1)]])*stableSSBR[ARE 
(%)]/stableSSBR[HRT 
(h)]*24/1000,0))</f>
        <v>0.92780217999999992</v>
      </c>
      <c r="AL19" s="20">
        <f>Influent[[#This Row],[TN (mg L-1)]]/stableSSBR[[#This Row],[HRT 
(h)]]*24/1000</f>
        <v>1.0216907999999998</v>
      </c>
      <c r="AM19" s="20">
        <f>stableSSBR[[#This Row],[NLR 
(kg N m-3 d-1)]]*stableSSBR[[#This Row],[NRE 
(%)]]</f>
        <v>0.92741764799999993</v>
      </c>
      <c r="AN19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0.9082408518296341</v>
      </c>
      <c r="AO19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0.90772829509671626</v>
      </c>
      <c r="AP19" s="6"/>
      <c r="AQ19" s="276"/>
      <c r="AR19" s="6">
        <f>stableSSBR[[#This Row],[NH4-N 
(mg L-1)]]-20</f>
        <v>102.37</v>
      </c>
      <c r="AS19" s="6">
        <f>stableSSBR[[#This Row],[Ammonia residual to reach target]]*2.19</f>
        <v>224.19030000000001</v>
      </c>
      <c r="AT19" s="6">
        <f>stableSSBR[[#This Row],[Alkalinity 
(mg CaCO3 L-1) ]]-stableSSBR[[#This Row],[Alkalinity need]]-70</f>
        <v>284.80970000000002</v>
      </c>
    </row>
    <row r="20" spans="1:47" x14ac:dyDescent="0.3">
      <c r="A20" s="3">
        <v>43343</v>
      </c>
      <c r="B20" s="29">
        <v>17</v>
      </c>
      <c r="C20" s="161"/>
      <c r="D20" s="162"/>
      <c r="E20" s="151"/>
      <c r="F20" s="151"/>
      <c r="G20" s="163"/>
      <c r="H20" s="162"/>
      <c r="I20" s="162"/>
      <c r="J20" s="163"/>
      <c r="K20" s="163"/>
      <c r="L20" s="163"/>
      <c r="U20" s="6">
        <f>stableSSBR[[#This Row],[NH4-N 
(mg L-1)]]*1.288</f>
        <v>0</v>
      </c>
      <c r="V20" s="6">
        <f>(stableSSBR[[#This Row],[NO3-N 
(mg L-1)]])*4.426</f>
        <v>0</v>
      </c>
      <c r="W20" s="6">
        <f>stableSSBR[[#This Row],[NO2-N 
(mg L-1)]]*3.284</f>
        <v>0</v>
      </c>
      <c r="Z20" s="6"/>
      <c r="AA20" s="4"/>
      <c r="AB20" s="21"/>
      <c r="AC20" s="164"/>
      <c r="AD20" s="164"/>
      <c r="AE20" s="20"/>
      <c r="AF20" s="20"/>
      <c r="AG20" s="129"/>
      <c r="AH20" s="19"/>
      <c r="AI20" s="20"/>
      <c r="AJ20" s="20"/>
      <c r="AK20" s="6"/>
      <c r="AL20" s="20"/>
      <c r="AM20" s="20"/>
      <c r="AN20" s="26"/>
      <c r="AO20" s="26"/>
      <c r="AP20" s="6"/>
      <c r="AQ20" s="276"/>
      <c r="AR20" s="6"/>
      <c r="AS20" s="6"/>
      <c r="AT20" s="6"/>
      <c r="AU20" s="29" t="s">
        <v>535</v>
      </c>
    </row>
    <row r="21" spans="1:47" x14ac:dyDescent="0.3">
      <c r="A21" s="3">
        <v>43344</v>
      </c>
      <c r="B21" s="29">
        <v>18</v>
      </c>
      <c r="C21" s="161"/>
      <c r="D21" s="162"/>
      <c r="E21" s="151"/>
      <c r="F21" s="151"/>
      <c r="G21" s="163"/>
      <c r="H21" s="162"/>
      <c r="I21" s="162"/>
      <c r="J21" s="163"/>
      <c r="K21" s="163"/>
      <c r="L21" s="163"/>
      <c r="U21" s="6">
        <f>stableSSBR[[#This Row],[NH4-N 
(mg L-1)]]*1.288</f>
        <v>0</v>
      </c>
      <c r="V21" s="6">
        <f>(stableSSBR[[#This Row],[NO3-N 
(mg L-1)]])*4.426</f>
        <v>0</v>
      </c>
      <c r="W21" s="6">
        <f>stableSSBR[[#This Row],[NO2-N 
(mg L-1)]]*3.284</f>
        <v>0</v>
      </c>
      <c r="Z21" s="6"/>
      <c r="AA21" s="4"/>
      <c r="AB21" s="21"/>
      <c r="AC21" s="164"/>
      <c r="AD21" s="164"/>
      <c r="AE21" s="20"/>
      <c r="AF21" s="20"/>
      <c r="AG21" s="129"/>
      <c r="AH21" s="19"/>
      <c r="AI21" s="20"/>
      <c r="AJ21" s="20"/>
      <c r="AK21" s="6"/>
      <c r="AL21" s="20"/>
      <c r="AM21" s="20"/>
      <c r="AN21" s="26"/>
      <c r="AO21" s="26"/>
      <c r="AP21" s="6"/>
      <c r="AQ21" s="276"/>
      <c r="AR21" s="6"/>
      <c r="AS21" s="6"/>
      <c r="AT21" s="6"/>
      <c r="AU21" s="29" t="s">
        <v>535</v>
      </c>
    </row>
    <row r="22" spans="1:47" x14ac:dyDescent="0.3">
      <c r="A22" s="3">
        <v>43345</v>
      </c>
      <c r="B22" s="29">
        <v>19</v>
      </c>
      <c r="C22" s="161"/>
      <c r="D22" s="162"/>
      <c r="E22" s="151"/>
      <c r="F22" s="151"/>
      <c r="G22" s="163"/>
      <c r="H22" s="162"/>
      <c r="I22" s="162"/>
      <c r="J22" s="163"/>
      <c r="K22" s="163"/>
      <c r="L22" s="163"/>
      <c r="U22" s="6">
        <f>stableSSBR[[#This Row],[NH4-N 
(mg L-1)]]*1.288</f>
        <v>0</v>
      </c>
      <c r="V22" s="6">
        <f>(stableSSBR[[#This Row],[NO3-N 
(mg L-1)]])*4.426</f>
        <v>0</v>
      </c>
      <c r="W22" s="6">
        <f>stableSSBR[[#This Row],[NO2-N 
(mg L-1)]]*3.284</f>
        <v>0</v>
      </c>
      <c r="Z22" s="6"/>
      <c r="AA22" s="4"/>
      <c r="AB22" s="21"/>
      <c r="AC22" s="164"/>
      <c r="AD22" s="164"/>
      <c r="AE22" s="20"/>
      <c r="AF22" s="20"/>
      <c r="AG22" s="129"/>
      <c r="AH22" s="19"/>
      <c r="AI22" s="20"/>
      <c r="AJ22" s="20"/>
      <c r="AK22" s="6"/>
      <c r="AL22" s="20"/>
      <c r="AM22" s="20"/>
      <c r="AN22" s="26"/>
      <c r="AO22" s="26"/>
      <c r="AP22" s="6"/>
      <c r="AQ22" s="276"/>
      <c r="AR22" s="6"/>
      <c r="AS22" s="6"/>
      <c r="AT22" s="6"/>
      <c r="AU22" s="29" t="s">
        <v>535</v>
      </c>
    </row>
    <row r="23" spans="1:47" x14ac:dyDescent="0.3">
      <c r="A23" s="3">
        <v>43346</v>
      </c>
      <c r="B23" s="29">
        <v>20</v>
      </c>
      <c r="C23" s="161"/>
      <c r="D23" s="162"/>
      <c r="E23" s="151"/>
      <c r="F23" s="151"/>
      <c r="G23" s="163"/>
      <c r="H23" s="162"/>
      <c r="I23" s="162"/>
      <c r="J23" s="163"/>
      <c r="K23" s="163"/>
      <c r="L23" s="163"/>
      <c r="U23" s="6">
        <f>stableSSBR[[#This Row],[NH4-N 
(mg L-1)]]*1.288</f>
        <v>0</v>
      </c>
      <c r="V23" s="6">
        <f>(stableSSBR[[#This Row],[NO3-N 
(mg L-1)]])*4.426</f>
        <v>0</v>
      </c>
      <c r="W23" s="6">
        <f>stableSSBR[[#This Row],[NO2-N 
(mg L-1)]]*3.284</f>
        <v>0</v>
      </c>
      <c r="Z23" s="6"/>
      <c r="AA23" s="4"/>
      <c r="AB23" s="21"/>
      <c r="AC23" s="164"/>
      <c r="AD23" s="164"/>
      <c r="AE23" s="20"/>
      <c r="AF23" s="20"/>
      <c r="AG23" s="129"/>
      <c r="AH23" s="19"/>
      <c r="AI23" s="20"/>
      <c r="AJ23" s="20"/>
      <c r="AK23" s="6"/>
      <c r="AL23" s="20"/>
      <c r="AM23" s="20"/>
      <c r="AN23" s="26"/>
      <c r="AO23" s="26"/>
      <c r="AP23" s="6"/>
      <c r="AQ23" s="276"/>
      <c r="AR23" s="6"/>
      <c r="AS23" s="6"/>
      <c r="AT23" s="6"/>
      <c r="AU23" s="29" t="s">
        <v>535</v>
      </c>
    </row>
    <row r="24" spans="1:47" x14ac:dyDescent="0.3">
      <c r="A24" s="3">
        <v>43347</v>
      </c>
      <c r="B24" s="29">
        <v>21</v>
      </c>
      <c r="C24" s="161"/>
      <c r="D24" s="162"/>
      <c r="E24" s="151"/>
      <c r="F24" s="151"/>
      <c r="G24" s="163"/>
      <c r="H24" s="162"/>
      <c r="I24" s="162"/>
      <c r="J24" s="163"/>
      <c r="K24" s="163"/>
      <c r="L24" s="163"/>
      <c r="U24" s="6">
        <f>stableSSBR[[#This Row],[NH4-N 
(mg L-1)]]*1.288</f>
        <v>0</v>
      </c>
      <c r="V24" s="6">
        <f>(stableSSBR[[#This Row],[NO3-N 
(mg L-1)]])*4.426</f>
        <v>0</v>
      </c>
      <c r="W24" s="6">
        <f>stableSSBR[[#This Row],[NO2-N 
(mg L-1)]]*3.284</f>
        <v>0</v>
      </c>
      <c r="Z24" s="6"/>
      <c r="AA24" s="4"/>
      <c r="AB24" s="21"/>
      <c r="AC24" s="164"/>
      <c r="AD24" s="164"/>
      <c r="AE24" s="20"/>
      <c r="AF24" s="20"/>
      <c r="AG24" s="129"/>
      <c r="AH24" s="19"/>
      <c r="AI24" s="20"/>
      <c r="AJ24" s="20"/>
      <c r="AK24" s="6"/>
      <c r="AL24" s="20"/>
      <c r="AM24" s="20"/>
      <c r="AN24" s="26"/>
      <c r="AO24" s="26"/>
      <c r="AP24" s="6"/>
      <c r="AQ24" s="276"/>
      <c r="AR24" s="6"/>
      <c r="AS24" s="6"/>
      <c r="AT24" s="6"/>
      <c r="AU24" s="29" t="s">
        <v>535</v>
      </c>
    </row>
    <row r="25" spans="1:47" x14ac:dyDescent="0.3">
      <c r="A25" s="3">
        <v>43348</v>
      </c>
      <c r="B25" s="29">
        <v>22</v>
      </c>
      <c r="C25" s="161"/>
      <c r="D25" s="162"/>
      <c r="E25" s="151"/>
      <c r="F25" s="151"/>
      <c r="G25" s="163"/>
      <c r="H25" s="162"/>
      <c r="I25" s="162"/>
      <c r="J25" s="163"/>
      <c r="K25" s="163"/>
      <c r="L25" s="163"/>
      <c r="U25" s="6">
        <f>stableSSBR[[#This Row],[NH4-N 
(mg L-1)]]*1.288</f>
        <v>0</v>
      </c>
      <c r="V25" s="6">
        <f>(stableSSBR[[#This Row],[NO3-N 
(mg L-1)]])*4.426</f>
        <v>0</v>
      </c>
      <c r="W25" s="6">
        <f>stableSSBR[[#This Row],[NO2-N 
(mg L-1)]]*3.284</f>
        <v>0</v>
      </c>
      <c r="Z25" s="6"/>
      <c r="AA25" s="4"/>
      <c r="AB25" s="21"/>
      <c r="AC25" s="164"/>
      <c r="AD25" s="164"/>
      <c r="AE25" s="20"/>
      <c r="AF25" s="20"/>
      <c r="AG25" s="129"/>
      <c r="AH25" s="19"/>
      <c r="AI25" s="20"/>
      <c r="AJ25" s="20"/>
      <c r="AK25" s="6"/>
      <c r="AL25" s="20"/>
      <c r="AM25" s="20"/>
      <c r="AN25" s="26"/>
      <c r="AO25" s="26"/>
      <c r="AP25" s="6"/>
      <c r="AQ25" s="276"/>
      <c r="AR25" s="6"/>
      <c r="AS25" s="6"/>
      <c r="AT25" s="6"/>
      <c r="AU25" s="29" t="s">
        <v>535</v>
      </c>
    </row>
    <row r="26" spans="1:47" x14ac:dyDescent="0.3">
      <c r="A26" s="3">
        <v>43349</v>
      </c>
      <c r="B26" s="29">
        <v>23</v>
      </c>
      <c r="C26" s="161"/>
      <c r="D26" s="162"/>
      <c r="E26" s="151"/>
      <c r="F26" s="151"/>
      <c r="G26" s="163"/>
      <c r="H26" s="162"/>
      <c r="I26" s="162"/>
      <c r="J26" s="163"/>
      <c r="K26" s="163"/>
      <c r="L26" s="163"/>
      <c r="U26" s="6">
        <f>stableSSBR[[#This Row],[NH4-N 
(mg L-1)]]*1.288</f>
        <v>0</v>
      </c>
      <c r="V26" s="6">
        <f>(stableSSBR[[#This Row],[NO3-N 
(mg L-1)]])*4.426</f>
        <v>0</v>
      </c>
      <c r="W26" s="6">
        <f>stableSSBR[[#This Row],[NO2-N 
(mg L-1)]]*3.284</f>
        <v>0</v>
      </c>
      <c r="Z26" s="6"/>
      <c r="AA26" s="4"/>
      <c r="AB26" s="21"/>
      <c r="AC26" s="164"/>
      <c r="AD26" s="164"/>
      <c r="AE26" s="20"/>
      <c r="AF26" s="20"/>
      <c r="AG26" s="129"/>
      <c r="AH26" s="19"/>
      <c r="AI26" s="20"/>
      <c r="AJ26" s="20"/>
      <c r="AK26" s="6"/>
      <c r="AL26" s="20"/>
      <c r="AM26" s="20"/>
      <c r="AN26" s="26"/>
      <c r="AO26" s="26"/>
      <c r="AP26" s="6"/>
      <c r="AQ26" s="276"/>
      <c r="AR26" s="6"/>
      <c r="AS26" s="6"/>
      <c r="AT26" s="6"/>
      <c r="AU26" s="29" t="s">
        <v>535</v>
      </c>
    </row>
    <row r="27" spans="1:47" x14ac:dyDescent="0.3">
      <c r="A27" s="3">
        <v>43350</v>
      </c>
      <c r="B27" s="29">
        <v>24</v>
      </c>
      <c r="C27" s="161"/>
      <c r="D27" s="162"/>
      <c r="E27" s="151"/>
      <c r="F27" s="151"/>
      <c r="G27" s="163"/>
      <c r="H27" s="162"/>
      <c r="I27" s="162"/>
      <c r="J27" s="163"/>
      <c r="K27" s="163"/>
      <c r="L27" s="163"/>
      <c r="U27" s="6">
        <f>stableSSBR[[#This Row],[NH4-N 
(mg L-1)]]*1.288</f>
        <v>0</v>
      </c>
      <c r="V27" s="6">
        <f>(stableSSBR[[#This Row],[NO3-N 
(mg L-1)]])*4.426</f>
        <v>0</v>
      </c>
      <c r="W27" s="6">
        <f>stableSSBR[[#This Row],[NO2-N 
(mg L-1)]]*3.284</f>
        <v>0</v>
      </c>
      <c r="Z27" s="6"/>
      <c r="AA27" s="4"/>
      <c r="AB27" s="21"/>
      <c r="AC27" s="164"/>
      <c r="AD27" s="164"/>
      <c r="AE27" s="20"/>
      <c r="AF27" s="20"/>
      <c r="AG27" s="129"/>
      <c r="AH27" s="19"/>
      <c r="AI27" s="20"/>
      <c r="AJ27" s="20"/>
      <c r="AK27" s="6"/>
      <c r="AL27" s="20"/>
      <c r="AM27" s="20"/>
      <c r="AN27" s="26"/>
      <c r="AO27" s="26"/>
      <c r="AP27" s="6"/>
      <c r="AQ27" s="276"/>
      <c r="AR27" s="6"/>
      <c r="AS27" s="6"/>
      <c r="AT27" s="6"/>
      <c r="AU27" s="29" t="s">
        <v>535</v>
      </c>
    </row>
    <row r="28" spans="1:47" x14ac:dyDescent="0.3">
      <c r="A28" s="3">
        <v>43351</v>
      </c>
      <c r="B28" s="29">
        <v>25</v>
      </c>
      <c r="C28" s="161"/>
      <c r="D28" s="162"/>
      <c r="E28" s="151"/>
      <c r="F28" s="151"/>
      <c r="G28" s="163"/>
      <c r="H28" s="162"/>
      <c r="I28" s="162"/>
      <c r="J28" s="163"/>
      <c r="K28" s="163"/>
      <c r="L28" s="163"/>
      <c r="U28" s="6">
        <f>stableSSBR[[#This Row],[NH4-N 
(mg L-1)]]*1.288</f>
        <v>0</v>
      </c>
      <c r="V28" s="6">
        <f>(stableSSBR[[#This Row],[NO3-N 
(mg L-1)]])*4.426</f>
        <v>0</v>
      </c>
      <c r="W28" s="6">
        <f>stableSSBR[[#This Row],[NO2-N 
(mg L-1)]]*3.284</f>
        <v>0</v>
      </c>
      <c r="Z28" s="6"/>
      <c r="AA28" s="4"/>
      <c r="AB28" s="21"/>
      <c r="AC28" s="164"/>
      <c r="AD28" s="164"/>
      <c r="AE28" s="20"/>
      <c r="AF28" s="20"/>
      <c r="AG28" s="129"/>
      <c r="AH28" s="19"/>
      <c r="AI28" s="20"/>
      <c r="AJ28" s="20"/>
      <c r="AK28" s="6"/>
      <c r="AL28" s="20"/>
      <c r="AM28" s="20"/>
      <c r="AN28" s="26"/>
      <c r="AO28" s="26"/>
      <c r="AP28" s="6"/>
      <c r="AQ28" s="276"/>
      <c r="AR28" s="6"/>
      <c r="AS28" s="6"/>
      <c r="AT28" s="6"/>
      <c r="AU28" s="29" t="s">
        <v>535</v>
      </c>
    </row>
    <row r="29" spans="1:47" x14ac:dyDescent="0.3">
      <c r="A29" s="3">
        <v>43352</v>
      </c>
      <c r="B29" s="29">
        <v>26</v>
      </c>
      <c r="C29" s="161"/>
      <c r="D29" s="162"/>
      <c r="E29" s="151"/>
      <c r="F29" s="151"/>
      <c r="G29" s="163"/>
      <c r="H29" s="162"/>
      <c r="I29" s="162"/>
      <c r="J29" s="163"/>
      <c r="K29" s="163"/>
      <c r="L29" s="163"/>
      <c r="U29" s="6">
        <f>stableSSBR[[#This Row],[NH4-N 
(mg L-1)]]*1.288</f>
        <v>0</v>
      </c>
      <c r="V29" s="6">
        <f>(stableSSBR[[#This Row],[NO3-N 
(mg L-1)]])*4.426</f>
        <v>0</v>
      </c>
      <c r="W29" s="6">
        <f>stableSSBR[[#This Row],[NO2-N 
(mg L-1)]]*3.284</f>
        <v>0</v>
      </c>
      <c r="Z29" s="6"/>
      <c r="AA29" s="4"/>
      <c r="AB29" s="21"/>
      <c r="AC29" s="164"/>
      <c r="AD29" s="164"/>
      <c r="AE29" s="20"/>
      <c r="AF29" s="20"/>
      <c r="AG29" s="129"/>
      <c r="AH29" s="19"/>
      <c r="AI29" s="20"/>
      <c r="AJ29" s="20"/>
      <c r="AK29" s="6"/>
      <c r="AL29" s="20"/>
      <c r="AM29" s="20"/>
      <c r="AN29" s="26"/>
      <c r="AO29" s="26"/>
      <c r="AP29" s="6"/>
      <c r="AQ29" s="276"/>
      <c r="AR29" s="6"/>
      <c r="AS29" s="6"/>
      <c r="AT29" s="6"/>
      <c r="AU29" s="29" t="s">
        <v>535</v>
      </c>
    </row>
    <row r="30" spans="1:47" x14ac:dyDescent="0.3">
      <c r="A30" s="3">
        <v>43353</v>
      </c>
      <c r="B30" s="29">
        <v>27</v>
      </c>
      <c r="C30" s="161"/>
      <c r="D30" s="162"/>
      <c r="E30" s="151"/>
      <c r="F30" s="151"/>
      <c r="G30" s="163"/>
      <c r="H30" s="162"/>
      <c r="I30" s="162"/>
      <c r="J30" s="163"/>
      <c r="K30" s="163"/>
      <c r="L30" s="163"/>
      <c r="U30" s="6"/>
      <c r="V30" s="6"/>
      <c r="W30" s="6"/>
      <c r="Z30" s="6"/>
      <c r="AA30" s="4"/>
      <c r="AB30" s="21"/>
      <c r="AC30" s="164"/>
      <c r="AD30" s="164"/>
      <c r="AE30" s="20"/>
      <c r="AF30" s="20"/>
      <c r="AG30" s="129"/>
      <c r="AH30" s="19"/>
      <c r="AI30" s="20"/>
      <c r="AJ30" s="20"/>
      <c r="AK30" s="6"/>
      <c r="AL30" s="20"/>
      <c r="AM30" s="20"/>
      <c r="AN30" s="26"/>
      <c r="AO30" s="26"/>
      <c r="AP30" s="6"/>
      <c r="AQ30" s="276"/>
      <c r="AR30" s="6"/>
      <c r="AS30" s="6"/>
      <c r="AT30" s="6"/>
      <c r="AU30" s="29" t="s">
        <v>535</v>
      </c>
    </row>
    <row r="31" spans="1:47" x14ac:dyDescent="0.3">
      <c r="A31" s="3">
        <v>43354</v>
      </c>
      <c r="B31" s="29">
        <v>28</v>
      </c>
      <c r="C31" s="161">
        <v>754.1</v>
      </c>
      <c r="D31" s="162">
        <f t="shared" si="0"/>
        <v>18.098399999999998</v>
      </c>
      <c r="E31" s="163">
        <v>2</v>
      </c>
      <c r="F31" s="163">
        <v>4</v>
      </c>
      <c r="G31" s="163">
        <f>IFERROR(Information!$R$40/(stableSSBR[[#This Row],[Flow 
(L h-1)]]*stableSSBR[[#This Row],[Batch cycles]]*stableSSBR[[#This Row],[Cycle duration 
(h)]]/1000)*24,0)</f>
        <v>31.82601776952659</v>
      </c>
      <c r="H31" s="6">
        <v>0.12858431644691329</v>
      </c>
      <c r="I31" s="6">
        <v>6.9010458015267444</v>
      </c>
      <c r="J31" s="6">
        <v>23.310208333333321</v>
      </c>
      <c r="K31" s="163"/>
      <c r="L31" s="163"/>
      <c r="M31" s="29">
        <v>1412</v>
      </c>
      <c r="N31" s="29">
        <f>stableSSBR[[#This Row],[COD 
(mg L-1)]]*Information!$AK$41</f>
        <v>1143.72</v>
      </c>
      <c r="O31" s="29">
        <v>761</v>
      </c>
      <c r="P31" s="29">
        <v>7.9</v>
      </c>
      <c r="Q31" s="29">
        <v>312</v>
      </c>
      <c r="S31" s="29">
        <v>2.59</v>
      </c>
      <c r="T31" s="29">
        <v>3.9</v>
      </c>
      <c r="U31" s="6">
        <f>stableSSBR[[#This Row],[NH4-N 
(mg L-1)]]*1.288</f>
        <v>190.86872</v>
      </c>
      <c r="V31" s="6">
        <f>(stableSSBR[[#This Row],[NO3-N 
(mg L-1)]])*4.426</f>
        <v>7.0638960000000006</v>
      </c>
      <c r="W31" s="6">
        <f>stableSSBR[[#This Row],[NO2-N 
(mg L-1)]]*3.284</f>
        <v>7.5663359999999988</v>
      </c>
      <c r="X31" s="29">
        <v>148.19</v>
      </c>
      <c r="Y31" s="29">
        <v>2.3039999999999998</v>
      </c>
      <c r="Z31" s="6">
        <f>IF(stableSSBR[[#This Row],[TON 
(mg L-1)]]-stableSSBR[[#This Row],[NO2-N 
(mg L-1)]]&lt;0,0.19,stableSSBR[[#This Row],[TON 
(mg L-1)]]-stableSSBR[[#This Row],[NO2-N 
(mg L-1)]])</f>
        <v>1.5960000000000001</v>
      </c>
      <c r="AA31" s="4">
        <f>SUM(stableSSBR[[#This Row],[NO3-N 
(mg L-1)]],stableSSBR[[#This Row],[NO2-N 
(mg L-1)]],stableSSBR[[#This Row],[NH4-N 
(mg L-1)]])</f>
        <v>152.09</v>
      </c>
      <c r="AB31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1.574570100926392E-3</v>
      </c>
      <c r="AC31" s="164">
        <f>IF(IFERROR(stableSSBR[[#This Row],[NO2-N 
(mg L-1)]]/stableSSBR[[#This Row],[NH4-N 
(mg L-1)]],0)&lt;0,0,IFERROR(stableSSBR[[#This Row],[NO2-N 
(mg L-1)]]/stableSSBR[[#This Row],[NH4-N 
(mg L-1)]],0))</f>
        <v>1.5547607800796275E-2</v>
      </c>
      <c r="AD31" s="164">
        <f>stableSSBR[[#This Row],[NO2-N 
(mg L-1)]]/(stableSSBR[[#This Row],[NO3-N 
(mg L-1)]]+stableSSBR[[#This Row],[NO2-N 
(mg L-1)]])</f>
        <v>0.59076923076923071</v>
      </c>
      <c r="AE31" s="20">
        <f>46/14*stableSSBR[[#This Row],[NO2-N 
(mg L-1)]]/(EXP(-2300/(stableSSBR[[#This Row],[Temp. 
(°C)]]+273))*10^(stableSSBR[[#This Row],[pHreactor]]))</f>
        <v>2.2341848551913645E-3</v>
      </c>
      <c r="AF31" s="20">
        <f>17/14*(stableSSBR[NH4-N 
(mg L-1)]*10^stableSSBR[[#This Row],[pHreactor]])/(EXP((6344/(273+stableSSBR[[#This Row],[Temp. 
(°C)]])))+10^stableSSBR[pHreactor])</f>
        <v>0.71813540466108072</v>
      </c>
      <c r="AG31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1009.7099999999999</v>
      </c>
      <c r="AH31" s="19">
        <f>IFERROR(IF(Influent[[#This Row],[COD (mg L-1)]]-stableSSBR[[#This Row],[COD 
(mg L-1)]]&lt;0,0,Influent[[#This Row],[COD (mg L-1)]]-stableSSBR[[#This Row],[COD 
(mg L-1)]]),0)</f>
        <v>1413</v>
      </c>
      <c r="AI31" s="20">
        <f>Influent[[#This Row],[COD (mg L-1)]]/stableSSBR[HRT 
(h)]*24/1000</f>
        <v>2.1303325000000002</v>
      </c>
      <c r="AJ31" s="20">
        <f>IF(((stableSSBR[[#This Row],[ΔC   (mg L-1)]])/stableSSBR[[#This Row],[HRT 
(h)]]*24/1000) &lt;0,0, (stableSSBR[[#This Row],[ΔC   (mg L-1)]])/stableSSBR[HRT 
(h)]*24/1000)</f>
        <v>1.0655432999999999</v>
      </c>
      <c r="AK31" s="6">
        <f>IF(IFERROR((Influent[[#This Row],[NH4-N (mg L-1)]])*stableSSBR[ARE 
(%)]/stableSSBR[HRT 
(h)]*24/1000,0)&lt;0,0,IFERROR((Influent[[#This Row],[NH4-N (mg L-1)]])*stableSSBR[ARE 
(%)]/stableSSBR[HRT 
(h)]*24/1000,0))</f>
        <v>0.76436330099999983</v>
      </c>
      <c r="AL31" s="20">
        <f>Influent[[#This Row],[TN (mg L-1)]]/stableSSBR[[#This Row],[HRT 
(h)]]*24/1000</f>
        <v>0.89369899199999991</v>
      </c>
      <c r="AM31" s="20">
        <f>stableSSBR[[#This Row],[NLR 
(kg N m-3 d-1)]]*stableSSBR[[#This Row],[NRE 
(%)]]</f>
        <v>0.77900792299999999</v>
      </c>
      <c r="AN31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0.87244792563263895</v>
      </c>
      <c r="AO31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0.87166700418523024</v>
      </c>
      <c r="AP31" s="6"/>
      <c r="AQ31" s="276"/>
      <c r="AR31" s="6">
        <f>stableSSBR[[#This Row],[NH4-N 
(mg L-1)]]-20</f>
        <v>128.19</v>
      </c>
      <c r="AS31" s="6">
        <f>stableSSBR[[#This Row],[Ammonia residual to reach target]]*2.19</f>
        <v>280.73609999999996</v>
      </c>
      <c r="AT31" s="6">
        <f>stableSSBR[[#This Row],[Alkalinity 
(mg CaCO3 L-1) ]]-stableSSBR[[#This Row],[Alkalinity need]]-70</f>
        <v>410.26390000000004</v>
      </c>
      <c r="AU31" s="29" t="s">
        <v>541</v>
      </c>
    </row>
    <row r="32" spans="1:47" x14ac:dyDescent="0.3">
      <c r="A32" s="3">
        <v>43355</v>
      </c>
      <c r="B32" s="29">
        <v>29</v>
      </c>
      <c r="C32" s="161">
        <v>651.9</v>
      </c>
      <c r="D32" s="162">
        <f t="shared" si="0"/>
        <v>15.645599999999998</v>
      </c>
      <c r="E32" s="163">
        <v>2</v>
      </c>
      <c r="F32" s="163">
        <v>4</v>
      </c>
      <c r="G32" s="163">
        <f>IFERROR(Information!$R$40/(stableSSBR[[#This Row],[Flow 
(L h-1)]]*stableSSBR[[#This Row],[Batch cycles]]*stableSSBR[[#This Row],[Cycle duration 
(h)]]/1000)*24,0)</f>
        <v>36.815462494247583</v>
      </c>
      <c r="H32" s="6">
        <v>0.20159611380985409</v>
      </c>
      <c r="I32" s="6">
        <v>6.8834240111034077</v>
      </c>
      <c r="J32" s="6">
        <v>23.544861111111128</v>
      </c>
      <c r="K32" s="163"/>
      <c r="L32" s="163"/>
      <c r="M32" s="29">
        <v>1395</v>
      </c>
      <c r="N32" s="29">
        <f>stableSSBR[[#This Row],[COD 
(mg L-1)]]*Information!$AK$41</f>
        <v>1129.95</v>
      </c>
      <c r="O32" s="29">
        <v>750</v>
      </c>
      <c r="P32" s="29">
        <v>7.9</v>
      </c>
      <c r="Q32" s="29">
        <v>280</v>
      </c>
      <c r="S32" s="29">
        <v>2.95</v>
      </c>
      <c r="T32" s="29">
        <v>4</v>
      </c>
      <c r="U32" s="6">
        <f>stableSSBR[[#This Row],[NH4-N 
(mg L-1)]]*1.288</f>
        <v>187.05624</v>
      </c>
      <c r="V32" s="6">
        <f>(stableSSBR[[#This Row],[NO3-N 
(mg L-1)]])*4.426</f>
        <v>7.488792000000001</v>
      </c>
      <c r="W32" s="6">
        <f>stableSSBR[[#This Row],[NO2-N 
(mg L-1)]]*3.284</f>
        <v>7.5794719999999991</v>
      </c>
      <c r="X32" s="29">
        <v>145.22999999999999</v>
      </c>
      <c r="Y32" s="29">
        <v>2.3079999999999998</v>
      </c>
      <c r="Z32" s="6">
        <f>IF(stableSSBR[[#This Row],[TON 
(mg L-1)]]-stableSSBR[[#This Row],[NO2-N 
(mg L-1)]]&lt;0,0.19,stableSSBR[[#This Row],[TON 
(mg L-1)]]-stableSSBR[[#This Row],[NO2-N 
(mg L-1)]])</f>
        <v>1.6920000000000002</v>
      </c>
      <c r="AA32" s="4">
        <f>SUM(stableSSBR[[#This Row],[NO3-N 
(mg L-1)]],stableSSBR[[#This Row],[NO2-N 
(mg L-1)]],stableSSBR[[#This Row],[NH4-N 
(mg L-1)]])</f>
        <v>149.22999999999999</v>
      </c>
      <c r="AB32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1.6392648497824971E-3</v>
      </c>
      <c r="AC32" s="164">
        <f>IF(IFERROR(stableSSBR[[#This Row],[NO2-N 
(mg L-1)]]/stableSSBR[[#This Row],[NH4-N 
(mg L-1)]],0)&lt;0,0,IFERROR(stableSSBR[[#This Row],[NO2-N 
(mg L-1)]]/stableSSBR[[#This Row],[NH4-N 
(mg L-1)]],0))</f>
        <v>1.5892033326447702E-2</v>
      </c>
      <c r="AD32" s="164">
        <f>stableSSBR[[#This Row],[NO2-N 
(mg L-1)]]/(stableSSBR[[#This Row],[NO3-N 
(mg L-1)]]+stableSSBR[[#This Row],[NO2-N 
(mg L-1)]])</f>
        <v>0.57699999999999996</v>
      </c>
      <c r="AE32" s="20">
        <f>46/14*stableSSBR[[#This Row],[NO2-N 
(mg L-1)]]/(EXP(-2300/(stableSSBR[[#This Row],[Temp. 
(°C)]]+273))*10^(stableSSBR[[#This Row],[pHreactor]]))</f>
        <v>2.3164703502042108E-3</v>
      </c>
      <c r="AF32" s="20">
        <f>17/14*(stableSSBR[NH4-N 
(mg L-1)]*10^stableSSBR[[#This Row],[pHreactor]])/(EXP((6344/(273+stableSSBR[[#This Row],[Temp. 
(°C)]])))+10^stableSSBR[pHreactor])</f>
        <v>0.68741668909048448</v>
      </c>
      <c r="AG32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1028.17</v>
      </c>
      <c r="AH32" s="19">
        <f>IFERROR(IF(Influent[[#This Row],[COD (mg L-1)]]-stableSSBR[[#This Row],[COD 
(mg L-1)]]&lt;0,0,Influent[[#This Row],[COD (mg L-1)]]-stableSSBR[[#This Row],[COD 
(mg L-1)]]),0)</f>
        <v>1235</v>
      </c>
      <c r="AI32" s="20">
        <f>Influent[[#This Row],[COD (mg L-1)]]/stableSSBR[HRT 
(h)]*24/1000</f>
        <v>1.7144970000000002</v>
      </c>
      <c r="AJ32" s="20">
        <f>IF(((stableSSBR[[#This Row],[ΔC   (mg L-1)]])/stableSSBR[[#This Row],[HRT 
(h)]]*24/1000) &lt;0,0, (stableSSBR[[#This Row],[ΔC   (mg L-1)]])/stableSSBR[HRT 
(h)]*24/1000)</f>
        <v>0.80509649999999999</v>
      </c>
      <c r="AK32" s="6">
        <f>IF(IFERROR((Influent[[#This Row],[NH4-N (mg L-1)]])*stableSSBR[ARE 
(%)]/stableSSBR[HRT 
(h)]*24/1000,0)&lt;0,0,IFERROR((Influent[[#This Row],[NH4-N (mg L-1)]])*stableSSBR[ARE 
(%)]/stableSSBR[HRT 
(h)]*24/1000,0))</f>
        <v>0.67287162300000003</v>
      </c>
      <c r="AL32" s="20">
        <f>Influent[[#This Row],[TN (mg L-1)]]/stableSSBR[[#This Row],[HRT 
(h)]]*24/1000</f>
        <v>0.76767744000000016</v>
      </c>
      <c r="AM32" s="20">
        <f>stableSSBR[[#This Row],[NLR 
(kg N m-3 d-1)]]*stableSSBR[[#This Row],[NRE 
(%)]]</f>
        <v>0.67039440300000019</v>
      </c>
      <c r="AN32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0.87665194496347887</v>
      </c>
      <c r="AO32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0.87327615489130439</v>
      </c>
      <c r="AP32" s="6"/>
      <c r="AQ32" s="276"/>
      <c r="AR32" s="6">
        <f>stableSSBR[[#This Row],[NH4-N 
(mg L-1)]]-20</f>
        <v>125.22999999999999</v>
      </c>
      <c r="AS32" s="6">
        <f>stableSSBR[[#This Row],[Ammonia residual to reach target]]*2.19</f>
        <v>274.25369999999998</v>
      </c>
      <c r="AT32" s="6">
        <f>stableSSBR[[#This Row],[Alkalinity 
(mg CaCO3 L-1) ]]-stableSSBR[[#This Row],[Alkalinity need]]-70</f>
        <v>405.74630000000002</v>
      </c>
    </row>
    <row r="33" spans="1:47" x14ac:dyDescent="0.3">
      <c r="A33" s="3">
        <v>43356</v>
      </c>
      <c r="B33" s="29">
        <v>30</v>
      </c>
      <c r="C33" s="161">
        <v>668.3</v>
      </c>
      <c r="D33" s="162">
        <f t="shared" si="0"/>
        <v>16.039200000000001</v>
      </c>
      <c r="E33" s="163">
        <v>2</v>
      </c>
      <c r="F33" s="163">
        <v>4</v>
      </c>
      <c r="G33" s="163">
        <f>IFERROR(Information!$R$40/(stableSSBR[[#This Row],[Flow 
(L h-1)]]*stableSSBR[[#This Row],[Batch cycles]]*stableSSBR[[#This Row],[Cycle duration 
(h)]]/1000)*24,0)</f>
        <v>35.91201556187341</v>
      </c>
      <c r="H33" s="6">
        <v>0.2291880638445522</v>
      </c>
      <c r="I33" s="6">
        <v>6.8702421929215536</v>
      </c>
      <c r="J33" s="6">
        <v>23.76194444444441</v>
      </c>
      <c r="K33" s="29">
        <v>9340</v>
      </c>
      <c r="L33" s="29">
        <v>4600</v>
      </c>
      <c r="M33" s="29">
        <v>1330</v>
      </c>
      <c r="N33" s="29">
        <f>stableSSBR[[#This Row],[COD 
(mg L-1)]]*Information!$AK$41</f>
        <v>1077.3000000000002</v>
      </c>
      <c r="O33" s="29">
        <v>795</v>
      </c>
      <c r="P33" s="29">
        <v>8</v>
      </c>
      <c r="Q33" s="29">
        <v>204</v>
      </c>
      <c r="S33" s="29">
        <v>2.85</v>
      </c>
      <c r="T33" s="29">
        <v>1.2</v>
      </c>
      <c r="U33" s="6">
        <f>stableSSBR[[#This Row],[NH4-N 
(mg L-1)]]*1.288</f>
        <v>202.91152</v>
      </c>
      <c r="V33" s="6">
        <f>(stableSSBR[[#This Row],[NO3-N 
(mg L-1)]])*4.426</f>
        <v>0.84094000000000002</v>
      </c>
      <c r="W33" s="6">
        <f>stableSSBR[[#This Row],[NO2-N 
(mg L-1)]]*3.284</f>
        <v>3.9539359999999997</v>
      </c>
      <c r="X33" s="29">
        <v>157.54</v>
      </c>
      <c r="Y33" s="29">
        <v>1.204</v>
      </c>
      <c r="Z33" s="6">
        <f>IF(stableSSBR[[#This Row],[TON 
(mg L-1)]]-stableSSBR[[#This Row],[NO2-N 
(mg L-1)]]&lt;0,0.19,stableSSBR[[#This Row],[TON 
(mg L-1)]]-stableSSBR[[#This Row],[NO2-N 
(mg L-1)]])</f>
        <v>0.19</v>
      </c>
      <c r="AA33" s="4">
        <f>SUM(stableSSBR[[#This Row],[NO3-N 
(mg L-1)]],stableSSBR[[#This Row],[NO2-N 
(mg L-1)]],stableSSBR[[#This Row],[NH4-N 
(mg L-1)]])</f>
        <v>158.934</v>
      </c>
      <c r="AB33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1.6018075133202939E-4</v>
      </c>
      <c r="AC33" s="164">
        <f>IF(IFERROR(stableSSBR[[#This Row],[NO2-N 
(mg L-1)]]/stableSSBR[[#This Row],[NH4-N 
(mg L-1)]],0)&lt;0,0,IFERROR(stableSSBR[[#This Row],[NO2-N 
(mg L-1)]]/stableSSBR[[#This Row],[NH4-N 
(mg L-1)]],0))</f>
        <v>7.6425034911768441E-3</v>
      </c>
      <c r="AD33" s="164">
        <f>stableSSBR[[#This Row],[NO2-N 
(mg L-1)]]/(stableSSBR[[#This Row],[NO3-N 
(mg L-1)]]+stableSSBR[[#This Row],[NO2-N 
(mg L-1)]])</f>
        <v>0.86370157819225257</v>
      </c>
      <c r="AE33" s="20">
        <f>46/14*stableSSBR[[#This Row],[NO2-N 
(mg L-1)]]/(EXP(-2300/(stableSSBR[[#This Row],[Temp. 
(°C)]]+273))*10^(stableSSBR[[#This Row],[pHreactor]]))</f>
        <v>1.2386119060279548E-3</v>
      </c>
      <c r="AF33" s="20">
        <f>17/14*(stableSSBR[NH4-N 
(mg L-1)]*10^stableSSBR[[#This Row],[pHreactor]])/(EXP((6344/(273+stableSSBR[[#This Row],[Temp. 
(°C)]])))+10^stableSSBR[pHreactor])</f>
        <v>0.73484172947319182</v>
      </c>
      <c r="AG33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1184.7660000000001</v>
      </c>
      <c r="AH33" s="19">
        <f>IFERROR(IF(Influent[[#This Row],[COD (mg L-1)]]-stableSSBR[[#This Row],[COD 
(mg L-1)]]&lt;0,0,Influent[[#This Row],[COD (mg L-1)]]-stableSSBR[[#This Row],[COD 
(mg L-1)]]),0)</f>
        <v>1480</v>
      </c>
      <c r="AI33" s="20">
        <f>Influent[[#This Row],[COD (mg L-1)]]/stableSSBR[HRT 
(h)]*24/1000</f>
        <v>1.877923</v>
      </c>
      <c r="AJ33" s="20">
        <f>IF(((stableSSBR[[#This Row],[ΔC   (mg L-1)]])/stableSSBR[[#This Row],[HRT 
(h)]]*24/1000) &lt;0,0, (stableSSBR[[#This Row],[ΔC   (mg L-1)]])/stableSSBR[HRT 
(h)]*24/1000)</f>
        <v>0.98908399999999996</v>
      </c>
      <c r="AK33" s="6">
        <f>IF(IFERROR((Influent[[#This Row],[NH4-N (mg L-1)]])*stableSSBR[ARE 
(%)]/stableSSBR[HRT 
(h)]*24/1000,0)&lt;0,0,IFERROR((Influent[[#This Row],[NH4-N (mg L-1)]])*stableSSBR[ARE 
(%)]/stableSSBR[HRT 
(h)]*24/1000,0))</f>
        <v>0.79271072799999998</v>
      </c>
      <c r="AL33" s="20">
        <f>Influent[[#This Row],[TN (mg L-1)]]/stableSSBR[[#This Row],[HRT 
(h)]]*24/1000</f>
        <v>0.90225980060000011</v>
      </c>
      <c r="AM33" s="20">
        <f>stableSSBR[[#This Row],[NLR 
(kg N m-3 d-1)]]*stableSSBR[[#This Row],[NRE 
(%)]]</f>
        <v>0.79604420840000012</v>
      </c>
      <c r="AN33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0.88275656768623956</v>
      </c>
      <c r="AO33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0.88227826161670186</v>
      </c>
      <c r="AP33" s="6"/>
      <c r="AQ33" s="276"/>
      <c r="AR33" s="6">
        <f>stableSSBR[[#This Row],[NH4-N 
(mg L-1)]]-20</f>
        <v>137.54</v>
      </c>
      <c r="AS33" s="6">
        <f>stableSSBR[[#This Row],[Ammonia residual to reach target]]*2.19</f>
        <v>301.21259999999995</v>
      </c>
      <c r="AT33" s="6">
        <f>stableSSBR[[#This Row],[Alkalinity 
(mg CaCO3 L-1) ]]-stableSSBR[[#This Row],[Alkalinity need]]-70</f>
        <v>423.78740000000005</v>
      </c>
    </row>
    <row r="34" spans="1:47" x14ac:dyDescent="0.3">
      <c r="A34" s="3">
        <v>43357</v>
      </c>
      <c r="B34" s="29">
        <v>31</v>
      </c>
      <c r="C34" s="161">
        <v>642.79999999999995</v>
      </c>
      <c r="D34" s="162">
        <f t="shared" si="0"/>
        <v>15.427199999999999</v>
      </c>
      <c r="E34" s="163">
        <v>2</v>
      </c>
      <c r="F34" s="163">
        <v>4</v>
      </c>
      <c r="G34" s="163">
        <f>IFERROR(Information!$R$40/(stableSSBR[[#This Row],[Flow 
(L h-1)]]*stableSSBR[[#This Row],[Batch cycles]]*stableSSBR[[#This Row],[Cycle duration 
(h)]]/1000)*24,0)</f>
        <v>37.336652146857503</v>
      </c>
      <c r="H34" s="6">
        <v>0.20868147120055491</v>
      </c>
      <c r="I34" s="6">
        <v>6.8312519083969274</v>
      </c>
      <c r="J34" s="6">
        <v>23.896666666666668</v>
      </c>
      <c r="K34" s="163">
        <f>stableSSBR[[#This Row],[MLVSS 
(mg L-1)]]/0.4</f>
        <v>8950</v>
      </c>
      <c r="L34" s="163">
        <f>1790*2</f>
        <v>3580</v>
      </c>
      <c r="M34" s="29">
        <v>1260</v>
      </c>
      <c r="N34" s="29">
        <f>stableSSBR[[#This Row],[COD 
(mg L-1)]]*Information!$AK$41</f>
        <v>1020.6</v>
      </c>
      <c r="O34" s="29">
        <v>637</v>
      </c>
      <c r="P34" s="29">
        <v>8</v>
      </c>
      <c r="Q34" s="29">
        <v>124</v>
      </c>
      <c r="S34" s="29">
        <v>1.07</v>
      </c>
      <c r="T34" s="29">
        <v>33.299999999999997</v>
      </c>
      <c r="U34" s="6">
        <f>stableSSBR[[#This Row],[NH4-N 
(mg L-1)]]*1.288</f>
        <v>193.97280000000001</v>
      </c>
      <c r="V34" s="6">
        <f>(stableSSBR[[#This Row],[NO3-N 
(mg L-1)]])*4.426</f>
        <v>57.653075999999984</v>
      </c>
      <c r="W34" s="6">
        <f>stableSSBR[[#This Row],[NO2-N 
(mg L-1)]]*3.284</f>
        <v>66.579815999999994</v>
      </c>
      <c r="X34" s="29">
        <v>150.6</v>
      </c>
      <c r="Y34" s="29">
        <v>20.274000000000001</v>
      </c>
      <c r="Z34" s="6">
        <f>IF(stableSSBR[[#This Row],[TON 
(mg L-1)]]-stableSSBR[[#This Row],[NO2-N 
(mg L-1)]]&lt;0,0.19,stableSSBR[[#This Row],[TON 
(mg L-1)]]-stableSSBR[[#This Row],[NO2-N 
(mg L-1)]])</f>
        <v>13.025999999999996</v>
      </c>
      <c r="AA34" s="4">
        <f>SUM(stableSSBR[[#This Row],[NO3-N 
(mg L-1)]],stableSSBR[[#This Row],[NO2-N 
(mg L-1)]],stableSSBR[[#This Row],[NH4-N 
(mg L-1)]])</f>
        <v>183.89999999999998</v>
      </c>
      <c r="AB34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9.9663351185921931E-3</v>
      </c>
      <c r="AC34" s="164">
        <f>IF(IFERROR(stableSSBR[[#This Row],[NO2-N 
(mg L-1)]]/stableSSBR[[#This Row],[NH4-N 
(mg L-1)]],0)&lt;0,0,IFERROR(stableSSBR[[#This Row],[NO2-N 
(mg L-1)]]/stableSSBR[[#This Row],[NH4-N 
(mg L-1)]],0))</f>
        <v>0.13462151394422311</v>
      </c>
      <c r="AD34" s="164">
        <f>stableSSBR[[#This Row],[NO2-N 
(mg L-1)]]/(stableSSBR[[#This Row],[NO3-N 
(mg L-1)]]+stableSSBR[[#This Row],[NO2-N 
(mg L-1)]])</f>
        <v>0.60882882882882894</v>
      </c>
      <c r="AE34" s="20">
        <f>46/14*stableSSBR[[#This Row],[NO2-N 
(mg L-1)]]/(EXP(-2300/(stableSSBR[[#This Row],[Temp. 
(°C)]]+273))*10^(stableSSBR[[#This Row],[pHreactor]]))</f>
        <v>2.2735847238217186E-2</v>
      </c>
      <c r="AF34" s="20">
        <f>17/14*(stableSSBR[NH4-N 
(mg L-1)]*10^stableSSBR[[#This Row],[pHreactor]])/(EXP((6344/(273+stableSSBR[[#This Row],[Temp. 
(°C)]])))+10^stableSSBR[pHreactor])</f>
        <v>0.64860289315103081</v>
      </c>
      <c r="AG34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1273.6999999999998</v>
      </c>
      <c r="AH34" s="19">
        <f>IFERROR(IF(Influent[[#This Row],[COD (mg L-1)]]-stableSSBR[[#This Row],[COD 
(mg L-1)]]&lt;0,0,Influent[[#This Row],[COD (mg L-1)]]-stableSSBR[[#This Row],[COD 
(mg L-1)]]),0)</f>
        <v>1495</v>
      </c>
      <c r="AI34" s="20">
        <f>Influent[[#This Row],[COD (mg L-1)]]/stableSSBR[HRT 
(h)]*24/1000</f>
        <v>1.7709139999999997</v>
      </c>
      <c r="AJ34" s="20">
        <f>IF(((stableSSBR[[#This Row],[ΔC   (mg L-1)]])/stableSSBR[[#This Row],[HRT 
(h)]]*24/1000) &lt;0,0, (stableSSBR[[#This Row],[ΔC   (mg L-1)]])/stableSSBR[HRT 
(h)]*24/1000)</f>
        <v>0.9609859999999999</v>
      </c>
      <c r="AK34" s="6">
        <f>IF(IFERROR((Influent[[#This Row],[NH4-N (mg L-1)]])*stableSSBR[ARE 
(%)]/stableSSBR[HRT 
(h)]*24/1000,0)&lt;0,0,IFERROR((Influent[[#This Row],[NH4-N (mg L-1)]])*stableSSBR[ARE 
(%)]/stableSSBR[HRT 
(h)]*24/1000,0))</f>
        <v>0.84013959999999988</v>
      </c>
      <c r="AL34" s="20">
        <f>Influent[[#This Row],[TN (mg L-1)]]/stableSSBR[[#This Row],[HRT 
(h)]]*24/1000</f>
        <v>0.93707383999999994</v>
      </c>
      <c r="AM34" s="20">
        <f>stableSSBR[[#This Row],[NLR 
(kg N m-3 d-1)]]*stableSSBR[[#This Row],[NRE 
(%)]]</f>
        <v>0.81886292000000005</v>
      </c>
      <c r="AN34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0.89667947310647644</v>
      </c>
      <c r="AO34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0.87385100836877494</v>
      </c>
      <c r="AP34" s="6">
        <v>5.8000000000000003E-2</v>
      </c>
      <c r="AQ34" s="276">
        <f>stableSSBR[[#This Row],[SAA 
(g N g VSS-1 d-1)]]/MAX(stableSSBR[SAA 
(g N g VSS-1 d-1)])</f>
        <v>0.8529411764705882</v>
      </c>
      <c r="AR34" s="6">
        <f>stableSSBR[[#This Row],[NH4-N 
(mg L-1)]]-20</f>
        <v>130.6</v>
      </c>
      <c r="AS34" s="6">
        <f>stableSSBR[[#This Row],[Ammonia residual to reach target]]*2.19</f>
        <v>286.01399999999995</v>
      </c>
      <c r="AT34" s="6">
        <f>stableSSBR[[#This Row],[Alkalinity 
(mg CaCO3 L-1) ]]-stableSSBR[[#This Row],[Alkalinity need]]-70</f>
        <v>280.98600000000005</v>
      </c>
    </row>
    <row r="35" spans="1:47" x14ac:dyDescent="0.3">
      <c r="A35" s="3">
        <v>43358</v>
      </c>
      <c r="B35" s="29">
        <v>32</v>
      </c>
      <c r="C35" s="161">
        <v>648.4</v>
      </c>
      <c r="D35" s="162">
        <f t="shared" si="0"/>
        <v>15.561599999999999</v>
      </c>
      <c r="E35" s="163">
        <v>2</v>
      </c>
      <c r="F35" s="163">
        <v>4</v>
      </c>
      <c r="G35" s="163">
        <f>IFERROR(Information!$R$40/(stableSSBR[[#This Row],[Flow 
(L h-1)]]*stableSSBR[[#This Row],[Batch cycles]]*stableSSBR[[#This Row],[Cycle duration 
(h)]]/1000)*24,0)</f>
        <v>37.014188772362743</v>
      </c>
      <c r="H35" s="6">
        <v>0.20270645385149219</v>
      </c>
      <c r="I35" s="6">
        <v>6.8776606523247494</v>
      </c>
      <c r="J35" s="6">
        <v>24.136527777777768</v>
      </c>
      <c r="K35" s="163"/>
      <c r="L35" s="163"/>
      <c r="M35" s="29">
        <v>1315</v>
      </c>
      <c r="N35" s="29">
        <f>stableSSBR[[#This Row],[COD 
(mg L-1)]]*Information!$AK$41</f>
        <v>1065.1500000000001</v>
      </c>
      <c r="O35" s="29">
        <v>610</v>
      </c>
      <c r="P35" s="29">
        <v>7.9</v>
      </c>
      <c r="Q35" s="29">
        <v>215</v>
      </c>
      <c r="S35" s="29">
        <v>0.88</v>
      </c>
      <c r="T35" s="29">
        <v>39.299999999999997</v>
      </c>
      <c r="U35" s="6">
        <f>stableSSBR[[#This Row],[NH4-N 
(mg L-1)]]*1.288</f>
        <v>197.27008000000001</v>
      </c>
      <c r="V35" s="6">
        <f>(stableSSBR[[#This Row],[NO3-N 
(mg L-1)]])*4.426</f>
        <v>32.725843999999995</v>
      </c>
      <c r="W35" s="6">
        <f>stableSSBR[[#This Row],[NO2-N 
(mg L-1)]]*3.284</f>
        <v>104.779304</v>
      </c>
      <c r="X35" s="29">
        <v>153.16</v>
      </c>
      <c r="Y35" s="29">
        <v>31.905999999999999</v>
      </c>
      <c r="Z35" s="6">
        <f>IF(stableSSBR[[#This Row],[TON 
(mg L-1)]]-stableSSBR[[#This Row],[NO2-N 
(mg L-1)]]&lt;0,0.19,stableSSBR[[#This Row],[TON 
(mg L-1)]]-stableSSBR[[#This Row],[NO2-N 
(mg L-1)]])</f>
        <v>7.3939999999999984</v>
      </c>
      <c r="AA35" s="4">
        <f>SUM(stableSSBR[[#This Row],[NO3-N 
(mg L-1)]],stableSSBR[[#This Row],[NO2-N 
(mg L-1)]],stableSSBR[[#This Row],[NH4-N 
(mg L-1)]])</f>
        <v>192.45999999999998</v>
      </c>
      <c r="AB35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5.4992785636723326E-3</v>
      </c>
      <c r="AC35" s="164">
        <f>IF(IFERROR(stableSSBR[[#This Row],[NO2-N 
(mg L-1)]]/stableSSBR[[#This Row],[NH4-N 
(mg L-1)]],0)&lt;0,0,IFERROR(stableSSBR[[#This Row],[NO2-N 
(mg L-1)]]/stableSSBR[[#This Row],[NH4-N 
(mg L-1)]],0))</f>
        <v>0.2083180987202925</v>
      </c>
      <c r="AD35" s="164">
        <f>stableSSBR[[#This Row],[NO2-N 
(mg L-1)]]/(stableSSBR[[#This Row],[NO3-N 
(mg L-1)]]+stableSSBR[[#This Row],[NO2-N 
(mg L-1)]])</f>
        <v>0.81185750636132314</v>
      </c>
      <c r="AE35" s="20">
        <f>46/14*stableSSBR[[#This Row],[NO2-N 
(mg L-1)]]/(EXP(-2300/(stableSSBR[[#This Row],[Temp. 
(°C)]]+273))*10^(stableSSBR[[#This Row],[pHreactor]]))</f>
        <v>3.1953573713874625E-2</v>
      </c>
      <c r="AF35" s="20">
        <f>17/14*(stableSSBR[NH4-N 
(mg L-1)]*10^stableSSBR[[#This Row],[pHreactor]])/(EXP((6344/(273+stableSSBR[[#This Row],[Temp. 
(°C)]])))+10^stableSSBR[pHreactor])</f>
        <v>0.74644123982521038</v>
      </c>
      <c r="AG35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1305.24</v>
      </c>
      <c r="AH35" s="19">
        <f>IFERROR(IF(Influent[[#This Row],[COD (mg L-1)]]-stableSSBR[[#This Row],[COD 
(mg L-1)]]&lt;0,0,Influent[[#This Row],[COD (mg L-1)]]-stableSSBR[[#This Row],[COD 
(mg L-1)]]),0)</f>
        <v>1505</v>
      </c>
      <c r="AI35" s="20">
        <f>Influent[[#This Row],[COD (mg L-1)]]/stableSSBR[HRT 
(h)]*24/1000</f>
        <v>1.8284879999999999</v>
      </c>
      <c r="AJ35" s="20">
        <f>IF(((stableSSBR[[#This Row],[ΔC   (mg L-1)]])/stableSSBR[[#This Row],[HRT 
(h)]]*24/1000) &lt;0,0, (stableSSBR[[#This Row],[ΔC   (mg L-1)]])/stableSSBR[HRT 
(h)]*24/1000)</f>
        <v>0.97584199999999988</v>
      </c>
      <c r="AK35" s="6">
        <f>IF(IFERROR((Influent[[#This Row],[NH4-N (mg L-1)]])*stableSSBR[ARE 
(%)]/stableSSBR[HRT 
(h)]*24/1000,0)&lt;0,0,IFERROR((Influent[[#This Row],[NH4-N (mg L-1)]])*stableSSBR[ARE 
(%)]/stableSSBR[HRT 
(h)]*24/1000,0))</f>
        <v>0.87179973599999994</v>
      </c>
      <c r="AL35" s="20">
        <f>Influent[[#This Row],[TN (mg L-1)]]/stableSSBR[[#This Row],[HRT 
(h)]]*24/1000</f>
        <v>0.97123835999999986</v>
      </c>
      <c r="AM35" s="20">
        <f>stableSSBR[[#This Row],[NLR 
(kg N m-3 d-1)]]*stableSSBR[[#This Row],[NRE 
(%)]]</f>
        <v>0.8464472959999999</v>
      </c>
      <c r="AN35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0.89773652934499559</v>
      </c>
      <c r="AO35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0.87151345216636622</v>
      </c>
      <c r="AP35" s="6"/>
      <c r="AQ35" s="276"/>
      <c r="AR35" s="6">
        <f>stableSSBR[[#This Row],[NH4-N 
(mg L-1)]]-20</f>
        <v>133.16</v>
      </c>
      <c r="AS35" s="6">
        <f>stableSSBR[[#This Row],[Ammonia residual to reach target]]*2.19</f>
        <v>291.62039999999996</v>
      </c>
      <c r="AT35" s="6">
        <f>stableSSBR[[#This Row],[Alkalinity 
(mg CaCO3 L-1) ]]-stableSSBR[[#This Row],[Alkalinity need]]-70</f>
        <v>248.37960000000004</v>
      </c>
    </row>
    <row r="36" spans="1:47" x14ac:dyDescent="0.3">
      <c r="A36" s="3">
        <v>43359</v>
      </c>
      <c r="B36" s="29">
        <v>33</v>
      </c>
      <c r="C36" s="161">
        <v>646</v>
      </c>
      <c r="D36" s="162">
        <f t="shared" si="0"/>
        <v>15.504000000000001</v>
      </c>
      <c r="E36" s="163">
        <v>2</v>
      </c>
      <c r="F36" s="163">
        <v>4</v>
      </c>
      <c r="G36" s="163">
        <f>IFERROR(Information!$R$40/(stableSSBR[[#This Row],[Flow 
(L h-1)]]*stableSSBR[[#This Row],[Batch cycles]]*stableSSBR[[#This Row],[Cycle duration 
(h)]]/1000)*24,0)</f>
        <v>37.151702786377705</v>
      </c>
      <c r="H36" s="6">
        <v>0.18540333796940209</v>
      </c>
      <c r="I36" s="6">
        <v>6.8572774687065339</v>
      </c>
      <c r="J36" s="6">
        <v>24.795902777777759</v>
      </c>
      <c r="K36" s="163"/>
      <c r="L36" s="163"/>
      <c r="M36" s="29">
        <v>1310</v>
      </c>
      <c r="N36" s="29">
        <f>stableSSBR[[#This Row],[COD 
(mg L-1)]]*Information!$AK$41</f>
        <v>1061.1000000000001</v>
      </c>
      <c r="O36" s="29">
        <v>721</v>
      </c>
      <c r="P36" s="29">
        <v>7.9</v>
      </c>
      <c r="Q36" s="29">
        <v>124</v>
      </c>
      <c r="S36" s="29">
        <v>0.74</v>
      </c>
      <c r="T36" s="29">
        <v>46</v>
      </c>
      <c r="U36" s="6">
        <f>stableSSBR[[#This Row],[NH4-N 
(mg L-1)]]*1.288</f>
        <v>209.24848000000003</v>
      </c>
      <c r="V36" s="6">
        <f>(stableSSBR[[#This Row],[NO3-N 
(mg L-1)]])*4.426</f>
        <v>45.888768000000013</v>
      </c>
      <c r="W36" s="6">
        <f>stableSSBR[[#This Row],[NO2-N 
(mg L-1)]]*3.284</f>
        <v>117.01548799999999</v>
      </c>
      <c r="X36" s="29">
        <v>162.46</v>
      </c>
      <c r="Y36" s="29">
        <v>35.631999999999998</v>
      </c>
      <c r="Z36" s="6">
        <f>IF(stableSSBR[[#This Row],[TON 
(mg L-1)]]-stableSSBR[[#This Row],[NO2-N 
(mg L-1)]]&lt;0,0.19,stableSSBR[[#This Row],[TON 
(mg L-1)]]-stableSSBR[[#This Row],[NO2-N 
(mg L-1)]])</f>
        <v>10.368000000000002</v>
      </c>
      <c r="AA36" s="4">
        <f>SUM(stableSSBR[[#This Row],[NO3-N 
(mg L-1)]],stableSSBR[[#This Row],[NO2-N 
(mg L-1)]],stableSSBR[[#This Row],[NH4-N 
(mg L-1)]])</f>
        <v>208.46</v>
      </c>
      <c r="AB36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7.9470198675496706E-3</v>
      </c>
      <c r="AC36" s="164">
        <f>IF(IFERROR(stableSSBR[[#This Row],[NO2-N 
(mg L-1)]]/stableSSBR[[#This Row],[NH4-N 
(mg L-1)]],0)&lt;0,0,IFERROR(stableSSBR[[#This Row],[NO2-N 
(mg L-1)]]/stableSSBR[[#This Row],[NH4-N 
(mg L-1)]],0))</f>
        <v>0.21932783454388771</v>
      </c>
      <c r="AD36" s="164">
        <f>stableSSBR[[#This Row],[NO2-N 
(mg L-1)]]/(stableSSBR[[#This Row],[NO3-N 
(mg L-1)]]+stableSSBR[[#This Row],[NO2-N 
(mg L-1)]])</f>
        <v>0.77460869565217383</v>
      </c>
      <c r="AE36" s="20">
        <f>46/14*stableSSBR[[#This Row],[NO2-N 
(mg L-1)]]/(EXP(-2300/(stableSSBR[[#This Row],[Temp. 
(°C)]]+273))*10^(stableSSBR[[#This Row],[pHreactor]]))</f>
        <v>3.6764366353104733E-2</v>
      </c>
      <c r="AF36" s="20">
        <f>17/14*(stableSSBR[NH4-N 
(mg L-1)]*10^stableSSBR[[#This Row],[pHreactor]])/(EXP((6344/(273+stableSSBR[[#This Row],[Temp. 
(°C)]])))+10^stableSSBR[pHreactor])</f>
        <v>0.79203378810030889</v>
      </c>
      <c r="AG36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1258.6399999999999</v>
      </c>
      <c r="AH36" s="19">
        <f>IFERROR(IF(Influent[[#This Row],[COD (mg L-1)]]-stableSSBR[[#This Row],[COD 
(mg L-1)]]&lt;0,0,Influent[[#This Row],[COD (mg L-1)]]-stableSSBR[[#This Row],[COD 
(mg L-1)]]),0)</f>
        <v>1490</v>
      </c>
      <c r="AI36" s="20">
        <f>Influent[[#This Row],[COD (mg L-1)]]/stableSSBR[HRT 
(h)]*24/1000</f>
        <v>1.8088000000000002</v>
      </c>
      <c r="AJ36" s="20">
        <f>IF(((stableSSBR[[#This Row],[ΔC   (mg L-1)]])/stableSSBR[[#This Row],[HRT 
(h)]]*24/1000) &lt;0,0, (stableSSBR[[#This Row],[ΔC   (mg L-1)]])/stableSSBR[HRT 
(h)]*24/1000)</f>
        <v>0.96254000000000006</v>
      </c>
      <c r="AK36" s="6">
        <f>IF(IFERROR((Influent[[#This Row],[NH4-N (mg L-1)]])*stableSSBR[ARE 
(%)]/stableSSBR[HRT 
(h)]*24/1000,0)&lt;0,0,IFERROR((Influent[[#This Row],[NH4-N (mg L-1)]])*stableSSBR[ARE 
(%)]/stableSSBR[HRT 
(h)]*24/1000,0))</f>
        <v>0.84279744000000001</v>
      </c>
      <c r="AL36" s="20">
        <f>Influent[[#This Row],[TN (mg L-1)]]/stableSSBR[[#This Row],[HRT 
(h)]]*24/1000</f>
        <v>0.94787580000000016</v>
      </c>
      <c r="AM36" s="20">
        <f>stableSSBR[[#This Row],[NLR 
(kg N m-3 d-1)]]*stableSSBR[[#This Row],[NRE 
(%)]]</f>
        <v>0.8132106400000001</v>
      </c>
      <c r="AN36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0.88926453547815421</v>
      </c>
      <c r="AO36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0.8579295304300415</v>
      </c>
      <c r="AP36" s="6"/>
      <c r="AQ36" s="276"/>
      <c r="AR36" s="6">
        <f>stableSSBR[[#This Row],[NH4-N 
(mg L-1)]]-20</f>
        <v>142.46</v>
      </c>
      <c r="AS36" s="6">
        <f>stableSSBR[[#This Row],[Ammonia residual to reach target]]*2.19</f>
        <v>311.98740000000004</v>
      </c>
      <c r="AT36" s="6">
        <f>stableSSBR[[#This Row],[Alkalinity 
(mg CaCO3 L-1) ]]-stableSSBR[[#This Row],[Alkalinity need]]-70</f>
        <v>339.01259999999996</v>
      </c>
    </row>
    <row r="37" spans="1:47" x14ac:dyDescent="0.3">
      <c r="A37" s="3">
        <v>43360</v>
      </c>
      <c r="B37" s="29">
        <v>34</v>
      </c>
      <c r="C37" s="161">
        <v>665.4</v>
      </c>
      <c r="D37" s="162">
        <f t="shared" si="0"/>
        <v>15.9696</v>
      </c>
      <c r="E37" s="163">
        <v>2</v>
      </c>
      <c r="F37" s="163">
        <v>4</v>
      </c>
      <c r="G37" s="163">
        <f>IFERROR(Information!$R$40/(stableSSBR[[#This Row],[Flow 
(L h-1)]]*stableSSBR[[#This Row],[Batch cycles]]*stableSSBR[[#This Row],[Cycle duration 
(h)]]/1000)*24,0)</f>
        <v>36.068530207394048</v>
      </c>
      <c r="H37" s="6">
        <v>0.15982650936849441</v>
      </c>
      <c r="I37" s="6">
        <v>6.7975170020818707</v>
      </c>
      <c r="J37" s="6">
        <v>25.985902777777781</v>
      </c>
      <c r="K37" s="29">
        <v>9460</v>
      </c>
      <c r="L37" s="29">
        <f>stableSSBR[[#This Row],[MLSS 
(mg L-1)]]*0.46</f>
        <v>4351.6000000000004</v>
      </c>
      <c r="M37" s="29">
        <v>1300</v>
      </c>
      <c r="N37" s="29">
        <f>stableSSBR[[#This Row],[COD 
(mg L-1)]]*Information!$AK$41</f>
        <v>1053</v>
      </c>
      <c r="O37" s="29">
        <v>611</v>
      </c>
      <c r="P37" s="29">
        <v>8</v>
      </c>
      <c r="Q37" s="29">
        <v>110</v>
      </c>
      <c r="S37" s="29">
        <v>0.75</v>
      </c>
      <c r="T37" s="29">
        <v>50.2</v>
      </c>
      <c r="U37" s="6">
        <f>stableSSBR[[#This Row],[NH4-N 
(mg L-1)]]*1.288</f>
        <v>205.47463999999999</v>
      </c>
      <c r="V37" s="6">
        <f>(stableSSBR[[#This Row],[NO3-N 
(mg L-1)]])*4.426</f>
        <v>55.940214000000012</v>
      </c>
      <c r="W37" s="6">
        <f>stableSSBR[[#This Row],[NO2-N 
(mg L-1)]]*3.284</f>
        <v>123.35032399999999</v>
      </c>
      <c r="X37" s="29">
        <v>159.53</v>
      </c>
      <c r="Y37" s="29">
        <v>37.561</v>
      </c>
      <c r="Z37" s="6">
        <f>IF(stableSSBR[[#This Row],[TON 
(mg L-1)]]-stableSSBR[[#This Row],[NO2-N 
(mg L-1)]]&lt;0,0.19,stableSSBR[[#This Row],[TON 
(mg L-1)]]-stableSSBR[[#This Row],[NO2-N 
(mg L-1)]])</f>
        <v>12.639000000000003</v>
      </c>
      <c r="AA37" s="4">
        <f>SUM(stableSSBR[[#This Row],[NO3-N 
(mg L-1)]],stableSSBR[[#This Row],[NO2-N 
(mg L-1)]],stableSSBR[[#This Row],[NH4-N 
(mg L-1)]])</f>
        <v>209.73000000000002</v>
      </c>
      <c r="AB37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9.4189452033356449E-3</v>
      </c>
      <c r="AC37" s="164">
        <f>IF(IFERROR(stableSSBR[[#This Row],[NO2-N 
(mg L-1)]]/stableSSBR[[#This Row],[NH4-N 
(mg L-1)]],0)&lt;0,0,IFERROR(stableSSBR[[#This Row],[NO2-N 
(mg L-1)]]/stableSSBR[[#This Row],[NH4-N 
(mg L-1)]],0))</f>
        <v>0.23544787814204224</v>
      </c>
      <c r="AD37" s="164">
        <f>stableSSBR[[#This Row],[NO2-N 
(mg L-1)]]/(stableSSBR[[#This Row],[NO3-N 
(mg L-1)]]+stableSSBR[[#This Row],[NO2-N 
(mg L-1)]])</f>
        <v>0.74822709163346612</v>
      </c>
      <c r="AE37" s="20">
        <f>46/14*stableSSBR[[#This Row],[NO2-N 
(mg L-1)]]/(EXP(-2300/(stableSSBR[[#This Row],[Temp. 
(°C)]]+273))*10^(stableSSBR[[#This Row],[pHreactor]]))</f>
        <v>4.3125509557482372E-2</v>
      </c>
      <c r="AF37" s="20">
        <f>17/14*(stableSSBR[NH4-N 
(mg L-1)]*10^stableSSBR[[#This Row],[pHreactor]])/(EXP((6344/(273+stableSSBR[[#This Row],[Temp. 
(°C)]])))+10^stableSSBR[pHreactor])</f>
        <v>0.73789125641092534</v>
      </c>
      <c r="AG37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1291.67</v>
      </c>
      <c r="AH37" s="19">
        <f>IFERROR(IF(Influent[[#This Row],[COD (mg L-1)]]-stableSSBR[[#This Row],[COD 
(mg L-1)]]&lt;0,0,Influent[[#This Row],[COD (mg L-1)]]-stableSSBR[[#This Row],[COD 
(mg L-1)]]),0)</f>
        <v>1555</v>
      </c>
      <c r="AI37" s="20">
        <f>Influent[[#This Row],[COD (mg L-1)]]/stableSSBR[HRT 
(h)]*24/1000</f>
        <v>1.8997170000000001</v>
      </c>
      <c r="AJ37" s="20">
        <f>IF(((stableSSBR[[#This Row],[ΔC   (mg L-1)]])/stableSSBR[[#This Row],[HRT 
(h)]]*24/1000) &lt;0,0, (stableSSBR[[#This Row],[ΔC   (mg L-1)]])/stableSSBR[HRT 
(h)]*24/1000)</f>
        <v>1.0346970000000002</v>
      </c>
      <c r="AK37" s="6">
        <f>IF(IFERROR((Influent[[#This Row],[NH4-N (mg L-1)]])*stableSSBR[ARE 
(%)]/stableSSBR[HRT 
(h)]*24/1000,0)&lt;0,0,IFERROR((Influent[[#This Row],[NH4-N (mg L-1)]])*stableSSBR[ARE 
(%)]/stableSSBR[HRT 
(h)]*24/1000,0))</f>
        <v>0.89288029800000002</v>
      </c>
      <c r="AL37" s="20">
        <f>Influent[[#This Row],[TN (mg L-1)]]/stableSSBR[[#This Row],[HRT 
(h)]]*24/1000</f>
        <v>0.99916464000000005</v>
      </c>
      <c r="AM37" s="20">
        <f>stableSSBR[[#This Row],[NLR 
(kg N m-3 d-1)]]*stableSSBR[[#This Row],[NRE 
(%)]]</f>
        <v>0.85961029799999999</v>
      </c>
      <c r="AN37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0.89374583721859602</v>
      </c>
      <c r="AO37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0.86032898241875333</v>
      </c>
      <c r="AP37" s="6"/>
      <c r="AQ37" s="276"/>
      <c r="AR37" s="6">
        <f>stableSSBR[[#This Row],[NH4-N 
(mg L-1)]]-20</f>
        <v>139.53</v>
      </c>
      <c r="AS37" s="6">
        <f>stableSSBR[[#This Row],[Ammonia residual to reach target]]*2.19</f>
        <v>305.57069999999999</v>
      </c>
      <c r="AT37" s="6">
        <f>stableSSBR[[#This Row],[Alkalinity 
(mg CaCO3 L-1) ]]-stableSSBR[[#This Row],[Alkalinity need]]-70</f>
        <v>235.42930000000001</v>
      </c>
    </row>
    <row r="38" spans="1:47" x14ac:dyDescent="0.3">
      <c r="A38" s="3">
        <v>43361</v>
      </c>
      <c r="B38" s="29">
        <v>35</v>
      </c>
      <c r="C38" s="161">
        <v>684.3</v>
      </c>
      <c r="D38" s="162">
        <f t="shared" si="0"/>
        <v>16.423199999999998</v>
      </c>
      <c r="E38" s="163">
        <v>2</v>
      </c>
      <c r="F38" s="163">
        <v>4</v>
      </c>
      <c r="G38" s="163">
        <f>IFERROR(Information!$R$40/(stableSSBR[[#This Row],[Flow 
(L h-1)]]*stableSSBR[[#This Row],[Batch cycles]]*stableSSBR[[#This Row],[Cycle duration 
(h)]]/1000)*24,0)</f>
        <v>35.072336694432273</v>
      </c>
      <c r="H38" s="6">
        <v>0.16191533657182561</v>
      </c>
      <c r="I38" s="6">
        <v>6.8135093684940768</v>
      </c>
      <c r="J38" s="6">
        <v>25.75125000000001</v>
      </c>
      <c r="K38" s="163"/>
      <c r="L38" s="163"/>
      <c r="M38" s="29">
        <v>1458</v>
      </c>
      <c r="N38" s="29">
        <f>stableSSBR[[#This Row],[COD 
(mg L-1)]]*Information!$AK$41</f>
        <v>1180.98</v>
      </c>
      <c r="O38" s="29">
        <v>555</v>
      </c>
      <c r="P38" s="29">
        <v>7.8</v>
      </c>
      <c r="Q38" s="29">
        <v>118</v>
      </c>
      <c r="R38" s="29">
        <v>32</v>
      </c>
      <c r="S38" s="29">
        <v>0.52</v>
      </c>
      <c r="T38" s="29">
        <v>67.2</v>
      </c>
      <c r="U38" s="6">
        <f>stableSSBR[[#This Row],[NH4-N 
(mg L-1)]]*1.288</f>
        <v>194.81</v>
      </c>
      <c r="V38" s="6">
        <f>(stableSSBR[[#This Row],[NO3-N 
(mg L-1)]])*4.426</f>
        <v>59.396920000000009</v>
      </c>
      <c r="W38" s="6">
        <f>stableSSBR[[#This Row],[NO2-N 
(mg L-1)]]*3.284</f>
        <v>176.61351999999999</v>
      </c>
      <c r="X38" s="29">
        <v>151.25</v>
      </c>
      <c r="Y38" s="29">
        <v>53.78</v>
      </c>
      <c r="Z38" s="6">
        <f>IF(stableSSBR[[#This Row],[TON 
(mg L-1)]]-stableSSBR[[#This Row],[NO2-N 
(mg L-1)]]&lt;0,0.19,stableSSBR[[#This Row],[TON 
(mg L-1)]]-stableSSBR[[#This Row],[NO2-N 
(mg L-1)]])</f>
        <v>13.420000000000002</v>
      </c>
      <c r="AA38" s="4">
        <f>SUM(stableSSBR[[#This Row],[NO3-N 
(mg L-1)]],stableSSBR[[#This Row],[NO2-N 
(mg L-1)]],stableSSBR[[#This Row],[NH4-N 
(mg L-1)]])</f>
        <v>218.45</v>
      </c>
      <c r="AB38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1.1983747823369204E-2</v>
      </c>
      <c r="AC38" s="164">
        <f>IF(IFERROR(stableSSBR[[#This Row],[NO2-N 
(mg L-1)]]/stableSSBR[[#This Row],[NH4-N 
(mg L-1)]],0)&lt;0,0,IFERROR(stableSSBR[[#This Row],[NO2-N 
(mg L-1)]]/stableSSBR[[#This Row],[NH4-N 
(mg L-1)]],0))</f>
        <v>0.35557024793388431</v>
      </c>
      <c r="AD38" s="164">
        <f>stableSSBR[[#This Row],[NO2-N 
(mg L-1)]]/(stableSSBR[[#This Row],[NO3-N 
(mg L-1)]]+stableSSBR[[#This Row],[NO2-N 
(mg L-1)]])</f>
        <v>0.80029761904761898</v>
      </c>
      <c r="AE38" s="20">
        <f>46/14*stableSSBR[[#This Row],[NO2-N 
(mg L-1)]]/(EXP(-2300/(stableSSBR[[#This Row],[Temp. 
(°C)]]+273))*10^(stableSSBR[[#This Row],[pHreactor]]))</f>
        <v>5.987556257520503E-2</v>
      </c>
      <c r="AF38" s="20">
        <f>17/14*(stableSSBR[NH4-N 
(mg L-1)]*10^stableSSBR[[#This Row],[pHreactor]])/(EXP((6344/(273+stableSSBR[[#This Row],[Temp. 
(°C)]])))+10^stableSSBR[pHreactor])</f>
        <v>0.71378293685120908</v>
      </c>
      <c r="AG38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1052.6499999999999</v>
      </c>
      <c r="AH38" s="19">
        <f>IFERROR(IF(Influent[[#This Row],[COD (mg L-1)]]-stableSSBR[[#This Row],[COD 
(mg L-1)]]&lt;0,0,Influent[[#This Row],[COD (mg L-1)]]-stableSSBR[[#This Row],[COD 
(mg L-1)]]),0)</f>
        <v>1337</v>
      </c>
      <c r="AI38" s="20">
        <f>Influent[[#This Row],[COD (mg L-1)]]/stableSSBR[HRT 
(h)]*24/1000</f>
        <v>1.9126184999999996</v>
      </c>
      <c r="AJ38" s="20">
        <f>IF(((stableSSBR[[#This Row],[ΔC   (mg L-1)]])/stableSSBR[[#This Row],[HRT 
(h)]]*24/1000) &lt;0,0, (stableSSBR[[#This Row],[ΔC   (mg L-1)]])/stableSSBR[HRT 
(h)]*24/1000)</f>
        <v>0.91490909999999981</v>
      </c>
      <c r="AK38" s="6">
        <f>IF(IFERROR((Influent[[#This Row],[NH4-N (mg L-1)]])*stableSSBR[ARE 
(%)]/stableSSBR[HRT 
(h)]*24/1000,0)&lt;0,0,IFERROR((Influent[[#This Row],[NH4-N (mg L-1)]])*stableSSBR[ARE 
(%)]/stableSSBR[HRT 
(h)]*24/1000,0))</f>
        <v>0.76631335499999975</v>
      </c>
      <c r="AL38" s="20">
        <f>Influent[[#This Row],[TN (mg L-1)]]/stableSSBR[[#This Row],[HRT 
(h)]]*24/1000</f>
        <v>0.87439443419999974</v>
      </c>
      <c r="AM38" s="20">
        <f>stableSSBR[[#This Row],[NLR 
(kg N m-3 d-1)]]*stableSSBR[[#This Row],[NRE 
(%)]]</f>
        <v>0.72490909919999968</v>
      </c>
      <c r="AN38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0.8810085752497836</v>
      </c>
      <c r="AO38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0.82904130086696282</v>
      </c>
      <c r="AP38" s="6"/>
      <c r="AQ38" s="276"/>
      <c r="AR38" s="6">
        <f>stableSSBR[[#This Row],[NH4-N 
(mg L-1)]]-20</f>
        <v>131.25</v>
      </c>
      <c r="AS38" s="6">
        <f>stableSSBR[[#This Row],[Ammonia residual to reach target]]*2.19</f>
        <v>287.4375</v>
      </c>
      <c r="AT38" s="6">
        <f>stableSSBR[[#This Row],[Alkalinity 
(mg CaCO3 L-1) ]]-stableSSBR[[#This Row],[Alkalinity need]]-70</f>
        <v>197.5625</v>
      </c>
    </row>
    <row r="39" spans="1:47" x14ac:dyDescent="0.3">
      <c r="A39" s="3">
        <v>43362</v>
      </c>
      <c r="B39" s="29">
        <v>36</v>
      </c>
      <c r="C39" s="161">
        <v>665.8</v>
      </c>
      <c r="D39" s="162">
        <f t="shared" si="0"/>
        <v>15.979199999999999</v>
      </c>
      <c r="E39" s="163">
        <v>2</v>
      </c>
      <c r="F39" s="163">
        <v>4</v>
      </c>
      <c r="G39" s="163">
        <f>IFERROR(Information!$R$40/(stableSSBR[[#This Row],[Flow 
(L h-1)]]*stableSSBR[[#This Row],[Batch cycles]]*stableSSBR[[#This Row],[Cycle duration 
(h)]]/1000)*24,0)</f>
        <v>36.046860919194955</v>
      </c>
      <c r="H39" s="6">
        <v>0.19148507980569091</v>
      </c>
      <c r="I39" s="6">
        <v>6.8346897987508601</v>
      </c>
      <c r="J39" s="6">
        <v>25.572986111111131</v>
      </c>
      <c r="K39" s="163"/>
      <c r="L39" s="163"/>
      <c r="M39" s="29">
        <v>1346</v>
      </c>
      <c r="N39" s="29">
        <f>stableSSBR[[#This Row],[COD 
(mg L-1)]]*Information!$AK$41</f>
        <v>1090.26</v>
      </c>
      <c r="O39" s="29">
        <v>569</v>
      </c>
      <c r="P39" s="29">
        <v>7.8</v>
      </c>
      <c r="Q39" s="29">
        <v>80</v>
      </c>
      <c r="R39" s="29">
        <v>46</v>
      </c>
      <c r="S39" s="29">
        <v>0.54</v>
      </c>
      <c r="T39" s="29">
        <v>54.6</v>
      </c>
      <c r="U39" s="6">
        <f>stableSSBR[[#This Row],[NH4-N 
(mg L-1)]]*1.288</f>
        <v>198.55807999999999</v>
      </c>
      <c r="V39" s="6">
        <f>(stableSSBR[[#This Row],[NO3-N 
(mg L-1)]])*4.426</f>
        <v>51.921406000000012</v>
      </c>
      <c r="W39" s="6">
        <f>stableSSBR[[#This Row],[NO2-N 
(mg L-1)]]*3.284</f>
        <v>140.78179599999999</v>
      </c>
      <c r="X39" s="29">
        <v>154.16</v>
      </c>
      <c r="Y39" s="29">
        <v>42.869</v>
      </c>
      <c r="Z39" s="6">
        <f>IF(stableSSBR[[#This Row],[TON 
(mg L-1)]]-stableSSBR[[#This Row],[NO2-N 
(mg L-1)]]&lt;0,0.19,stableSSBR[[#This Row],[TON 
(mg L-1)]]-stableSSBR[[#This Row],[NO2-N 
(mg L-1)]])</f>
        <v>11.731000000000002</v>
      </c>
      <c r="AA39" s="4">
        <f>SUM(stableSSBR[[#This Row],[NO3-N 
(mg L-1)]],stableSSBR[[#This Row],[NO2-N 
(mg L-1)]],stableSSBR[[#This Row],[NH4-N 
(mg L-1)]])</f>
        <v>208.76</v>
      </c>
      <c r="AB39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1.0729507746903984E-2</v>
      </c>
      <c r="AC39" s="164">
        <f>IF(IFERROR(stableSSBR[[#This Row],[NO2-N 
(mg L-1)]]/stableSSBR[[#This Row],[NH4-N 
(mg L-1)]],0)&lt;0,0,IFERROR(stableSSBR[[#This Row],[NO2-N 
(mg L-1)]]/stableSSBR[[#This Row],[NH4-N 
(mg L-1)]],0))</f>
        <v>0.27808121432278154</v>
      </c>
      <c r="AD39" s="164">
        <f>stableSSBR[[#This Row],[NO2-N 
(mg L-1)]]/(stableSSBR[[#This Row],[NO3-N 
(mg L-1)]]+stableSSBR[[#This Row],[NO2-N 
(mg L-1)]])</f>
        <v>0.78514652014652009</v>
      </c>
      <c r="AE39" s="20">
        <f>46/14*stableSSBR[[#This Row],[NO2-N 
(mg L-1)]]/(EXP(-2300/(stableSSBR[[#This Row],[Temp. 
(°C)]]+273))*10^(stableSSBR[[#This Row],[pHreactor]]))</f>
        <v>4.5665475410658581E-2</v>
      </c>
      <c r="AF39" s="20">
        <f>17/14*(stableSSBR[NH4-N 
(mg L-1)]*10^stableSSBR[[#This Row],[pHreactor]])/(EXP((6344/(273+stableSSBR[[#This Row],[Temp. 
(°C)]])))+10^stableSSBR[pHreactor])</f>
        <v>0.75414473388255254</v>
      </c>
      <c r="AG39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1038.74</v>
      </c>
      <c r="AH39" s="19">
        <f>IFERROR(IF(Influent[[#This Row],[COD (mg L-1)]]-stableSSBR[[#This Row],[COD 
(mg L-1)]]&lt;0,0,Influent[[#This Row],[COD (mg L-1)]]-stableSSBR[[#This Row],[COD 
(mg L-1)]]),0)</f>
        <v>1454</v>
      </c>
      <c r="AI39" s="20">
        <f>Influent[[#This Row],[COD (mg L-1)]]/stableSSBR[HRT 
(h)]*24/1000</f>
        <v>1.8642399999999997</v>
      </c>
      <c r="AJ39" s="20">
        <f>IF(((stableSSBR[[#This Row],[ΔC   (mg L-1)]])/stableSSBR[[#This Row],[HRT 
(h)]]*24/1000) &lt;0,0, (stableSSBR[[#This Row],[ΔC   (mg L-1)]])/stableSSBR[HRT 
(h)]*24/1000)</f>
        <v>0.96807319999999997</v>
      </c>
      <c r="AK39" s="6">
        <f>IF(IFERROR((Influent[[#This Row],[NH4-N (mg L-1)]])*stableSSBR[ARE 
(%)]/stableSSBR[HRT 
(h)]*24/1000,0)&lt;0,0,IFERROR((Influent[[#This Row],[NH4-N (mg L-1)]])*stableSSBR[ARE 
(%)]/stableSSBR[HRT 
(h)]*24/1000,0))</f>
        <v>0.72794577199999988</v>
      </c>
      <c r="AL39" s="20">
        <f>Influent[[#This Row],[TN (mg L-1)]]/stableSSBR[[#This Row],[HRT 
(h)]]*24/1000</f>
        <v>0.83071866000000005</v>
      </c>
      <c r="AM39" s="20">
        <f>stableSSBR[[#This Row],[NLR 
(kg N m-3 d-1)]]*stableSSBR[[#This Row],[NRE 
(%)]]</f>
        <v>0.69172625200000004</v>
      </c>
      <c r="AN39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0.87642484969939871</v>
      </c>
      <c r="AO39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0.83268413881542036</v>
      </c>
      <c r="AP39" s="6"/>
      <c r="AQ39" s="276"/>
      <c r="AR39" s="6">
        <f>stableSSBR[[#This Row],[NH4-N 
(mg L-1)]]-20</f>
        <v>134.16</v>
      </c>
      <c r="AS39" s="6">
        <f>stableSSBR[[#This Row],[Ammonia residual to reach target]]*2.19</f>
        <v>293.81039999999996</v>
      </c>
      <c r="AT39" s="6">
        <f>stableSSBR[[#This Row],[Alkalinity 
(mg CaCO3 L-1) ]]-stableSSBR[[#This Row],[Alkalinity need]]-70</f>
        <v>205.18960000000004</v>
      </c>
    </row>
    <row r="40" spans="1:47" x14ac:dyDescent="0.3">
      <c r="A40" s="3">
        <v>43363</v>
      </c>
      <c r="B40" s="29">
        <v>37</v>
      </c>
      <c r="C40" s="27">
        <v>701.2</v>
      </c>
      <c r="D40" s="28">
        <f>C40/1000*24</f>
        <v>16.828800000000001</v>
      </c>
      <c r="E40" s="163">
        <v>2</v>
      </c>
      <c r="F40" s="163">
        <v>4</v>
      </c>
      <c r="G40" s="41">
        <f>IFERROR(Information!$R$40/(stableSSBR[[#This Row],[Flow 
(L h-1)]]*stableSSBR[[#This Row],[Batch cycles]]*stableSSBR[[#This Row],[Cycle duration 
(h)]]/1000)*24,0)</f>
        <v>34.227039361095265</v>
      </c>
      <c r="H40" s="6">
        <v>0.14692574600971589</v>
      </c>
      <c r="I40" s="6">
        <v>6.801646773074272</v>
      </c>
      <c r="J40" s="6">
        <v>24.929722222222239</v>
      </c>
      <c r="K40" s="41"/>
      <c r="L40" s="41"/>
      <c r="M40" s="29">
        <v>1332</v>
      </c>
      <c r="N40" s="29">
        <f>stableSSBR[[#This Row],[COD 
(mg L-1)]]*Information!$AK$41</f>
        <v>1078.92</v>
      </c>
      <c r="O40" s="29">
        <v>656</v>
      </c>
      <c r="P40" s="29">
        <v>7.9</v>
      </c>
      <c r="Q40" s="29">
        <v>74</v>
      </c>
      <c r="R40" s="29">
        <v>32</v>
      </c>
      <c r="S40" s="29">
        <v>0.57999999999999996</v>
      </c>
      <c r="T40" s="29">
        <v>40.6</v>
      </c>
      <c r="U40" s="6">
        <f>stableSSBR[[#This Row],[NH4-N 
(mg L-1)]]*1.288</f>
        <v>209.86672000000002</v>
      </c>
      <c r="V40" s="6">
        <f>(stableSSBR[[#This Row],[NO3-N 
(mg L-1)]])*4.426</f>
        <v>0.84094000000000002</v>
      </c>
      <c r="W40" s="6">
        <f>stableSSBR[[#This Row],[NO2-N 
(mg L-1)]]*3.284</f>
        <v>189.28976</v>
      </c>
      <c r="X40" s="29">
        <v>162.94</v>
      </c>
      <c r="Y40" s="29">
        <v>57.64</v>
      </c>
      <c r="Z40" s="6">
        <f>IF(stableSSBR[[#This Row],[TON 
(mg L-1)]]-stableSSBR[[#This Row],[NO2-N 
(mg L-1)]]&lt;0,0.19,stableSSBR[[#This Row],[TON 
(mg L-1)]]-stableSSBR[[#This Row],[NO2-N 
(mg L-1)]])</f>
        <v>0.19</v>
      </c>
      <c r="AA40" s="4">
        <f>SUM(stableSSBR[[#This Row],[NO3-N 
(mg L-1)]],stableSSBR[[#This Row],[NO2-N 
(mg L-1)]],stableSSBR[[#This Row],[NH4-N 
(mg L-1)]])</f>
        <v>220.76999999999998</v>
      </c>
      <c r="AB40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1.4311970833709965E-4</v>
      </c>
      <c r="AC40" s="48">
        <f>IF(IFERROR(stableSSBR[[#This Row],[NO2-N 
(mg L-1)]]/stableSSBR[[#This Row],[NH4-N 
(mg L-1)]],0)&lt;0,0,IFERROR(stableSSBR[[#This Row],[NO2-N 
(mg L-1)]]/stableSSBR[[#This Row],[NH4-N 
(mg L-1)]],0))</f>
        <v>0.35374984656928932</v>
      </c>
      <c r="AD40" s="48">
        <f>stableSSBR[[#This Row],[NO2-N 
(mg L-1)]]/(stableSSBR[[#This Row],[NO3-N 
(mg L-1)]]+stableSSBR[[#This Row],[NO2-N 
(mg L-1)]])</f>
        <v>0.9967145080408093</v>
      </c>
      <c r="AE40" s="20">
        <f>46/14*stableSSBR[[#This Row],[NO2-N 
(mg L-1)]]/(EXP(-2300/(stableSSBR[[#This Row],[Temp. 
(°C)]]+273))*10^(stableSSBR[[#This Row],[pHreactor]]))</f>
        <v>6.7365098675015694E-2</v>
      </c>
      <c r="AF40" s="20">
        <f>17/14*(stableSSBR[NH4-N 
(mg L-1)]*10^stableSSBR[[#This Row],[pHreactor]])/(EXP((6344/(273+stableSSBR[[#This Row],[Temp. 
(°C)]])))+10^stableSSBR[pHreactor])</f>
        <v>0.70590265351322179</v>
      </c>
      <c r="AG40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1269.73</v>
      </c>
      <c r="AH40" s="19">
        <f>IFERROR(IF(Influent[[#This Row],[COD (mg L-1)]]-stableSSBR[[#This Row],[COD 
(mg L-1)]]&lt;0,0,Influent[[#This Row],[COD (mg L-1)]]-stableSSBR[[#This Row],[COD 
(mg L-1)]]),0)</f>
        <v>1593</v>
      </c>
      <c r="AI40" s="20">
        <f>Influent[[#This Row],[COD (mg L-1)]]/stableSSBR[HRT 
(h)]*24/1000</f>
        <v>2.0510099999999998</v>
      </c>
      <c r="AJ40" s="20">
        <f>IF(((stableSSBR[[#This Row],[ΔC   (mg L-1)]])/stableSSBR[[#This Row],[HRT 
(h)]]*24/1000) &lt;0,0, (stableSSBR[[#This Row],[ΔC   (mg L-1)]])/stableSSBR[HRT 
(h)]*24/1000)</f>
        <v>1.1170116000000001</v>
      </c>
      <c r="AK40" s="6">
        <f>IF(IFERROR((Influent[[#This Row],[NH4-N (mg L-1)]])*stableSSBR[ARE 
(%)]/stableSSBR[HRT 
(h)]*24/1000,0)&lt;0,0,IFERROR((Influent[[#This Row],[NH4-N (mg L-1)]])*stableSSBR[ARE 
(%)]/stableSSBR[HRT 
(h)]*24/1000,0))</f>
        <v>0.93088507200000004</v>
      </c>
      <c r="AL40" s="20">
        <f>Influent[[#This Row],[TN (mg L-1)]]/stableSSBR[[#This Row],[HRT 
(h)]]*24/1000</f>
        <v>1.0634329079999998</v>
      </c>
      <c r="AM40" s="20">
        <f>stableSSBR[[#This Row],[NLR 
(kg N m-3 d-1)]]*stableSSBR[[#This Row],[NRE 
(%)]]</f>
        <v>0.90862898399999981</v>
      </c>
      <c r="AN40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0.89068097953706804</v>
      </c>
      <c r="AO40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0.85443000415405612</v>
      </c>
      <c r="AP40" s="6"/>
      <c r="AQ40" s="276"/>
      <c r="AR40" s="6">
        <f>stableSSBR[[#This Row],[NH4-N 
(mg L-1)]]-20</f>
        <v>142.94</v>
      </c>
      <c r="AS40" s="6">
        <f>stableSSBR[[#This Row],[Ammonia residual to reach target]]*2.19</f>
        <v>313.03859999999997</v>
      </c>
      <c r="AT40" s="6">
        <f>stableSSBR[[#This Row],[Alkalinity 
(mg CaCO3 L-1) ]]-stableSSBR[[#This Row],[Alkalinity need]]-70</f>
        <v>272.96140000000003</v>
      </c>
    </row>
    <row r="41" spans="1:47" x14ac:dyDescent="0.3">
      <c r="A41" s="3">
        <v>43364</v>
      </c>
      <c r="B41" s="29">
        <v>38</v>
      </c>
      <c r="C41" s="27">
        <v>648.20000000000005</v>
      </c>
      <c r="D41" s="28">
        <f t="shared" ref="D41:D73" si="2">C41/1000*24</f>
        <v>15.556799999999999</v>
      </c>
      <c r="E41" s="163">
        <v>2</v>
      </c>
      <c r="F41" s="163">
        <v>4</v>
      </c>
      <c r="G41" s="41">
        <f>IFERROR(Information!$R$40/(stableSSBR[[#This Row],[Flow 
(L h-1)]]*stableSSBR[[#This Row],[Batch cycles]]*stableSSBR[[#This Row],[Cycle duration 
(h)]]/1000)*24,0)</f>
        <v>37.025609379821042</v>
      </c>
      <c r="H41" s="6">
        <v>0.16725884802220739</v>
      </c>
      <c r="I41" s="6">
        <v>6.8070319222762352</v>
      </c>
      <c r="J41" s="6">
        <v>22.88493055555556</v>
      </c>
      <c r="K41" s="41">
        <f>stableSSBR[[#This Row],[MLVSS 
(mg L-1)]]/0.46</f>
        <v>8086.95652173913</v>
      </c>
      <c r="L41" s="41">
        <f>1860*2</f>
        <v>3720</v>
      </c>
      <c r="M41" s="29">
        <v>1375</v>
      </c>
      <c r="N41" s="29">
        <f>stableSSBR[[#This Row],[COD 
(mg L-1)]]*Information!$AK$41</f>
        <v>1113.75</v>
      </c>
      <c r="O41" s="29">
        <v>809</v>
      </c>
      <c r="P41" s="29">
        <v>7.9</v>
      </c>
      <c r="Q41" s="29">
        <v>82</v>
      </c>
      <c r="S41" s="29">
        <v>0.56000000000000005</v>
      </c>
      <c r="T41" s="29">
        <v>41.4</v>
      </c>
      <c r="U41" s="6">
        <f>stableSSBR[[#This Row],[NH4-N 
(mg L-1)]]*1.288</f>
        <v>263.15127999999999</v>
      </c>
      <c r="V41" s="6">
        <f>(stableSSBR[[#This Row],[NO3-N 
(mg L-1)]])*4.426</f>
        <v>83.306172000000004</v>
      </c>
      <c r="W41" s="6">
        <f>stableSSBR[[#This Row],[NO2-N 
(mg L-1)]]*3.284</f>
        <v>74.146152000000001</v>
      </c>
      <c r="X41" s="29">
        <v>204.31</v>
      </c>
      <c r="Y41" s="29">
        <v>22.577999999999999</v>
      </c>
      <c r="Z41" s="6">
        <f>IF(stableSSBR[[#This Row],[TON 
(mg L-1)]]-stableSSBR[[#This Row],[NO2-N 
(mg L-1)]]&lt;0,0.19,stableSSBR[[#This Row],[TON 
(mg L-1)]]-stableSSBR[[#This Row],[NO2-N 
(mg L-1)]])</f>
        <v>18.821999999999999</v>
      </c>
      <c r="AA41" s="4">
        <f>SUM(stableSSBR[[#This Row],[NO3-N 
(mg L-1)]],stableSSBR[[#This Row],[NO2-N 
(mg L-1)]],stableSSBR[[#This Row],[NH4-N 
(mg L-1)]])</f>
        <v>245.71</v>
      </c>
      <c r="AB41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1.6392757296266297E-2</v>
      </c>
      <c r="AC41" s="48">
        <f>IF(IFERROR(stableSSBR[[#This Row],[NO2-N 
(mg L-1)]]/stableSSBR[[#This Row],[NH4-N 
(mg L-1)]],0)&lt;0,0,IFERROR(stableSSBR[[#This Row],[NO2-N 
(mg L-1)]]/stableSSBR[[#This Row],[NH4-N 
(mg L-1)]],0))</f>
        <v>0.11050854094268513</v>
      </c>
      <c r="AD41" s="48">
        <f>stableSSBR[[#This Row],[NO2-N 
(mg L-1)]]/(stableSSBR[[#This Row],[NO3-N 
(mg L-1)]]+stableSSBR[[#This Row],[NO2-N 
(mg L-1)]])</f>
        <v>0.54536231884057973</v>
      </c>
      <c r="AE41" s="20">
        <f>46/14*stableSSBR[[#This Row],[NO2-N 
(mg L-1)]]/(EXP(-2300/(stableSSBR[[#This Row],[Temp. 
(°C)]]+273))*10^(stableSSBR[[#This Row],[pHreactor]]))</f>
        <v>2.7490410036857281E-2</v>
      </c>
      <c r="AF41" s="20">
        <f>17/14*(stableSSBR[NH4-N 
(mg L-1)]*10^stableSSBR[[#This Row],[pHreactor]])/(EXP((6344/(273+stableSSBR[[#This Row],[Temp. 
(°C)]])))+10^stableSSBR[pHreactor])</f>
        <v>0.77388882710364892</v>
      </c>
      <c r="AG41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1106.79</v>
      </c>
      <c r="AH41" s="19">
        <f>IFERROR(IF(Influent[[#This Row],[COD (mg L-1)]]-stableSSBR[[#This Row],[COD 
(mg L-1)]]&lt;0,0,Influent[[#This Row],[COD (mg L-1)]]-stableSSBR[[#This Row],[COD 
(mg L-1)]]),0)</f>
        <v>1505</v>
      </c>
      <c r="AI41" s="20">
        <f>Influent[[#This Row],[COD (mg L-1)]]/stableSSBR[HRT 
(h)]*24/1000</f>
        <v>1.8668160000000003</v>
      </c>
      <c r="AJ41" s="20">
        <f>IF(((stableSSBR[[#This Row],[ΔC   (mg L-1)]])/stableSSBR[[#This Row],[HRT 
(h)]]*24/1000) &lt;0,0, (stableSSBR[[#This Row],[ΔC   (mg L-1)]])/stableSSBR[HRT 
(h)]*24/1000)</f>
        <v>0.9755410000000001</v>
      </c>
      <c r="AK41" s="6">
        <f>IF(IFERROR((Influent[[#This Row],[NH4-N (mg L-1)]])*stableSSBR[ARE 
(%)]/stableSSBR[HRT 
(h)]*24/1000,0)&lt;0,0,IFERROR((Influent[[#This Row],[NH4-N (mg L-1)]])*stableSSBR[ARE 
(%)]/stableSSBR[HRT 
(h)]*24/1000,0))</f>
        <v>0.74425675800000013</v>
      </c>
      <c r="AL41" s="20">
        <f>Influent[[#This Row],[TN (mg L-1)]]/stableSSBR[[#This Row],[HRT 
(h)]]*24/1000</f>
        <v>0.90222698720000005</v>
      </c>
      <c r="AM41" s="20">
        <f>stableSSBR[[#This Row],[NLR 
(kg N m-3 d-1)]]*stableSSBR[[#This Row],[NRE 
(%)]]</f>
        <v>0.74295776520000001</v>
      </c>
      <c r="AN41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0.84893900184842885</v>
      </c>
      <c r="AO41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0.82347100645450522</v>
      </c>
      <c r="AP41" s="6">
        <v>4.7E-2</v>
      </c>
      <c r="AQ41" s="276">
        <f>stableSSBR[[#This Row],[SAA 
(g N g VSS-1 d-1)]]/MAX(stableSSBR[SAA 
(g N g VSS-1 d-1)])</f>
        <v>0.69117647058823528</v>
      </c>
      <c r="AR41" s="6">
        <f>stableSSBR[[#This Row],[NH4-N 
(mg L-1)]]-20</f>
        <v>184.31</v>
      </c>
      <c r="AS41" s="6">
        <f>stableSSBR[[#This Row],[Ammonia residual to reach target]]*2.19</f>
        <v>403.63889999999998</v>
      </c>
      <c r="AT41" s="6">
        <f>stableSSBR[[#This Row],[Alkalinity 
(mg CaCO3 L-1) ]]-stableSSBR[[#This Row],[Alkalinity need]]-70</f>
        <v>335.36110000000002</v>
      </c>
    </row>
    <row r="42" spans="1:47" x14ac:dyDescent="0.3">
      <c r="A42" s="3">
        <v>43365</v>
      </c>
      <c r="B42" s="29">
        <v>39</v>
      </c>
      <c r="C42" s="27">
        <v>673.6</v>
      </c>
      <c r="D42" s="28">
        <f t="shared" si="2"/>
        <v>16.166399999999999</v>
      </c>
      <c r="E42" s="163">
        <v>2</v>
      </c>
      <c r="F42" s="163">
        <v>4</v>
      </c>
      <c r="G42" s="41">
        <f>IFERROR(Information!$R$40/(stableSSBR[[#This Row],[Flow 
(L h-1)]]*stableSSBR[[#This Row],[Batch cycles]]*stableSSBR[[#This Row],[Cycle duration 
(h)]]/1000)*24,0)</f>
        <v>35.629453681710217</v>
      </c>
      <c r="H42" s="6">
        <v>0.17746009715475389</v>
      </c>
      <c r="I42" s="6">
        <v>6.8070687022900849</v>
      </c>
      <c r="J42" s="6">
        <v>22.29333333333334</v>
      </c>
      <c r="K42" s="41"/>
      <c r="L42" s="41"/>
      <c r="M42" s="29">
        <v>1425</v>
      </c>
      <c r="N42" s="29">
        <f>stableSSBR[[#This Row],[COD 
(mg L-1)]]*Information!$AK$41</f>
        <v>1154.25</v>
      </c>
      <c r="O42" s="29">
        <v>636</v>
      </c>
      <c r="P42" s="29">
        <v>8</v>
      </c>
      <c r="Q42" s="29">
        <v>64</v>
      </c>
      <c r="S42" s="29">
        <v>0.62</v>
      </c>
      <c r="T42" s="29">
        <v>52.8</v>
      </c>
      <c r="U42" s="6">
        <f>stableSSBR[[#This Row],[NH4-N 
(mg L-1)]]*1.288</f>
        <v>187.63584</v>
      </c>
      <c r="V42" s="6">
        <f>(stableSSBR[[#This Row],[NO3-N 
(mg L-1)]])*4.426</f>
        <v>12.043145999999986</v>
      </c>
      <c r="W42" s="6">
        <f>stableSSBR[[#This Row],[NO2-N 
(mg L-1)]]*3.284</f>
        <v>164.45943599999998</v>
      </c>
      <c r="X42" s="29">
        <v>145.68</v>
      </c>
      <c r="Y42" s="29">
        <v>50.079000000000001</v>
      </c>
      <c r="Z42" s="6">
        <f>IF(stableSSBR[[#This Row],[TON 
(mg L-1)]]-stableSSBR[[#This Row],[NO2-N 
(mg L-1)]]&lt;0,0.19,stableSSBR[[#This Row],[TON 
(mg L-1)]]-stableSSBR[[#This Row],[NO2-N 
(mg L-1)]])</f>
        <v>2.7209999999999965</v>
      </c>
      <c r="AA42" s="4">
        <f>SUM(stableSSBR[[#This Row],[NO3-N 
(mg L-1)]],stableSSBR[[#This Row],[NO2-N 
(mg L-1)]],stableSSBR[[#This Row],[NH4-N 
(mg L-1)]])</f>
        <v>198.48000000000002</v>
      </c>
      <c r="AB42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2.1897281550272785E-3</v>
      </c>
      <c r="AC42" s="48">
        <f>IF(IFERROR(stableSSBR[[#This Row],[NO2-N 
(mg L-1)]]/stableSSBR[[#This Row],[NH4-N 
(mg L-1)]],0)&lt;0,0,IFERROR(stableSSBR[[#This Row],[NO2-N 
(mg L-1)]]/stableSSBR[[#This Row],[NH4-N 
(mg L-1)]],0))</f>
        <v>0.34376029654036244</v>
      </c>
      <c r="AD42" s="48">
        <f>stableSSBR[[#This Row],[NO2-N 
(mg L-1)]]/(stableSSBR[[#This Row],[NO3-N 
(mg L-1)]]+stableSSBR[[#This Row],[NO2-N 
(mg L-1)]])</f>
        <v>0.94846590909090911</v>
      </c>
      <c r="AE42" s="20">
        <f>46/14*stableSSBR[[#This Row],[NO2-N 
(mg L-1)]]/(EXP(-2300/(stableSSBR[[#This Row],[Temp. 
(°C)]]+273))*10^(stableSSBR[[#This Row],[pHreactor]]))</f>
        <v>6.1926704026899697E-2</v>
      </c>
      <c r="AF42" s="20">
        <f>17/14*(stableSSBR[NH4-N 
(mg L-1)]*10^stableSSBR[[#This Row],[pHreactor]])/(EXP((6344/(273+stableSSBR[[#This Row],[Temp. 
(°C)]])))+10^stableSSBR[pHreactor])</f>
        <v>0.52872207017490025</v>
      </c>
      <c r="AG42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1189.82</v>
      </c>
      <c r="AH42" s="19">
        <f>IFERROR(IF(Influent[[#This Row],[COD (mg L-1)]]-stableSSBR[[#This Row],[COD 
(mg L-1)]]&lt;0,0,Influent[[#This Row],[COD (mg L-1)]]-stableSSBR[[#This Row],[COD 
(mg L-1)]]),0)</f>
        <v>1445</v>
      </c>
      <c r="AI42" s="20">
        <f>Influent[[#This Row],[COD (mg L-1)]]/stableSSBR[HRT 
(h)]*24/1000</f>
        <v>1.9332320000000001</v>
      </c>
      <c r="AJ42" s="20">
        <f>IF(((stableSSBR[[#This Row],[ΔC   (mg L-1)]])/stableSSBR[[#This Row],[HRT 
(h)]]*24/1000) &lt;0,0, (stableSSBR[[#This Row],[ΔC   (mg L-1)]])/stableSSBR[HRT 
(h)]*24/1000)</f>
        <v>0.97335199999999988</v>
      </c>
      <c r="AK42" s="6">
        <f>IF(IFERROR((Influent[[#This Row],[NH4-N (mg L-1)]])*stableSSBR[ARE 
(%)]/stableSSBR[HRT 
(h)]*24/1000,0)&lt;0,0,IFERROR((Influent[[#This Row],[NH4-N (mg L-1)]])*stableSSBR[ARE 
(%)]/stableSSBR[HRT 
(h)]*24/1000,0))</f>
        <v>0.83702883199999989</v>
      </c>
      <c r="AL42" s="20">
        <f>Influent[[#This Row],[TN (mg L-1)]]/stableSSBR[[#This Row],[HRT 
(h)]]*24/1000</f>
        <v>0.95590239199999993</v>
      </c>
      <c r="AM42" s="20">
        <f>stableSSBR[[#This Row],[NLR 
(kg N m-3 d-1)]]*stableSSBR[[#This Row],[NRE 
(%)]]</f>
        <v>0.82220626399999996</v>
      </c>
      <c r="AN42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0.89506590794496865</v>
      </c>
      <c r="AO42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0.86013621357273473</v>
      </c>
      <c r="AP42" s="6"/>
      <c r="AQ42" s="276"/>
      <c r="AR42" s="6">
        <f>stableSSBR[[#This Row],[NH4-N 
(mg L-1)]]-20</f>
        <v>125.68</v>
      </c>
      <c r="AS42" s="6">
        <f>stableSSBR[[#This Row],[Ammonia residual to reach target]]*2.19</f>
        <v>275.23919999999998</v>
      </c>
      <c r="AT42" s="6">
        <f>stableSSBR[[#This Row],[Alkalinity 
(mg CaCO3 L-1) ]]-stableSSBR[[#This Row],[Alkalinity need]]-70</f>
        <v>290.76080000000002</v>
      </c>
    </row>
    <row r="43" spans="1:47" x14ac:dyDescent="0.3">
      <c r="A43" s="3">
        <v>43366</v>
      </c>
      <c r="B43" s="29">
        <v>40</v>
      </c>
      <c r="C43" s="27">
        <v>668.1</v>
      </c>
      <c r="D43" s="28">
        <f t="shared" si="2"/>
        <v>16.034400000000002</v>
      </c>
      <c r="E43" s="163">
        <v>2</v>
      </c>
      <c r="F43" s="163">
        <v>4</v>
      </c>
      <c r="G43" s="41">
        <f>IFERROR(Information!$R$40/(stableSSBR[[#This Row],[Flow 
(L h-1)]]*stableSSBR[[#This Row],[Batch cycles]]*stableSSBR[[#This Row],[Cycle duration 
(h)]]/1000)*24,0)</f>
        <v>35.922766052986077</v>
      </c>
      <c r="H43" s="6">
        <v>0.20008344923504959</v>
      </c>
      <c r="I43" s="6">
        <v>6.8356502086230844</v>
      </c>
      <c r="J43" s="6">
        <v>21.368750000000009</v>
      </c>
      <c r="K43" s="41"/>
      <c r="L43" s="41"/>
      <c r="M43" s="29">
        <v>1485</v>
      </c>
      <c r="N43" s="29">
        <f>stableSSBR[[#This Row],[COD 
(mg L-1)]]*Information!$AK$41</f>
        <v>1202.8500000000001</v>
      </c>
      <c r="O43" s="29">
        <v>709</v>
      </c>
      <c r="P43" s="29">
        <v>7.9</v>
      </c>
      <c r="Q43" s="29">
        <v>192</v>
      </c>
      <c r="S43" s="29">
        <v>0.69</v>
      </c>
      <c r="T43" s="29">
        <v>39.6</v>
      </c>
      <c r="U43" s="6">
        <f>stableSSBR[[#This Row],[NH4-N 
(mg L-1)]]*1.288</f>
        <v>228.06616</v>
      </c>
      <c r="V43" s="6">
        <f>(stableSSBR[[#This Row],[NO3-N 
(mg L-1)]])*4.426</f>
        <v>85.125258000000002</v>
      </c>
      <c r="W43" s="6">
        <f>stableSSBR[[#This Row],[NO2-N 
(mg L-1)]]*3.284</f>
        <v>66.885227999999998</v>
      </c>
      <c r="X43" s="29">
        <v>177.07</v>
      </c>
      <c r="Y43" s="29">
        <v>20.367000000000001</v>
      </c>
      <c r="Z43" s="6">
        <f>IF(stableSSBR[[#This Row],[TON 
(mg L-1)]]-stableSSBR[[#This Row],[NO2-N 
(mg L-1)]]&lt;0,0.19,stableSSBR[[#This Row],[TON 
(mg L-1)]]-stableSSBR[[#This Row],[NO2-N 
(mg L-1)]])</f>
        <v>19.233000000000001</v>
      </c>
      <c r="AA43" s="4">
        <f>SUM(stableSSBR[[#This Row],[NO3-N 
(mg L-1)]],stableSSBR[[#This Row],[NO2-N 
(mg L-1)]],stableSSBR[[#This Row],[NH4-N 
(mg L-1)]])</f>
        <v>216.67</v>
      </c>
      <c r="AB43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1.550260754616606E-2</v>
      </c>
      <c r="AC43" s="48">
        <f>IF(IFERROR(stableSSBR[[#This Row],[NO2-N 
(mg L-1)]]/stableSSBR[[#This Row],[NH4-N 
(mg L-1)]],0)&lt;0,0,IFERROR(stableSSBR[[#This Row],[NO2-N 
(mg L-1)]]/stableSSBR[[#This Row],[NH4-N 
(mg L-1)]],0))</f>
        <v>0.11502230756198115</v>
      </c>
      <c r="AD43" s="48">
        <f>stableSSBR[[#This Row],[NO2-N 
(mg L-1)]]/(stableSSBR[[#This Row],[NO3-N 
(mg L-1)]]+stableSSBR[[#This Row],[NO2-N 
(mg L-1)]])</f>
        <v>0.51431818181818179</v>
      </c>
      <c r="AE43" s="20">
        <f>46/14*stableSSBR[[#This Row],[NO2-N 
(mg L-1)]]/(EXP(-2300/(stableSSBR[[#This Row],[Temp. 
(°C)]]+273))*10^(stableSSBR[[#This Row],[pHreactor]]))</f>
        <v>2.416531616000573E-2</v>
      </c>
      <c r="AF43" s="20">
        <f>17/14*(stableSSBR[NH4-N 
(mg L-1)]*10^stableSSBR[[#This Row],[pHreactor]])/(EXP((6344/(273+stableSSBR[[#This Row],[Temp. 
(°C)]])))+10^stableSSBR[pHreactor])</f>
        <v>0.64157986408228118</v>
      </c>
      <c r="AG43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1201.03</v>
      </c>
      <c r="AH43" s="19">
        <f>IFERROR(IF(Influent[[#This Row],[COD (mg L-1)]]-stableSSBR[[#This Row],[COD 
(mg L-1)]]&lt;0,0,Influent[[#This Row],[COD (mg L-1)]]-stableSSBR[[#This Row],[COD 
(mg L-1)]]),0)</f>
        <v>1340</v>
      </c>
      <c r="AI43" s="20">
        <f>Influent[[#This Row],[COD (mg L-1)]]/stableSSBR[HRT 
(h)]*24/1000</f>
        <v>1.8873825000000002</v>
      </c>
      <c r="AJ43" s="20">
        <f>IF(((stableSSBR[[#This Row],[ΔC   (mg L-1)]])/stableSSBR[[#This Row],[HRT 
(h)]]*24/1000) &lt;0,0, (stableSSBR[[#This Row],[ΔC   (mg L-1)]])/stableSSBR[HRT 
(h)]*24/1000)</f>
        <v>0.89525399999999999</v>
      </c>
      <c r="AK43" s="6">
        <f>IF(IFERROR((Influent[[#This Row],[NH4-N (mg L-1)]])*stableSSBR[ARE 
(%)]/stableSSBR[HRT 
(h)]*24/1000,0)&lt;0,0,IFERROR((Influent[[#This Row],[NH4-N (mg L-1)]])*stableSSBR[ARE 
(%)]/stableSSBR[HRT 
(h)]*24/1000,0))</f>
        <v>0.82886490300000015</v>
      </c>
      <c r="AL43" s="20">
        <f>Influent[[#This Row],[TN (mg L-1)]]/stableSSBR[[#This Row],[HRT 
(h)]]*24/1000</f>
        <v>0.94729899000000006</v>
      </c>
      <c r="AM43" s="20">
        <f>stableSSBR[[#This Row],[NLR 
(kg N m-3 d-1)]]*stableSSBR[[#This Row],[NRE 
(%)]]</f>
        <v>0.80254176300000002</v>
      </c>
      <c r="AN43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0.87510051491853003</v>
      </c>
      <c r="AO43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0.84718950560688333</v>
      </c>
      <c r="AP43" s="6"/>
      <c r="AQ43" s="276"/>
      <c r="AR43" s="6">
        <f>stableSSBR[[#This Row],[NH4-N 
(mg L-1)]]-20</f>
        <v>157.07</v>
      </c>
      <c r="AS43" s="6">
        <f>stableSSBR[[#This Row],[Ammonia residual to reach target]]*2.19</f>
        <v>343.98329999999999</v>
      </c>
      <c r="AT43" s="6">
        <f>stableSSBR[[#This Row],[Alkalinity 
(mg CaCO3 L-1) ]]-stableSSBR[[#This Row],[Alkalinity need]]-70</f>
        <v>295.01670000000001</v>
      </c>
    </row>
    <row r="44" spans="1:47" x14ac:dyDescent="0.3">
      <c r="A44" s="3">
        <v>43367</v>
      </c>
      <c r="B44" s="29">
        <v>41</v>
      </c>
      <c r="C44" s="27"/>
      <c r="D44" s="28"/>
      <c r="E44" s="163"/>
      <c r="F44" s="163"/>
      <c r="G44" s="41"/>
      <c r="H44" s="6"/>
      <c r="I44" s="6"/>
      <c r="J44" s="6"/>
      <c r="K44" s="29">
        <v>8420</v>
      </c>
      <c r="L44" s="41">
        <v>3250</v>
      </c>
      <c r="U44" s="6"/>
      <c r="V44" s="6"/>
      <c r="W44" s="6"/>
      <c r="Z44" s="6"/>
      <c r="AA44" s="4"/>
      <c r="AB44" s="21"/>
      <c r="AC44" s="48"/>
      <c r="AD44" s="48"/>
      <c r="AE44" s="20"/>
      <c r="AF44" s="20"/>
      <c r="AG44" s="129"/>
      <c r="AH44" s="19"/>
      <c r="AI44" s="20"/>
      <c r="AJ44" s="20"/>
      <c r="AK44" s="6"/>
      <c r="AL44" s="20"/>
      <c r="AM44" s="20"/>
      <c r="AN44" s="26"/>
      <c r="AO44" s="26"/>
      <c r="AP44" s="6"/>
      <c r="AQ44" s="276"/>
      <c r="AR44" s="6"/>
      <c r="AS44" s="6"/>
      <c r="AT44" s="6"/>
      <c r="AU44" s="29" t="s">
        <v>547</v>
      </c>
    </row>
    <row r="45" spans="1:47" x14ac:dyDescent="0.3">
      <c r="A45" s="3">
        <v>43368</v>
      </c>
      <c r="B45" s="29">
        <v>42</v>
      </c>
      <c r="C45" s="27">
        <v>623.4</v>
      </c>
      <c r="D45" s="28">
        <f t="shared" si="2"/>
        <v>14.961599999999999</v>
      </c>
      <c r="E45" s="163">
        <v>2</v>
      </c>
      <c r="F45" s="163">
        <v>4</v>
      </c>
      <c r="G45" s="41">
        <f>IFERROR(Information!$R$40/(stableSSBR[[#This Row],[Flow 
(L h-1)]]*stableSSBR[[#This Row],[Batch cycles]]*stableSSBR[[#This Row],[Cycle duration 
(h)]]/1000)*24,0)</f>
        <v>38.498556304138603</v>
      </c>
      <c r="H45" s="6">
        <v>0.15274809160305419</v>
      </c>
      <c r="I45" s="6">
        <v>6.7924198473282722</v>
      </c>
      <c r="J45" s="6">
        <v>21.566388888888881</v>
      </c>
      <c r="K45" s="41"/>
      <c r="L45" s="41"/>
      <c r="M45" s="29">
        <v>1500</v>
      </c>
      <c r="N45" s="29">
        <f>stableSSBR[[#This Row],[COD 
(mg L-1)]]*Information!$AK$41</f>
        <v>1215</v>
      </c>
      <c r="O45" s="29">
        <v>584</v>
      </c>
      <c r="P45" s="29">
        <v>7.9</v>
      </c>
      <c r="Q45" s="29">
        <v>210</v>
      </c>
      <c r="S45" s="29">
        <v>0.74</v>
      </c>
      <c r="T45" s="29">
        <v>44.3</v>
      </c>
      <c r="U45" s="6">
        <f>stableSSBR[[#This Row],[NH4-N 
(mg L-1)]]*1.288</f>
        <v>194.84864000000002</v>
      </c>
      <c r="V45" s="6">
        <f>(stableSSBR[[#This Row],[NO3-N 
(mg L-1)]])*4.426</f>
        <v>59.640349999999991</v>
      </c>
      <c r="W45" s="6">
        <f>stableSSBR[[#This Row],[NO2-N 
(mg L-1)]]*3.284</f>
        <v>101.22929999999999</v>
      </c>
      <c r="X45" s="29">
        <v>151.28</v>
      </c>
      <c r="Y45" s="29">
        <v>30.824999999999999</v>
      </c>
      <c r="Z45" s="6">
        <f>IF(stableSSBR[[#This Row],[TON 
(mg L-1)]]-stableSSBR[[#This Row],[NO2-N 
(mg L-1)]]&lt;0,0.19,stableSSBR[[#This Row],[TON 
(mg L-1)]]-stableSSBR[[#This Row],[NO2-N 
(mg L-1)]])</f>
        <v>13.474999999999998</v>
      </c>
      <c r="AA45" s="4">
        <f>SUM(stableSSBR[[#This Row],[NO3-N 
(mg L-1)]],stableSSBR[[#This Row],[NO2-N 
(mg L-1)]],stableSSBR[[#This Row],[NH4-N 
(mg L-1)]])</f>
        <v>195.57999999999998</v>
      </c>
      <c r="AB45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1.2784387393028594E-2</v>
      </c>
      <c r="AC45" s="48">
        <f>IF(IFERROR(stableSSBR[[#This Row],[NO2-N 
(mg L-1)]]/stableSSBR[[#This Row],[NH4-N 
(mg L-1)]],0)&lt;0,0,IFERROR(stableSSBR[[#This Row],[NO2-N 
(mg L-1)]]/stableSSBR[[#This Row],[NH4-N 
(mg L-1)]],0))</f>
        <v>0.20376123744050767</v>
      </c>
      <c r="AD45" s="48">
        <f>stableSSBR[[#This Row],[NO2-N 
(mg L-1)]]/(stableSSBR[[#This Row],[NO3-N 
(mg L-1)]]+stableSSBR[[#This Row],[NO2-N 
(mg L-1)]])</f>
        <v>0.69582392776523705</v>
      </c>
      <c r="AE45" s="20">
        <f>46/14*stableSSBR[[#This Row],[NO2-N 
(mg L-1)]]/(EXP(-2300/(stableSSBR[[#This Row],[Temp. 
(°C)]]+273))*10^(stableSSBR[[#This Row],[pHreactor]]))</f>
        <v>4.0190382961823638E-2</v>
      </c>
      <c r="AF45" s="20">
        <f>17/14*(stableSSBR[NH4-N 
(mg L-1)]*10^stableSSBR[[#This Row],[pHreactor]])/(EXP((6344/(273+stableSSBR[[#This Row],[Temp. 
(°C)]])))+10^stableSSBR[pHreactor])</f>
        <v>0.50354975647470979</v>
      </c>
      <c r="AG45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1009.72</v>
      </c>
      <c r="AH45" s="19">
        <f>IFERROR(IF(Influent[[#This Row],[COD (mg L-1)]]-stableSSBR[[#This Row],[COD 
(mg L-1)]]&lt;0,0,Influent[[#This Row],[COD (mg L-1)]]-stableSSBR[[#This Row],[COD 
(mg L-1)]]),0)</f>
        <v>795</v>
      </c>
      <c r="AI45" s="20">
        <f>Influent[[#This Row],[COD (mg L-1)]]/stableSSBR[HRT 
(h)]*24/1000</f>
        <v>1.4307029999999998</v>
      </c>
      <c r="AJ45" s="20">
        <f>IF(((stableSSBR[[#This Row],[ΔC   (mg L-1)]])/stableSSBR[[#This Row],[HRT 
(h)]]*24/1000) &lt;0,0, (stableSSBR[[#This Row],[ΔC   (mg L-1)]])/stableSSBR[HRT 
(h)]*24/1000)</f>
        <v>0.4956029999999999</v>
      </c>
      <c r="AK45" s="6">
        <f>IF(IFERROR((Influent[[#This Row],[NH4-N (mg L-1)]])*stableSSBR[ARE 
(%)]/stableSSBR[HRT 
(h)]*24/1000,0)&lt;0,0,IFERROR((Influent[[#This Row],[NH4-N (mg L-1)]])*stableSSBR[ARE 
(%)]/stableSSBR[HRT 
(h)]*24/1000,0))</f>
        <v>0.65707606799999985</v>
      </c>
      <c r="AL45" s="20">
        <f>Influent[[#This Row],[TN (mg L-1)]]/stableSSBR[[#This Row],[HRT 
(h)]]*24/1000</f>
        <v>0.75150869999999981</v>
      </c>
      <c r="AM45" s="20">
        <f>stableSSBR[[#This Row],[NLR 
(kg N m-3 d-1)]]*stableSSBR[[#This Row],[NRE 
(%)]]</f>
        <v>0.62958412799999985</v>
      </c>
      <c r="AN45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0.8744876794159131</v>
      </c>
      <c r="AO45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0.8377602654500208</v>
      </c>
      <c r="AP45" s="6"/>
      <c r="AQ45" s="276"/>
      <c r="AR45" s="6">
        <f>stableSSBR[[#This Row],[NH4-N 
(mg L-1)]]-20</f>
        <v>131.28</v>
      </c>
      <c r="AS45" s="6">
        <f>stableSSBR[[#This Row],[Ammonia residual to reach target]]*2.19</f>
        <v>287.50319999999999</v>
      </c>
      <c r="AT45" s="6">
        <f>stableSSBR[[#This Row],[Alkalinity 
(mg CaCO3 L-1) ]]-stableSSBR[[#This Row],[Alkalinity need]]-70</f>
        <v>226.49680000000001</v>
      </c>
    </row>
    <row r="46" spans="1:47" x14ac:dyDescent="0.3">
      <c r="A46" s="3">
        <v>43369</v>
      </c>
      <c r="B46" s="29">
        <v>43</v>
      </c>
      <c r="C46" s="27">
        <v>634.20000000000005</v>
      </c>
      <c r="D46" s="28">
        <f t="shared" si="2"/>
        <v>15.220800000000002</v>
      </c>
      <c r="E46" s="163">
        <v>2</v>
      </c>
      <c r="F46" s="163">
        <v>4</v>
      </c>
      <c r="G46" s="41">
        <f>IFERROR(Information!$R$40/(stableSSBR[[#This Row],[Flow 
(L h-1)]]*stableSSBR[[#This Row],[Batch cycles]]*stableSSBR[[#This Row],[Cycle duration 
(h)]]/1000)*24,0)</f>
        <v>37.842951750236509</v>
      </c>
      <c r="H46" s="6">
        <v>0.1049132546842473</v>
      </c>
      <c r="I46" s="6">
        <v>6.7995079805690377</v>
      </c>
      <c r="J46" s="6">
        <v>22.588541666666689</v>
      </c>
      <c r="K46" s="41"/>
      <c r="L46" s="41"/>
      <c r="M46" s="29">
        <v>1490</v>
      </c>
      <c r="N46" s="29">
        <f>stableSSBR[[#This Row],[COD 
(mg L-1)]]*Information!$AK$41</f>
        <v>1206.9000000000001</v>
      </c>
      <c r="O46" s="29">
        <v>637</v>
      </c>
      <c r="P46" s="29">
        <v>7.9</v>
      </c>
      <c r="Q46" s="29">
        <v>300</v>
      </c>
      <c r="S46" s="29">
        <v>0.97</v>
      </c>
      <c r="T46" s="29">
        <v>39.4</v>
      </c>
      <c r="U46" s="6">
        <f>stableSSBR[[#This Row],[NH4-N 
(mg L-1)]]*1.288</f>
        <v>199.13768000000002</v>
      </c>
      <c r="V46" s="6">
        <f>(stableSSBR[[#This Row],[NO3-N 
(mg L-1)]])*4.426</f>
        <v>67.213236000000009</v>
      </c>
      <c r="W46" s="6">
        <f>stableSSBR[[#This Row],[NO2-N 
(mg L-1)]]*3.284</f>
        <v>79.518775999999988</v>
      </c>
      <c r="X46" s="29">
        <v>154.61000000000001</v>
      </c>
      <c r="Y46" s="29">
        <v>24.213999999999999</v>
      </c>
      <c r="Z46" s="6">
        <f>IF(stableSSBR[[#This Row],[TON 
(mg L-1)]]-stableSSBR[[#This Row],[NO2-N 
(mg L-1)]]&lt;0,0.19,stableSSBR[[#This Row],[TON 
(mg L-1)]]-stableSSBR[[#This Row],[NO2-N 
(mg L-1)]])</f>
        <v>15.186</v>
      </c>
      <c r="AA46" s="4">
        <f>SUM(stableSSBR[[#This Row],[NO3-N 
(mg L-1)]],stableSSBR[[#This Row],[NO2-N 
(mg L-1)]],stableSSBR[[#This Row],[NH4-N 
(mg L-1)]])</f>
        <v>194.01000000000002</v>
      </c>
      <c r="AB46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1.2435411361049467E-2</v>
      </c>
      <c r="AC46" s="48">
        <f>IF(IFERROR(stableSSBR[[#This Row],[NO2-N 
(mg L-1)]]/stableSSBR[[#This Row],[NH4-N 
(mg L-1)]],0)&lt;0,0,IFERROR(stableSSBR[[#This Row],[NO2-N 
(mg L-1)]]/stableSSBR[[#This Row],[NH4-N 
(mg L-1)]],0))</f>
        <v>0.1566134143975163</v>
      </c>
      <c r="AD46" s="48">
        <f>stableSSBR[[#This Row],[NO2-N 
(mg L-1)]]/(stableSSBR[[#This Row],[NO3-N 
(mg L-1)]]+stableSSBR[[#This Row],[NO2-N 
(mg L-1)]])</f>
        <v>0.61456852791878169</v>
      </c>
      <c r="AE46" s="20">
        <f>46/14*stableSSBR[[#This Row],[NO2-N 
(mg L-1)]]/(EXP(-2300/(stableSSBR[[#This Row],[Temp. 
(°C)]]+273))*10^(stableSSBR[[#This Row],[pHreactor]]))</f>
        <v>3.0232305487791319E-2</v>
      </c>
      <c r="AF46" s="20">
        <f>17/14*(stableSSBR[NH4-N 
(mg L-1)]*10^stableSSBR[[#This Row],[pHreactor]])/(EXP((6344/(273+stableSSBR[[#This Row],[Temp. 
(°C)]])))+10^stableSSBR[pHreactor])</f>
        <v>0.56340067388752602</v>
      </c>
      <c r="AG46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1181.79</v>
      </c>
      <c r="AH46" s="19">
        <f>IFERROR(IF(Influent[[#This Row],[COD (mg L-1)]]-stableSSBR[[#This Row],[COD 
(mg L-1)]]&lt;0,0,Influent[[#This Row],[COD (mg L-1)]]-stableSSBR[[#This Row],[COD 
(mg L-1)]]),0)</f>
        <v>1140</v>
      </c>
      <c r="AI46" s="20">
        <f>Influent[[#This Row],[COD (mg L-1)]]/stableSSBR[HRT 
(h)]*24/1000</f>
        <v>1.6679460000000006</v>
      </c>
      <c r="AJ46" s="20">
        <f>IF(((stableSSBR[[#This Row],[ΔC   (mg L-1)]])/stableSSBR[[#This Row],[HRT 
(h)]]*24/1000) &lt;0,0, (stableSSBR[[#This Row],[ΔC   (mg L-1)]])/stableSSBR[HRT 
(h)]*24/1000)</f>
        <v>0.72298800000000019</v>
      </c>
      <c r="AK46" s="6">
        <f>IF(IFERROR((Influent[[#This Row],[NH4-N (mg L-1)]])*stableSSBR[ARE 
(%)]/stableSSBR[HRT 
(h)]*24/1000,0)&lt;0,0,IFERROR((Influent[[#This Row],[NH4-N (mg L-1)]])*stableSSBR[ARE 
(%)]/stableSSBR[HRT 
(h)]*24/1000,0))</f>
        <v>0.77447869800000035</v>
      </c>
      <c r="AL46" s="20">
        <f>Influent[[#This Row],[TN (mg L-1)]]/stableSSBR[[#This Row],[HRT 
(h)]]*24/1000</f>
        <v>0.87280887120000028</v>
      </c>
      <c r="AM46" s="20">
        <f>stableSSBR[[#This Row],[NLR 
(kg N m-3 d-1)]]*stableSSBR[[#This Row],[NRE 
(%)]]</f>
        <v>0.74976772920000023</v>
      </c>
      <c r="AN46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0.88762174734699817</v>
      </c>
      <c r="AO46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0.85902853870993057</v>
      </c>
      <c r="AP46" s="6"/>
      <c r="AQ46" s="276"/>
      <c r="AR46" s="6">
        <f>stableSSBR[[#This Row],[NH4-N 
(mg L-1)]]-20</f>
        <v>134.61000000000001</v>
      </c>
      <c r="AS46" s="6">
        <f>stableSSBR[[#This Row],[Ammonia residual to reach target]]*2.19</f>
        <v>294.79590000000002</v>
      </c>
      <c r="AT46" s="6">
        <f>stableSSBR[[#This Row],[Alkalinity 
(mg CaCO3 L-1) ]]-stableSSBR[[#This Row],[Alkalinity need]]-70</f>
        <v>272.20409999999998</v>
      </c>
    </row>
    <row r="47" spans="1:47" x14ac:dyDescent="0.3">
      <c r="A47" s="3">
        <v>43370</v>
      </c>
      <c r="B47" s="29">
        <v>44</v>
      </c>
      <c r="C47" s="27">
        <v>638.79999999999995</v>
      </c>
      <c r="D47" s="28">
        <f t="shared" si="2"/>
        <v>15.331199999999999</v>
      </c>
      <c r="E47" s="163">
        <v>2</v>
      </c>
      <c r="F47" s="163">
        <v>4</v>
      </c>
      <c r="G47" s="41">
        <f>IFERROR(Information!$R$40/(stableSSBR[[#This Row],[Flow 
(L h-1)]]*stableSSBR[[#This Row],[Batch cycles]]*stableSSBR[[#This Row],[Cycle duration 
(h)]]/1000)*24,0)</f>
        <v>37.570444583594245</v>
      </c>
      <c r="H47" s="6">
        <v>0.22621096460791151</v>
      </c>
      <c r="I47" s="6">
        <v>6.8499264399722168</v>
      </c>
      <c r="J47" s="6">
        <v>23.60291666666668</v>
      </c>
      <c r="K47" s="29">
        <v>8600</v>
      </c>
      <c r="L47" s="41">
        <v>3850</v>
      </c>
      <c r="M47" s="29">
        <v>1485</v>
      </c>
      <c r="N47" s="29">
        <f>stableSSBR[[#This Row],[COD 
(mg L-1)]]*Information!$AK$41</f>
        <v>1202.8500000000001</v>
      </c>
      <c r="O47" s="29">
        <v>596</v>
      </c>
      <c r="P47" s="29">
        <v>7.4</v>
      </c>
      <c r="Q47" s="29">
        <v>520</v>
      </c>
      <c r="S47" s="29">
        <v>1.05</v>
      </c>
      <c r="T47" s="29">
        <v>30.3</v>
      </c>
      <c r="U47" s="6">
        <f>stableSSBR[[#This Row],[NH4-N 
(mg L-1)]]*1.288</f>
        <v>174.82023999999998</v>
      </c>
      <c r="V47" s="6">
        <f>(stableSSBR[[#This Row],[NO3-N 
(mg L-1)]])*4.426</f>
        <v>58.613518000000013</v>
      </c>
      <c r="W47" s="6">
        <f>stableSSBR[[#This Row],[NO2-N 
(mg L-1)]]*3.284</f>
        <v>56.015187999999995</v>
      </c>
      <c r="X47" s="29">
        <v>135.72999999999999</v>
      </c>
      <c r="Y47" s="29">
        <v>17.056999999999999</v>
      </c>
      <c r="Z47" s="6">
        <f>IF(stableSSBR[[#This Row],[TON 
(mg L-1)]]-stableSSBR[[#This Row],[NO2-N 
(mg L-1)]]&lt;0,0.19,stableSSBR[[#This Row],[TON 
(mg L-1)]]-stableSSBR[[#This Row],[NO2-N 
(mg L-1)]])</f>
        <v>13.243000000000002</v>
      </c>
      <c r="AA47" s="4">
        <f>SUM(stableSSBR[[#This Row],[NO3-N 
(mg L-1)]],stableSSBR[[#This Row],[NO2-N 
(mg L-1)]],stableSSBR[[#This Row],[NH4-N 
(mg L-1)]])</f>
        <v>166.03</v>
      </c>
      <c r="AB47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9.9506337959379982E-3</v>
      </c>
      <c r="AC47" s="48">
        <f>IF(IFERROR(stableSSBR[[#This Row],[NO2-N 
(mg L-1)]]/stableSSBR[[#This Row],[NH4-N 
(mg L-1)]],0)&lt;0,0,IFERROR(stableSSBR[[#This Row],[NO2-N 
(mg L-1)]]/stableSSBR[[#This Row],[NH4-N 
(mg L-1)]],0))</f>
        <v>0.12566860679289765</v>
      </c>
      <c r="AD47" s="48">
        <f>stableSSBR[[#This Row],[NO2-N 
(mg L-1)]]/(stableSSBR[[#This Row],[NO3-N 
(mg L-1)]]+stableSSBR[[#This Row],[NO2-N 
(mg L-1)]])</f>
        <v>0.56293729372937285</v>
      </c>
      <c r="AE47" s="20">
        <f>46/14*stableSSBR[[#This Row],[NO2-N 
(mg L-1)]]/(EXP(-2300/(stableSSBR[[#This Row],[Temp. 
(°C)]]+273))*10^(stableSSBR[[#This Row],[pHreactor]]))</f>
        <v>1.846425763135167E-2</v>
      </c>
      <c r="AF47" s="20">
        <f>17/14*(stableSSBR[NH4-N 
(mg L-1)]*10^stableSSBR[[#This Row],[pHreactor]])/(EXP((6344/(273+stableSSBR[[#This Row],[Temp. 
(°C)]])))+10^stableSSBR[pHreactor])</f>
        <v>0.59741987746300307</v>
      </c>
      <c r="AG47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1300.57</v>
      </c>
      <c r="AH47" s="19">
        <f>IFERROR(IF(Influent[[#This Row],[COD (mg L-1)]]-stableSSBR[[#This Row],[COD 
(mg L-1)]]&lt;0,0,Influent[[#This Row],[COD (mg L-1)]]-stableSSBR[[#This Row],[COD 
(mg L-1)]]),0)</f>
        <v>1325</v>
      </c>
      <c r="AI47" s="20">
        <f>Influent[[#This Row],[COD (mg L-1)]]/stableSSBR[HRT 
(h)]*24/1000</f>
        <v>1.7950279999999998</v>
      </c>
      <c r="AJ47" s="20">
        <f>IF(((stableSSBR[[#This Row],[ΔC   (mg L-1)]])/stableSSBR[[#This Row],[HRT 
(h)]]*24/1000) &lt;0,0, (stableSSBR[[#This Row],[ΔC   (mg L-1)]])/stableSSBR[HRT 
(h)]*24/1000)</f>
        <v>0.84640999999999988</v>
      </c>
      <c r="AK47" s="6">
        <f>IF(IFERROR((Influent[[#This Row],[NH4-N (mg L-1)]])*stableSSBR[ARE 
(%)]/stableSSBR[HRT 
(h)]*24/1000,0)&lt;0,0,IFERROR((Influent[[#This Row],[NH4-N (mg L-1)]])*stableSSBR[ARE 
(%)]/stableSSBR[HRT 
(h)]*24/1000,0))</f>
        <v>0.85015975599999982</v>
      </c>
      <c r="AL47" s="20">
        <f>Influent[[#This Row],[TN (mg L-1)]]/stableSSBR[[#This Row],[HRT 
(h)]]*24/1000</f>
        <v>0.93699183999999969</v>
      </c>
      <c r="AM47" s="20">
        <f>stableSSBR[[#This Row],[NLR 
(kg N m-3 d-1)]]*stableSSBR[[#This Row],[NRE 
(%)]]</f>
        <v>0.83093187599999974</v>
      </c>
      <c r="AN47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0.90745261148234013</v>
      </c>
      <c r="AO47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0.88680801745295879</v>
      </c>
      <c r="AP47" s="6"/>
      <c r="AQ47" s="276"/>
      <c r="AR47" s="6">
        <f>stableSSBR[[#This Row],[NH4-N 
(mg L-1)]]-20</f>
        <v>115.72999999999999</v>
      </c>
      <c r="AS47" s="6">
        <f>stableSSBR[[#This Row],[Ammonia residual to reach target]]*2.19</f>
        <v>253.44869999999997</v>
      </c>
      <c r="AT47" s="6">
        <f>stableSSBR[[#This Row],[Alkalinity 
(mg CaCO3 L-1) ]]-stableSSBR[[#This Row],[Alkalinity need]]-70</f>
        <v>272.55130000000003</v>
      </c>
    </row>
    <row r="48" spans="1:47" x14ac:dyDescent="0.3">
      <c r="A48" s="3">
        <v>43371</v>
      </c>
      <c r="B48" s="29">
        <v>45</v>
      </c>
      <c r="C48" s="27">
        <v>625</v>
      </c>
      <c r="D48" s="28">
        <f t="shared" si="2"/>
        <v>15</v>
      </c>
      <c r="E48" s="42">
        <v>1</v>
      </c>
      <c r="F48" s="163">
        <v>4</v>
      </c>
      <c r="G48" s="41">
        <f>IFERROR(Information!$R$40/(stableSSBR[[#This Row],[Flow 
(L h-1)]]*stableSSBR[[#This Row],[Batch cycles]]*stableSSBR[[#This Row],[Cycle duration 
(h)]]/1000)*24,0)</f>
        <v>76.800000000000011</v>
      </c>
      <c r="H48" s="28">
        <v>0.20128383067314409</v>
      </c>
      <c r="I48" s="28">
        <v>6.8308868841082386</v>
      </c>
      <c r="J48" s="41">
        <v>23.053402777777791</v>
      </c>
      <c r="K48" s="41">
        <f>stableSSBR[[#This Row],[MLVSS 
(mg L-1)]]/0.47</f>
        <v>6170.2127659574471</v>
      </c>
      <c r="L48" s="41">
        <f>1450*2</f>
        <v>2900</v>
      </c>
      <c r="M48" s="29">
        <v>1630</v>
      </c>
      <c r="N48" s="29">
        <f>stableSSBR[[#This Row],[COD 
(mg L-1)]]*Information!$AK$41</f>
        <v>1320.3000000000002</v>
      </c>
      <c r="O48" s="29">
        <v>559</v>
      </c>
      <c r="P48" s="29">
        <v>8</v>
      </c>
      <c r="Q48" s="29">
        <v>138</v>
      </c>
      <c r="R48" s="29">
        <v>29</v>
      </c>
      <c r="S48" s="29">
        <v>0.98</v>
      </c>
      <c r="T48" s="29">
        <v>37.6</v>
      </c>
      <c r="U48" s="6">
        <f>stableSSBR[[#This Row],[NH4-N 
(mg L-1)]]*1.288</f>
        <v>188.75640000000001</v>
      </c>
      <c r="V48" s="6">
        <f>(stableSSBR[[#This Row],[NO3-N 
(mg L-1)]])*4.426</f>
        <v>59.286270000000016</v>
      </c>
      <c r="W48" s="6">
        <f>stableSSBR[[#This Row],[NO2-N 
(mg L-1)]]*3.284</f>
        <v>79.489219999999989</v>
      </c>
      <c r="X48" s="29">
        <v>146.55000000000001</v>
      </c>
      <c r="Y48" s="29">
        <v>24.204999999999998</v>
      </c>
      <c r="Z48" s="6">
        <f>IF(stableSSBR[[#This Row],[TON 
(mg L-1)]]-stableSSBR[[#This Row],[NO2-N 
(mg L-1)]]&lt;0,0.19,stableSSBR[[#This Row],[TON 
(mg L-1)]]-stableSSBR[[#This Row],[NO2-N 
(mg L-1)]])</f>
        <v>13.395000000000003</v>
      </c>
      <c r="AA48" s="4">
        <f>SUM(stableSSBR[[#This Row],[NO3-N 
(mg L-1)]],stableSSBR[[#This Row],[NO2-N 
(mg L-1)]],stableSSBR[[#This Row],[NH4-N 
(mg L-1)]])</f>
        <v>184.15</v>
      </c>
      <c r="AB48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1.1931590433349666E-2</v>
      </c>
      <c r="AC48" s="48">
        <f>IF(IFERROR(stableSSBR[[#This Row],[NO2-N 
(mg L-1)]]/stableSSBR[[#This Row],[NH4-N 
(mg L-1)]],0)&lt;0,0,IFERROR(stableSSBR[[#This Row],[NO2-N 
(mg L-1)]]/stableSSBR[[#This Row],[NH4-N 
(mg L-1)]],0))</f>
        <v>0.16516547253497096</v>
      </c>
      <c r="AD48" s="48">
        <f>stableSSBR[[#This Row],[NO2-N 
(mg L-1)]]/(stableSSBR[[#This Row],[NO3-N 
(mg L-1)]]+stableSSBR[[#This Row],[NO2-N 
(mg L-1)]])</f>
        <v>0.64374999999999993</v>
      </c>
      <c r="AE48" s="20">
        <f>46/14*stableSSBR[[#This Row],[NO2-N 
(mg L-1)]]/(EXP(-2300/(stableSSBR[[#This Row],[Temp. 
(°C)]]+273))*10^(stableSSBR[[#This Row],[pHreactor]]))</f>
        <v>2.7773127303523319E-2</v>
      </c>
      <c r="AF48" s="20">
        <f>17/14*(stableSSBR[NH4-N 
(mg L-1)]*10^stableSSBR[[#This Row],[pHreactor]])/(EXP((6344/(273+stableSSBR[[#This Row],[Temp. 
(°C)]])))+10^stableSSBR[pHreactor])</f>
        <v>0.59351889472110264</v>
      </c>
      <c r="AG48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1085.05</v>
      </c>
      <c r="AH48" s="19">
        <f>IFERROR(IF(Influent[[#This Row],[COD (mg L-1)]]-stableSSBR[[#This Row],[COD 
(mg L-1)]]&lt;0,0,Influent[[#This Row],[COD (mg L-1)]]-stableSSBR[[#This Row],[COD 
(mg L-1)]]),0)</f>
        <v>980</v>
      </c>
      <c r="AI48" s="20">
        <f>Influent[[#This Row],[COD (mg L-1)]]/stableSSBR[HRT 
(h)]*24/1000</f>
        <v>0.81562499999999982</v>
      </c>
      <c r="AJ48" s="20">
        <f>IF(((stableSSBR[[#This Row],[ΔC   (mg L-1)]])/stableSSBR[[#This Row],[HRT 
(h)]]*24/1000) &lt;0,0, (stableSSBR[[#This Row],[ΔC   (mg L-1)]])/stableSSBR[HRT 
(h)]*24/1000)</f>
        <v>0.30624999999999997</v>
      </c>
      <c r="AK48" s="6">
        <f>IF(IFERROR((Influent[[#This Row],[NH4-N (mg L-1)]])*stableSSBR[ARE 
(%)]/stableSSBR[HRT 
(h)]*24/1000,0)&lt;0,0,IFERROR((Influent[[#This Row],[NH4-N (mg L-1)]])*stableSSBR[ARE 
(%)]/stableSSBR[HRT 
(h)]*24/1000,0))</f>
        <v>0.35082812499999999</v>
      </c>
      <c r="AL48" s="20">
        <f>Influent[[#This Row],[TN (mg L-1)]]/stableSSBR[[#This Row],[HRT 
(h)]]*24/1000</f>
        <v>0.39668750000000003</v>
      </c>
      <c r="AM48" s="20">
        <f>stableSSBR[[#This Row],[NLR 
(kg N m-3 d-1)]]*stableSSBR[[#This Row],[NRE 
(%)]]</f>
        <v>0.33914062500000003</v>
      </c>
      <c r="AN48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0.88453356445004727</v>
      </c>
      <c r="AO48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0.85493146368363004</v>
      </c>
      <c r="AP48" s="6">
        <v>2.7199999999999998E-2</v>
      </c>
      <c r="AQ48" s="276">
        <f>stableSSBR[[#This Row],[SAA 
(g N g VSS-1 d-1)]]/MAX(stableSSBR[SAA 
(g N g VSS-1 d-1)])</f>
        <v>0.39999999999999997</v>
      </c>
      <c r="AR48" s="6">
        <f>stableSSBR[[#This Row],[NH4-N 
(mg L-1)]]-20</f>
        <v>126.55000000000001</v>
      </c>
      <c r="AS48" s="6">
        <f>stableSSBR[[#This Row],[Ammonia residual to reach target]]*2.19</f>
        <v>277.14449999999999</v>
      </c>
      <c r="AT48" s="6">
        <f>stableSSBR[[#This Row],[Alkalinity 
(mg CaCO3 L-1) ]]-stableSSBR[[#This Row],[Alkalinity need]]-70</f>
        <v>211.85550000000001</v>
      </c>
    </row>
    <row r="49" spans="1:47" x14ac:dyDescent="0.3">
      <c r="A49" s="3">
        <v>43372</v>
      </c>
      <c r="B49" s="29">
        <v>46</v>
      </c>
      <c r="C49" s="27">
        <v>741.4</v>
      </c>
      <c r="D49" s="28">
        <f t="shared" si="2"/>
        <v>17.793599999999998</v>
      </c>
      <c r="E49" s="42">
        <v>1</v>
      </c>
      <c r="F49" s="163">
        <v>4</v>
      </c>
      <c r="G49" s="41">
        <f>IFERROR(Information!$R$40/(stableSSBR[[#This Row],[Flow 
(L h-1)]]*stableSSBR[[#This Row],[Batch cycles]]*stableSSBR[[#This Row],[Cycle duration 
(h)]]/1000)*24,0)</f>
        <v>64.742379282438634</v>
      </c>
      <c r="H49" s="28">
        <v>0.16830673143650279</v>
      </c>
      <c r="I49" s="28">
        <v>6.8106335877862403</v>
      </c>
      <c r="J49" s="41">
        <v>22.570000000000011</v>
      </c>
      <c r="K49" s="41"/>
      <c r="L49" s="41"/>
      <c r="M49" s="29">
        <v>2110</v>
      </c>
      <c r="N49" s="29">
        <f>stableSSBR[[#This Row],[COD 
(mg L-1)]]*Information!$AK$41</f>
        <v>1709.1000000000001</v>
      </c>
      <c r="O49" s="29">
        <v>576</v>
      </c>
      <c r="P49" s="29">
        <v>8</v>
      </c>
      <c r="Q49" s="29">
        <v>122</v>
      </c>
      <c r="R49" s="29">
        <v>45</v>
      </c>
      <c r="S49" s="29">
        <v>16.260000000000002</v>
      </c>
      <c r="T49" s="29">
        <v>46.9</v>
      </c>
      <c r="U49" s="6">
        <f>stableSSBR[[#This Row],[NH4-N 
(mg L-1)]]*1.288</f>
        <v>192.22112000000001</v>
      </c>
      <c r="V49" s="6">
        <f>(stableSSBR[[#This Row],[NO3-N 
(mg L-1)]])*4.426</f>
        <v>0.84094000000000002</v>
      </c>
      <c r="W49" s="6">
        <f>stableSSBR[[#This Row],[NO2-N 
(mg L-1)]]*3.284</f>
        <v>171.50033199999999</v>
      </c>
      <c r="X49" s="29">
        <v>149.24</v>
      </c>
      <c r="Y49" s="29">
        <v>52.222999999999999</v>
      </c>
      <c r="Z49" s="6">
        <f>IF(stableSSBR[[#This Row],[TON 
(mg L-1)]]-stableSSBR[[#This Row],[NO2-N 
(mg L-1)]]&lt;0,0.19,stableSSBR[[#This Row],[TON 
(mg L-1)]]-stableSSBR[[#This Row],[NO2-N 
(mg L-1)]])</f>
        <v>0.19</v>
      </c>
      <c r="AA49" s="4">
        <f>SUM(stableSSBR[[#This Row],[NO3-N 
(mg L-1)]],stableSSBR[[#This Row],[NO2-N 
(mg L-1)]],stableSSBR[[#This Row],[NH4-N 
(mg L-1)]])</f>
        <v>201.65300000000002</v>
      </c>
      <c r="AB49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1.6401084197986983E-4</v>
      </c>
      <c r="AC49" s="48">
        <f>IF(IFERROR(stableSSBR[[#This Row],[NO2-N 
(mg L-1)]]/stableSSBR[[#This Row],[NH4-N 
(mg L-1)]],0)&lt;0,0,IFERROR(stableSSBR[[#This Row],[NO2-N 
(mg L-1)]]/stableSSBR[[#This Row],[NH4-N 
(mg L-1)]],0))</f>
        <v>0.34992629321897611</v>
      </c>
      <c r="AD49" s="48">
        <f>stableSSBR[[#This Row],[NO2-N 
(mg L-1)]]/(stableSSBR[[#This Row],[NO3-N 
(mg L-1)]]+stableSSBR[[#This Row],[NO2-N 
(mg L-1)]])</f>
        <v>0.99637494514719638</v>
      </c>
      <c r="AE49" s="20">
        <f>46/14*stableSSBR[[#This Row],[NO2-N 
(mg L-1)]]/(EXP(-2300/(stableSSBR[[#This Row],[Temp. 
(°C)]]+273))*10^(stableSSBR[[#This Row],[pHreactor]]))</f>
        <v>6.3584744063059986E-2</v>
      </c>
      <c r="AF49" s="20">
        <f>17/14*(stableSSBR[NH4-N 
(mg L-1)]*10^stableSSBR[[#This Row],[pHreactor]])/(EXP((6344/(273+stableSSBR[[#This Row],[Temp. 
(°C)]])))+10^stableSSBR[pHreactor])</f>
        <v>0.55715225234302868</v>
      </c>
      <c r="AG49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1106.047</v>
      </c>
      <c r="AH49" s="19">
        <f>IFERROR(IF(Influent[[#This Row],[COD (mg L-1)]]-stableSSBR[[#This Row],[COD 
(mg L-1)]]&lt;0,0,Influent[[#This Row],[COD (mg L-1)]]-stableSSBR[[#This Row],[COD 
(mg L-1)]]),0)</f>
        <v>800</v>
      </c>
      <c r="AI49" s="20">
        <f>Influent[[#This Row],[COD (mg L-1)]]/stableSSBR[HRT 
(h)]*24/1000</f>
        <v>1.0787369999999998</v>
      </c>
      <c r="AJ49" s="20">
        <f>IF(((stableSSBR[[#This Row],[ΔC   (mg L-1)]])/stableSSBR[[#This Row],[HRT 
(h)]]*24/1000) &lt;0,0, (stableSSBR[[#This Row],[ΔC   (mg L-1)]])/stableSSBR[HRT 
(h)]*24/1000)</f>
        <v>0.29655999999999993</v>
      </c>
      <c r="AK49" s="6">
        <f>IF(IFERROR((Influent[[#This Row],[NH4-N (mg L-1)]])*stableSSBR[ARE 
(%)]/stableSSBR[HRT 
(h)]*24/1000,0)&lt;0,0,IFERROR((Influent[[#This Row],[NH4-N (mg L-1)]])*stableSSBR[ARE 
(%)]/stableSSBR[HRT 
(h)]*24/1000,0))</f>
        <v>0.42944112200000001</v>
      </c>
      <c r="AL49" s="20">
        <f>Influent[[#This Row],[TN (mg L-1)]]/stableSSBR[[#This Row],[HRT 
(h)]]*24/1000</f>
        <v>0.48498680999999993</v>
      </c>
      <c r="AM49" s="20">
        <f>stableSSBR[[#This Row],[NLR 
(kg N m-3 d-1)]]*stableSSBR[[#This Row],[NRE 
(%)]]</f>
        <v>0.41023404289999998</v>
      </c>
      <c r="AN49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0.8858759654354974</v>
      </c>
      <c r="AO49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0.84586639150042042</v>
      </c>
      <c r="AP49" s="6"/>
      <c r="AQ49" s="276"/>
      <c r="AR49" s="6">
        <f>stableSSBR[[#This Row],[NH4-N 
(mg L-1)]]-20</f>
        <v>129.24</v>
      </c>
      <c r="AS49" s="6">
        <f>stableSSBR[[#This Row],[Ammonia residual to reach target]]*2.19</f>
        <v>283.03559999999999</v>
      </c>
      <c r="AT49" s="6">
        <f>stableSSBR[[#This Row],[Alkalinity 
(mg CaCO3 L-1) ]]-stableSSBR[[#This Row],[Alkalinity need]]-70</f>
        <v>222.96440000000001</v>
      </c>
    </row>
    <row r="50" spans="1:47" x14ac:dyDescent="0.3">
      <c r="A50" s="3">
        <v>43373</v>
      </c>
      <c r="B50" s="29">
        <v>47</v>
      </c>
      <c r="C50" s="27">
        <v>725.8</v>
      </c>
      <c r="D50" s="28">
        <f t="shared" si="2"/>
        <v>17.4192</v>
      </c>
      <c r="E50" s="42">
        <v>1</v>
      </c>
      <c r="F50" s="163">
        <v>4</v>
      </c>
      <c r="G50" s="41">
        <f>IFERROR(Information!$R$40/(stableSSBR[[#This Row],[Flow 
(L h-1)]]*stableSSBR[[#This Row],[Batch cycles]]*stableSSBR[[#This Row],[Cycle duration 
(h)]]/1000)*24,0)</f>
        <v>66.133921190410575</v>
      </c>
      <c r="H50" s="28">
        <v>0.162809457579973</v>
      </c>
      <c r="I50" s="28">
        <v>6.8108929068150008</v>
      </c>
      <c r="J50" s="41">
        <v>21.71083333333333</v>
      </c>
      <c r="K50" s="41"/>
      <c r="L50" s="41"/>
      <c r="M50" s="29">
        <v>1530</v>
      </c>
      <c r="N50" s="29">
        <f>stableSSBR[[#This Row],[COD 
(mg L-1)]]*Information!$AK$41</f>
        <v>1239.3000000000002</v>
      </c>
      <c r="O50" s="29">
        <v>551</v>
      </c>
      <c r="P50" s="29">
        <v>8</v>
      </c>
      <c r="Q50" s="29">
        <v>110</v>
      </c>
      <c r="R50" s="29">
        <v>23</v>
      </c>
      <c r="S50" s="29">
        <v>1.08</v>
      </c>
      <c r="T50" s="29">
        <v>49.2</v>
      </c>
      <c r="U50" s="6">
        <f>stableSSBR[[#This Row],[NH4-N 
(mg L-1)]]*1.288</f>
        <v>196.34272000000001</v>
      </c>
      <c r="V50" s="6">
        <f>(stableSSBR[[#This Row],[NO3-N 
(mg L-1)]])*4.426</f>
        <v>78.508388000000011</v>
      </c>
      <c r="W50" s="6">
        <f>stableSSBR[[#This Row],[NO2-N 
(mg L-1)]]*3.284</f>
        <v>103.321208</v>
      </c>
      <c r="X50" s="29">
        <v>152.44</v>
      </c>
      <c r="Y50" s="29">
        <v>31.462</v>
      </c>
      <c r="Z50" s="6">
        <f>IF(stableSSBR[[#This Row],[TON 
(mg L-1)]]-stableSSBR[[#This Row],[NO2-N 
(mg L-1)]]&lt;0,0.19,stableSSBR[[#This Row],[TON 
(mg L-1)]]-stableSSBR[[#This Row],[NO2-N 
(mg L-1)]])</f>
        <v>17.738000000000003</v>
      </c>
      <c r="AA50" s="4">
        <f>SUM(stableSSBR[[#This Row],[NO3-N 
(mg L-1)]],stableSSBR[[#This Row],[NO2-N 
(mg L-1)]],stableSSBR[[#This Row],[NH4-N 
(mg L-1)]])</f>
        <v>201.64</v>
      </c>
      <c r="AB50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1.4445095931463568E-2</v>
      </c>
      <c r="AC50" s="48">
        <f>IF(IFERROR(stableSSBR[[#This Row],[NO2-N 
(mg L-1)]]/stableSSBR[[#This Row],[NH4-N 
(mg L-1)]],0)&lt;0,0,IFERROR(stableSSBR[[#This Row],[NO2-N 
(mg L-1)]]/stableSSBR[[#This Row],[NH4-N 
(mg L-1)]],0))</f>
        <v>0.20638939910784571</v>
      </c>
      <c r="AD50" s="48">
        <f>stableSSBR[[#This Row],[NO2-N 
(mg L-1)]]/(stableSSBR[[#This Row],[NO3-N 
(mg L-1)]]+stableSSBR[[#This Row],[NO2-N 
(mg L-1)]])</f>
        <v>0.63947154471544709</v>
      </c>
      <c r="AE50" s="20">
        <f>46/14*stableSSBR[[#This Row],[NO2-N 
(mg L-1)]]/(EXP(-2300/(stableSSBR[[#This Row],[Temp. 
(°C)]]+273))*10^(stableSSBR[[#This Row],[pHreactor]]))</f>
        <v>3.9162491730404557E-2</v>
      </c>
      <c r="AF50" s="20">
        <f>17/14*(stableSSBR[NH4-N 
(mg L-1)]*10^stableSSBR[[#This Row],[pHreactor]])/(EXP((6344/(273+stableSSBR[[#This Row],[Temp. 
(°C)]])))+10^stableSSBR[pHreactor])</f>
        <v>0.53499808095916301</v>
      </c>
      <c r="AG50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1178.7600000000002</v>
      </c>
      <c r="AH50" s="19">
        <f>IFERROR(IF(Influent[[#This Row],[COD (mg L-1)]]-stableSSBR[[#This Row],[COD 
(mg L-1)]]&lt;0,0,Influent[[#This Row],[COD (mg L-1)]]-stableSSBR[[#This Row],[COD 
(mg L-1)]]),0)</f>
        <v>1440</v>
      </c>
      <c r="AI50" s="20">
        <f>Influent[[#This Row],[COD (mg L-1)]]/stableSSBR[HRT 
(h)]*24/1000</f>
        <v>1.0778130000000001</v>
      </c>
      <c r="AJ50" s="20">
        <f>IF(((stableSSBR[[#This Row],[ΔC   (mg L-1)]])/stableSSBR[[#This Row],[HRT 
(h)]]*24/1000) &lt;0,0, (stableSSBR[[#This Row],[ΔC   (mg L-1)]])/stableSSBR[HRT 
(h)]*24/1000)</f>
        <v>0.52257600000000004</v>
      </c>
      <c r="AK50" s="6">
        <f>IF(IFERROR((Influent[[#This Row],[NH4-N (mg L-1)]])*stableSSBR[ARE 
(%)]/stableSSBR[HRT 
(h)]*24/1000,0)&lt;0,0,IFERROR((Influent[[#This Row],[NH4-N (mg L-1)]])*stableSSBR[ARE 
(%)]/stableSSBR[HRT 
(h)]*24/1000,0))</f>
        <v>0.44562668400000005</v>
      </c>
      <c r="AL50" s="20">
        <f>Influent[[#This Row],[TN (mg L-1)]]/stableSSBR[[#This Row],[HRT 
(h)]]*24/1000</f>
        <v>0.50101974000000016</v>
      </c>
      <c r="AM50" s="20">
        <f>stableSSBR[[#This Row],[NLR 
(kg N m-3 d-1)]]*stableSSBR[[#This Row],[NRE 
(%)]]</f>
        <v>0.42784458400000008</v>
      </c>
      <c r="AN50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0.88956824108953925</v>
      </c>
      <c r="AO50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0.85394755903230468</v>
      </c>
      <c r="AP50" s="6"/>
      <c r="AQ50" s="276"/>
      <c r="AR50" s="6">
        <f>stableSSBR[[#This Row],[NH4-N 
(mg L-1)]]-20</f>
        <v>132.44</v>
      </c>
      <c r="AS50" s="6">
        <f>stableSSBR[[#This Row],[Ammonia residual to reach target]]*2.19</f>
        <v>290.04359999999997</v>
      </c>
      <c r="AT50" s="6">
        <f>stableSSBR[[#This Row],[Alkalinity 
(mg CaCO3 L-1) ]]-stableSSBR[[#This Row],[Alkalinity need]]-70</f>
        <v>190.95640000000003</v>
      </c>
    </row>
    <row r="51" spans="1:47" x14ac:dyDescent="0.3">
      <c r="A51" s="3">
        <v>43374</v>
      </c>
      <c r="B51" s="29">
        <v>48</v>
      </c>
      <c r="C51" s="27">
        <v>726.2</v>
      </c>
      <c r="D51" s="28">
        <f t="shared" si="2"/>
        <v>17.428800000000003</v>
      </c>
      <c r="E51" s="42">
        <v>1</v>
      </c>
      <c r="F51" s="163">
        <v>4</v>
      </c>
      <c r="G51" s="41">
        <f>IFERROR(Information!$R$40/(stableSSBR[[#This Row],[Flow 
(L h-1)]]*stableSSBR[[#This Row],[Batch cycles]]*stableSSBR[[#This Row],[Cycle duration 
(h)]]/1000)*24,0)</f>
        <v>66.097493803359953</v>
      </c>
      <c r="H51" s="28">
        <v>0.17459403192227649</v>
      </c>
      <c r="I51" s="28">
        <v>6.8027196391394744</v>
      </c>
      <c r="J51" s="41">
        <v>21.26076388888891</v>
      </c>
      <c r="K51" s="41"/>
      <c r="L51" s="41"/>
      <c r="M51" s="29">
        <v>1560</v>
      </c>
      <c r="N51" s="29">
        <f>stableSSBR[[#This Row],[COD 
(mg L-1)]]*Information!$AK$41</f>
        <v>1263.6000000000001</v>
      </c>
      <c r="O51" s="29">
        <v>1061</v>
      </c>
      <c r="P51" s="29">
        <v>8</v>
      </c>
      <c r="Q51" s="29">
        <v>102</v>
      </c>
      <c r="R51" s="29">
        <v>35</v>
      </c>
      <c r="S51" s="29">
        <v>1.06</v>
      </c>
      <c r="T51" s="29">
        <v>43.6</v>
      </c>
      <c r="U51" s="6">
        <f>stableSSBR[[#This Row],[NH4-N 
(mg L-1)]]*1.288</f>
        <v>210.08568000000002</v>
      </c>
      <c r="V51" s="6">
        <f>(stableSSBR[[#This Row],[NO3-N 
(mg L-1)]])*4.426</f>
        <v>44.786693999999997</v>
      </c>
      <c r="W51" s="6">
        <f>stableSSBR[[#This Row],[NO2-N 
(mg L-1)]]*3.284</f>
        <v>109.951604</v>
      </c>
      <c r="X51" s="29">
        <v>163.11000000000001</v>
      </c>
      <c r="Y51" s="29">
        <v>33.481000000000002</v>
      </c>
      <c r="Z51" s="6">
        <f>IF(stableSSBR[[#This Row],[TON 
(mg L-1)]]-stableSSBR[[#This Row],[NO2-N 
(mg L-1)]]&lt;0,0.19,stableSSBR[[#This Row],[TON 
(mg L-1)]]-stableSSBR[[#This Row],[NO2-N 
(mg L-1)]])</f>
        <v>10.119</v>
      </c>
      <c r="AA51" s="4">
        <f>SUM(stableSSBR[[#This Row],[NO3-N 
(mg L-1)]],stableSSBR[[#This Row],[NO2-N 
(mg L-1)]],stableSSBR[[#This Row],[NH4-N 
(mg L-1)]])</f>
        <v>206.71</v>
      </c>
      <c r="AB51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8.5155980442484583E-3</v>
      </c>
      <c r="AC51" s="48">
        <f>IF(IFERROR(stableSSBR[[#This Row],[NO2-N 
(mg L-1)]]/stableSSBR[[#This Row],[NH4-N 
(mg L-1)]],0)&lt;0,0,IFERROR(stableSSBR[[#This Row],[NO2-N 
(mg L-1)]]/stableSSBR[[#This Row],[NH4-N 
(mg L-1)]],0))</f>
        <v>0.20526638464839678</v>
      </c>
      <c r="AD51" s="48">
        <f>stableSSBR[[#This Row],[NO2-N 
(mg L-1)]]/(stableSSBR[[#This Row],[NO3-N 
(mg L-1)]]+stableSSBR[[#This Row],[NO2-N 
(mg L-1)]])</f>
        <v>0.76791284403669724</v>
      </c>
      <c r="AE51" s="20">
        <f>46/14*stableSSBR[[#This Row],[NO2-N 
(mg L-1)]]/(EXP(-2300/(stableSSBR[[#This Row],[Temp. 
(°C)]]+273))*10^(stableSSBR[[#This Row],[pHreactor]]))</f>
        <v>4.2977352337825833E-2</v>
      </c>
      <c r="AF51" s="20">
        <f>17/14*(stableSSBR[NH4-N 
(mg L-1)]*10^stableSSBR[[#This Row],[pHreactor]])/(EXP((6344/(273+stableSSBR[[#This Row],[Temp. 
(°C)]])))+10^stableSSBR[pHreactor])</f>
        <v>0.54365719549078639</v>
      </c>
      <c r="AG51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1144.69</v>
      </c>
      <c r="AH51" s="19">
        <f>IFERROR(IF(Influent[[#This Row],[COD (mg L-1)]]-stableSSBR[[#This Row],[COD 
(mg L-1)]]&lt;0,0,Influent[[#This Row],[COD (mg L-1)]]-stableSSBR[[#This Row],[COD 
(mg L-1)]]),0)</f>
        <v>1400</v>
      </c>
      <c r="AI51" s="20">
        <f>Influent[[#This Row],[COD (mg L-1)]]/stableSSBR[HRT 
(h)]*24/1000</f>
        <v>1.0747760000000002</v>
      </c>
      <c r="AJ51" s="20">
        <f>IF(((stableSSBR[[#This Row],[ΔC   (mg L-1)]])/stableSSBR[[#This Row],[HRT 
(h)]]*24/1000) &lt;0,0, (stableSSBR[[#This Row],[ΔC   (mg L-1)]])/stableSSBR[HRT 
(h)]*24/1000)</f>
        <v>0.50834000000000001</v>
      </c>
      <c r="AK51" s="6">
        <f>IF(IFERROR((Influent[[#This Row],[NH4-N (mg L-1)]])*stableSSBR[ARE 
(%)]/stableSSBR[HRT 
(h)]*24/1000,0)&lt;0,0,IFERROR((Influent[[#This Row],[NH4-N (mg L-1)]])*stableSSBR[ARE 
(%)]/stableSSBR[HRT 
(h)]*24/1000,0))</f>
        <v>0.43146809899999999</v>
      </c>
      <c r="AL51" s="20">
        <f>Influent[[#This Row],[TN (mg L-1)]]/stableSSBR[[#This Row],[HRT 
(h)]]*24/1000</f>
        <v>0.49291805369999997</v>
      </c>
      <c r="AM51" s="20">
        <f>stableSSBR[[#This Row],[NLR 
(kg N m-3 d-1)]]*stableSSBR[[#This Row],[NRE 
(%)]]</f>
        <v>0.41786165269999997</v>
      </c>
      <c r="AN51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0.87930294509397655</v>
      </c>
      <c r="AO51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0.84773046871259283</v>
      </c>
      <c r="AP51" s="6"/>
      <c r="AQ51" s="276"/>
      <c r="AR51" s="6">
        <f>stableSSBR[[#This Row],[NH4-N 
(mg L-1)]]-20</f>
        <v>143.11000000000001</v>
      </c>
      <c r="AS51" s="6">
        <f>stableSSBR[[#This Row],[Ammonia residual to reach target]]*2.19</f>
        <v>313.41090000000003</v>
      </c>
      <c r="AT51" s="6">
        <f>stableSSBR[[#This Row],[Alkalinity 
(mg CaCO3 L-1) ]]-stableSSBR[[#This Row],[Alkalinity need]]-70</f>
        <v>677.58909999999992</v>
      </c>
    </row>
    <row r="52" spans="1:47" x14ac:dyDescent="0.3">
      <c r="A52" s="3">
        <v>43375</v>
      </c>
      <c r="B52" s="29">
        <v>49</v>
      </c>
      <c r="C52" s="27">
        <v>690.7</v>
      </c>
      <c r="D52" s="28">
        <f t="shared" si="2"/>
        <v>16.576800000000002</v>
      </c>
      <c r="E52" s="42">
        <v>1</v>
      </c>
      <c r="F52" s="163">
        <v>4</v>
      </c>
      <c r="G52" s="41">
        <f>IFERROR(Information!$R$40/(stableSSBR[[#This Row],[Flow 
(L h-1)]]*stableSSBR[[#This Row],[Batch cycles]]*stableSSBR[[#This Row],[Cycle duration 
(h)]]/1000)*24,0)</f>
        <v>69.49471550600839</v>
      </c>
      <c r="H52" s="28">
        <v>0.11076335877862679</v>
      </c>
      <c r="I52" s="28">
        <v>6.7861672449687864</v>
      </c>
      <c r="J52" s="41">
        <v>21.77097222222222</v>
      </c>
      <c r="K52" s="41">
        <v>8850</v>
      </c>
      <c r="L52" s="41">
        <v>3610</v>
      </c>
      <c r="M52" s="29">
        <v>1740</v>
      </c>
      <c r="N52" s="29">
        <f>stableSSBR[[#This Row],[COD 
(mg L-1)]]*Information!$AK$41</f>
        <v>1409.4</v>
      </c>
      <c r="O52" s="29">
        <v>2434</v>
      </c>
      <c r="P52" s="29">
        <v>7.9</v>
      </c>
      <c r="Q52" s="29">
        <v>292</v>
      </c>
      <c r="R52" s="29">
        <v>93</v>
      </c>
      <c r="S52" s="29">
        <v>1.26</v>
      </c>
      <c r="T52" s="29">
        <v>45.9</v>
      </c>
      <c r="U52" s="6">
        <f>stableSSBR[[#This Row],[NH4-N 
(mg L-1)]]*1.288</f>
        <v>197.88831999999999</v>
      </c>
      <c r="V52" s="6">
        <f>(stableSSBR[[#This Row],[NO3-N 
(mg L-1)]])*4.426</f>
        <v>35.244238000000003</v>
      </c>
      <c r="W52" s="6">
        <f>stableSSBR[[#This Row],[NO2-N 
(mg L-1)]]*3.284</f>
        <v>124.58510799999999</v>
      </c>
      <c r="X52" s="29">
        <v>153.63999999999999</v>
      </c>
      <c r="Y52" s="29">
        <v>37.936999999999998</v>
      </c>
      <c r="Z52" s="6">
        <f>IF(stableSSBR[[#This Row],[TON 
(mg L-1)]]-stableSSBR[[#This Row],[NO2-N 
(mg L-1)]]&lt;0,0.19,stableSSBR[[#This Row],[TON 
(mg L-1)]]-stableSSBR[[#This Row],[NO2-N 
(mg L-1)]])</f>
        <v>7.963000000000001</v>
      </c>
      <c r="AA52" s="4">
        <f>SUM(stableSSBR[[#This Row],[NO3-N 
(mg L-1)]],stableSSBR[[#This Row],[NO2-N 
(mg L-1)]],stableSSBR[[#This Row],[NH4-N 
(mg L-1)]])</f>
        <v>199.54</v>
      </c>
      <c r="AB52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6.6184048671830862E-3</v>
      </c>
      <c r="AC52" s="48">
        <f>IF(IFERROR(stableSSBR[[#This Row],[NO2-N 
(mg L-1)]]/stableSSBR[[#This Row],[NH4-N 
(mg L-1)]],0)&lt;0,0,IFERROR(stableSSBR[[#This Row],[NO2-N 
(mg L-1)]]/stableSSBR[[#This Row],[NH4-N 
(mg L-1)]],0))</f>
        <v>0.24692137464202032</v>
      </c>
      <c r="AD52" s="48">
        <f>stableSSBR[[#This Row],[NO2-N 
(mg L-1)]]/(stableSSBR[[#This Row],[NO3-N 
(mg L-1)]]+stableSSBR[[#This Row],[NO2-N 
(mg L-1)]])</f>
        <v>0.82651416122004351</v>
      </c>
      <c r="AE52" s="20">
        <f>46/14*stableSSBR[[#This Row],[NO2-N 
(mg L-1)]]/(EXP(-2300/(stableSSBR[[#This Row],[Temp. 
(°C)]]+273))*10^(stableSSBR[[#This Row],[pHreactor]]))</f>
        <v>4.990926159563714E-2</v>
      </c>
      <c r="AF52" s="20">
        <f>17/14*(stableSSBR[NH4-N 
(mg L-1)]*10^stableSSBR[[#This Row],[pHreactor]])/(EXP((6344/(273+stableSSBR[[#This Row],[Temp. 
(°C)]])))+10^stableSSBR[pHreactor])</f>
        <v>0.51168594346902274</v>
      </c>
      <c r="AG52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1157.26</v>
      </c>
      <c r="AH52" s="19">
        <f>IFERROR(IF(Influent[[#This Row],[COD (mg L-1)]]-stableSSBR[[#This Row],[COD 
(mg L-1)]]&lt;0,0,Influent[[#This Row],[COD (mg L-1)]]-stableSSBR[[#This Row],[COD 
(mg L-1)]]),0)</f>
        <v>1190</v>
      </c>
      <c r="AI52" s="20">
        <f>Influent[[#This Row],[COD (mg L-1)]]/stableSSBR[HRT 
(h)]*24/1000</f>
        <v>1.0118755000000001</v>
      </c>
      <c r="AJ52" s="20">
        <f>IF(((stableSSBR[[#This Row],[ΔC   (mg L-1)]])/stableSSBR[[#This Row],[HRT 
(h)]]*24/1000) &lt;0,0, (stableSSBR[[#This Row],[ΔC   (mg L-1)]])/stableSSBR[HRT 
(h)]*24/1000)</f>
        <v>0.41096650000000012</v>
      </c>
      <c r="AK52" s="6">
        <f>IF(IFERROR((Influent[[#This Row],[NH4-N (mg L-1)]])*stableSSBR[ARE 
(%)]/stableSSBR[HRT 
(h)]*24/1000,0)&lt;0,0,IFERROR((Influent[[#This Row],[NH4-N (mg L-1)]])*stableSSBR[ARE 
(%)]/stableSSBR[HRT 
(h)]*24/1000,0))</f>
        <v>0.41551130599999997</v>
      </c>
      <c r="AL52" s="20">
        <f>Influent[[#This Row],[TN (mg L-1)]]/stableSSBR[[#This Row],[HRT 
(h)]]*24/1000</f>
        <v>0.46863995000000008</v>
      </c>
      <c r="AM52" s="20">
        <f>stableSSBR[[#This Row],[NLR 
(kg N m-3 d-1)]]*stableSSBR[[#This Row],[NRE 
(%)]]</f>
        <v>0.39972881100000007</v>
      </c>
      <c r="AN52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0.88676297169811313</v>
      </c>
      <c r="AO52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0.85295504789977894</v>
      </c>
      <c r="AP52" s="6"/>
      <c r="AQ52" s="276"/>
      <c r="AR52" s="6">
        <f>stableSSBR[[#This Row],[NH4-N 
(mg L-1)]]-20</f>
        <v>133.63999999999999</v>
      </c>
      <c r="AS52" s="6">
        <f>stableSSBR[[#This Row],[Ammonia residual to reach target]]*2.19</f>
        <v>292.67159999999996</v>
      </c>
      <c r="AT52" s="6">
        <f>stableSSBR[[#This Row],[Alkalinity 
(mg CaCO3 L-1) ]]-stableSSBR[[#This Row],[Alkalinity need]]-70</f>
        <v>2071.3283999999999</v>
      </c>
    </row>
    <row r="53" spans="1:47" x14ac:dyDescent="0.3">
      <c r="A53" s="3">
        <v>43376</v>
      </c>
      <c r="B53" s="29">
        <v>50</v>
      </c>
      <c r="C53" s="27"/>
      <c r="D53" s="28"/>
      <c r="E53" s="42"/>
      <c r="F53" s="163"/>
      <c r="G53" s="41"/>
      <c r="H53" s="28"/>
      <c r="I53" s="28"/>
      <c r="J53" s="41"/>
      <c r="K53" s="41"/>
      <c r="L53" s="41"/>
      <c r="U53" s="6"/>
      <c r="V53" s="6"/>
      <c r="W53" s="6"/>
      <c r="Z53" s="6"/>
      <c r="AA53" s="4"/>
      <c r="AB53" s="21"/>
      <c r="AC53" s="48"/>
      <c r="AD53" s="48"/>
      <c r="AE53" s="20"/>
      <c r="AF53" s="20"/>
      <c r="AG53" s="129"/>
      <c r="AH53" s="19"/>
      <c r="AI53" s="20"/>
      <c r="AJ53" s="20"/>
      <c r="AK53" s="6"/>
      <c r="AL53" s="20"/>
      <c r="AM53" s="20"/>
      <c r="AN53" s="26"/>
      <c r="AO53" s="26"/>
      <c r="AP53" s="6"/>
      <c r="AQ53" s="276"/>
      <c r="AR53" s="6"/>
      <c r="AS53" s="6"/>
      <c r="AT53" s="6"/>
    </row>
    <row r="54" spans="1:47" x14ac:dyDescent="0.3">
      <c r="A54" s="3">
        <v>43377</v>
      </c>
      <c r="B54" s="29">
        <v>51</v>
      </c>
      <c r="C54" s="27">
        <v>645</v>
      </c>
      <c r="D54" s="28">
        <f t="shared" si="2"/>
        <v>15.48</v>
      </c>
      <c r="E54" s="42">
        <v>1</v>
      </c>
      <c r="F54" s="163">
        <v>4</v>
      </c>
      <c r="G54" s="41">
        <f>IFERROR(Information!$R$40/(stableSSBR[[#This Row],[Flow 
(L h-1)]]*stableSSBR[[#This Row],[Batch cycles]]*stableSSBR[[#This Row],[Cycle duration 
(h)]]/1000)*24,0)</f>
        <v>74.418604651162781</v>
      </c>
      <c r="H54" s="28">
        <v>0.14396252602359519</v>
      </c>
      <c r="I54" s="28">
        <v>6.8129618320610748</v>
      </c>
      <c r="J54" s="41">
        <v>23.578958333333318</v>
      </c>
      <c r="K54" s="41">
        <f>stableSSBR[[#This Row],[MLVSS 
(mg L-1)]]/0.49</f>
        <v>3857.1428571428573</v>
      </c>
      <c r="L54" s="41">
        <f>945*2</f>
        <v>1890</v>
      </c>
      <c r="M54" s="29">
        <v>1660</v>
      </c>
      <c r="N54" s="29">
        <f>stableSSBR[[#This Row],[COD 
(mg L-1)]]*Information!$AK$41</f>
        <v>1344.6000000000001</v>
      </c>
      <c r="O54" s="29">
        <v>620</v>
      </c>
      <c r="P54" s="29">
        <v>7.6</v>
      </c>
      <c r="Q54" s="29">
        <v>232</v>
      </c>
      <c r="S54" s="29">
        <v>1.04</v>
      </c>
      <c r="T54" s="29">
        <v>13.8</v>
      </c>
      <c r="U54" s="6">
        <f>stableSSBR[[#This Row],[NH4-N 
(mg L-1)]]*1.288</f>
        <v>114.01376</v>
      </c>
      <c r="V54" s="6">
        <f>(stableSSBR[[#This Row],[NO3-N 
(mg L-1)]])*4.426</f>
        <v>34.540504000000006</v>
      </c>
      <c r="W54" s="6">
        <f>stableSSBR[[#This Row],[NO2-N 
(mg L-1)]]*3.284</f>
        <v>19.690864000000001</v>
      </c>
      <c r="X54" s="29">
        <v>88.52</v>
      </c>
      <c r="Y54" s="29">
        <v>5.9960000000000004</v>
      </c>
      <c r="Z54" s="6">
        <f>IF(stableSSBR[[#This Row],[TON 
(mg L-1)]]-stableSSBR[[#This Row],[NO2-N 
(mg L-1)]]&lt;0,0.19,stableSSBR[[#This Row],[TON 
(mg L-1)]]-stableSSBR[[#This Row],[NO2-N 
(mg L-1)]])</f>
        <v>7.8040000000000003</v>
      </c>
      <c r="AA54" s="4">
        <f>SUM(stableSSBR[[#This Row],[NO3-N 
(mg L-1)]],stableSSBR[[#This Row],[NO2-N 
(mg L-1)]],stableSSBR[[#This Row],[NH4-N 
(mg L-1)]])</f>
        <v>102.32</v>
      </c>
      <c r="AB54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8.1838964743388091E-3</v>
      </c>
      <c r="AC54" s="48">
        <f>IF(IFERROR(stableSSBR[[#This Row],[NO2-N 
(mg L-1)]]/stableSSBR[[#This Row],[NH4-N 
(mg L-1)]],0)&lt;0,0,IFERROR(stableSSBR[[#This Row],[NO2-N 
(mg L-1)]]/stableSSBR[[#This Row],[NH4-N 
(mg L-1)]],0))</f>
        <v>6.7736104835065536E-2</v>
      </c>
      <c r="AD54" s="48">
        <f>stableSSBR[[#This Row],[NO2-N 
(mg L-1)]]/(stableSSBR[[#This Row],[NO3-N 
(mg L-1)]]+stableSSBR[[#This Row],[NO2-N 
(mg L-1)]])</f>
        <v>0.4344927536231884</v>
      </c>
      <c r="AE54" s="20">
        <f>46/14*stableSSBR[[#This Row],[NO2-N 
(mg L-1)]]/(EXP(-2300/(stableSSBR[[#This Row],[Temp. 
(°C)]]+273))*10^(stableSSBR[[#This Row],[pHreactor]]))</f>
        <v>7.071759564713705E-3</v>
      </c>
      <c r="AF54" s="20">
        <f>17/14*(stableSSBR[NH4-N 
(mg L-1)]*10^stableSSBR[[#This Row],[pHreactor]])/(EXP((6344/(273+stableSSBR[[#This Row],[Temp. 
(°C)]])))+10^stableSSBR[pHreactor])</f>
        <v>0.3573231758465949</v>
      </c>
      <c r="AG54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939.78</v>
      </c>
      <c r="AH54" s="19">
        <f>IFERROR(IF(Influent[[#This Row],[COD (mg L-1)]]-stableSSBR[[#This Row],[COD 
(mg L-1)]]&lt;0,0,Influent[[#This Row],[COD (mg L-1)]]-stableSSBR[[#This Row],[COD 
(mg L-1)]]),0)</f>
        <v>590</v>
      </c>
      <c r="AI54" s="20">
        <f>Influent[[#This Row],[COD (mg L-1)]]/stableSSBR[HRT 
(h)]*24/1000</f>
        <v>0.72562500000000008</v>
      </c>
      <c r="AJ54" s="20">
        <f>IF(((stableSSBR[[#This Row],[ΔC   (mg L-1)]])/stableSSBR[[#This Row],[HRT 
(h)]]*24/1000) &lt;0,0, (stableSSBR[[#This Row],[ΔC   (mg L-1)]])/stableSSBR[HRT 
(h)]*24/1000)</f>
        <v>0.19027500000000003</v>
      </c>
      <c r="AK54" s="6">
        <f>IF(IFERROR((Influent[[#This Row],[NH4-N (mg L-1)]])*stableSSBR[ARE 
(%)]/stableSSBR[HRT 
(h)]*24/1000,0)&lt;0,0,IFERROR((Influent[[#This Row],[NH4-N (mg L-1)]])*stableSSBR[ARE 
(%)]/stableSSBR[HRT 
(h)]*24/1000,0))</f>
        <v>0.30752954999999998</v>
      </c>
      <c r="AL54" s="20">
        <f>Influent[[#This Row],[TN (mg L-1)]]/stableSSBR[[#This Row],[HRT 
(h)]]*24/1000</f>
        <v>0.33614175000000002</v>
      </c>
      <c r="AM54" s="20">
        <f>stableSSBR[[#This Row],[NLR 
(kg N m-3 d-1)]]*stableSSBR[[#This Row],[NRE 
(%)]]</f>
        <v>0.30314355000000004</v>
      </c>
      <c r="AN54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0.91505613664715479</v>
      </c>
      <c r="AO54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0.90183248584860409</v>
      </c>
      <c r="AP54" s="6">
        <v>4.5999999999999999E-2</v>
      </c>
      <c r="AQ54" s="276">
        <f>stableSSBR[[#This Row],[SAA 
(g N g VSS-1 d-1)]]/MAX(stableSSBR[SAA 
(g N g VSS-1 d-1)])</f>
        <v>0.67647058823529405</v>
      </c>
      <c r="AR54" s="6">
        <f>stableSSBR[[#This Row],[NH4-N 
(mg L-1)]]-20</f>
        <v>68.52</v>
      </c>
      <c r="AS54" s="6">
        <f>stableSSBR[[#This Row],[Ammonia residual to reach target]]*2.19</f>
        <v>150.05879999999999</v>
      </c>
      <c r="AT54" s="6">
        <f>stableSSBR[[#This Row],[Alkalinity 
(mg CaCO3 L-1) ]]-stableSSBR[[#This Row],[Alkalinity need]]-70</f>
        <v>399.94119999999998</v>
      </c>
    </row>
    <row r="55" spans="1:47" x14ac:dyDescent="0.3">
      <c r="A55" s="3">
        <v>43378</v>
      </c>
      <c r="B55" s="29">
        <v>52</v>
      </c>
      <c r="C55" s="27">
        <v>703</v>
      </c>
      <c r="D55" s="28">
        <f t="shared" si="2"/>
        <v>16.872</v>
      </c>
      <c r="E55" s="42">
        <v>1</v>
      </c>
      <c r="F55" s="163">
        <v>4</v>
      </c>
      <c r="G55" s="41">
        <f>IFERROR(Information!$R$40/(stableSSBR[[#This Row],[Flow 
(L h-1)]]*stableSSBR[[#This Row],[Batch cycles]]*stableSSBR[[#This Row],[Cycle duration 
(h)]]/1000)*24,0)</f>
        <v>68.278805120910391</v>
      </c>
      <c r="H55" s="28">
        <v>0.17793893129771041</v>
      </c>
      <c r="I55" s="28">
        <v>6.8145211658570819</v>
      </c>
      <c r="J55" s="41">
        <v>24.358819444444439</v>
      </c>
      <c r="K55" s="41">
        <v>7320</v>
      </c>
      <c r="L55" s="41">
        <f>stableSSBR[[#This Row],[MLSS 
(mg L-1)]]*0.45</f>
        <v>3294</v>
      </c>
      <c r="M55" s="29">
        <v>1636</v>
      </c>
      <c r="N55" s="29">
        <f>stableSSBR[[#This Row],[COD 
(mg L-1)]]*Information!$AK$41</f>
        <v>1325.16</v>
      </c>
      <c r="O55" s="29">
        <v>637</v>
      </c>
      <c r="P55" s="29">
        <v>7.9</v>
      </c>
      <c r="Q55" s="29">
        <v>320</v>
      </c>
      <c r="S55" s="29">
        <v>2.13</v>
      </c>
      <c r="T55" s="29">
        <v>42.1</v>
      </c>
      <c r="U55" s="6">
        <f>stableSSBR[[#This Row],[NH4-N 
(mg L-1)]]*1.288</f>
        <v>199.1892</v>
      </c>
      <c r="V55" s="6">
        <f>(stableSSBR[[#This Row],[NO3-N 
(mg L-1)]])*4.426</f>
        <v>12.875233999999995</v>
      </c>
      <c r="W55" s="6">
        <f>stableSSBR[[#This Row],[NO2-N 
(mg L-1)]]*3.284</f>
        <v>128.70324400000001</v>
      </c>
      <c r="X55" s="29">
        <v>154.65</v>
      </c>
      <c r="Y55" s="29">
        <v>39.191000000000003</v>
      </c>
      <c r="Z55" s="6">
        <f>IF(stableSSBR[[#This Row],[TON 
(mg L-1)]]-stableSSBR[[#This Row],[NO2-N 
(mg L-1)]]&lt;0,0.19,stableSSBR[[#This Row],[TON 
(mg L-1)]]-stableSSBR[[#This Row],[NO2-N 
(mg L-1)]])</f>
        <v>2.9089999999999989</v>
      </c>
      <c r="AA55" s="4">
        <f>SUM(stableSSBR[[#This Row],[NO3-N 
(mg L-1)]],stableSSBR[[#This Row],[NO2-N 
(mg L-1)]],stableSSBR[[#This Row],[NH4-N 
(mg L-1)]])</f>
        <v>196.75</v>
      </c>
      <c r="AB55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3.368262606379898E-3</v>
      </c>
      <c r="AC55" s="48">
        <f>IF(IFERROR(stableSSBR[[#This Row],[NO2-N 
(mg L-1)]]/stableSSBR[[#This Row],[NH4-N 
(mg L-1)]],0)&lt;0,0,IFERROR(stableSSBR[[#This Row],[NO2-N 
(mg L-1)]]/stableSSBR[[#This Row],[NH4-N 
(mg L-1)]],0))</f>
        <v>0.25341739411574526</v>
      </c>
      <c r="AD55" s="48">
        <f>stableSSBR[[#This Row],[NO2-N 
(mg L-1)]]/(stableSSBR[[#This Row],[NO3-N 
(mg L-1)]]+stableSSBR[[#This Row],[NO2-N 
(mg L-1)]])</f>
        <v>0.93090261282660336</v>
      </c>
      <c r="AE55" s="20">
        <f>46/14*stableSSBR[[#This Row],[NO2-N 
(mg L-1)]]/(EXP(-2300/(stableSSBR[[#This Row],[Temp. 
(°C)]]+273))*10^(stableSSBR[[#This Row],[pHreactor]]))</f>
        <v>4.5129432592196948E-2</v>
      </c>
      <c r="AF55" s="20">
        <f>17/14*(stableSSBR[NH4-N 
(mg L-1)]*10^stableSSBR[[#This Row],[pHreactor]])/(EXP((6344/(273+stableSSBR[[#This Row],[Temp. 
(°C)]])))+10^stableSSBR[pHreactor])</f>
        <v>0.66252758781958954</v>
      </c>
      <c r="AG55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821.55</v>
      </c>
      <c r="AH55" s="19">
        <f>IFERROR(IF(Influent[[#This Row],[COD (mg L-1)]]-stableSSBR[[#This Row],[COD 
(mg L-1)]]&lt;0,0,Influent[[#This Row],[COD (mg L-1)]]-stableSSBR[[#This Row],[COD 
(mg L-1)]]),0)</f>
        <v>179</v>
      </c>
      <c r="AI55" s="20">
        <f>Influent[[#This Row],[COD (mg L-1)]]/stableSSBR[HRT 
(h)]*24/1000</f>
        <v>0.63797249999999983</v>
      </c>
      <c r="AJ55" s="20">
        <f>IF(((stableSSBR[[#This Row],[ΔC   (mg L-1)]])/stableSSBR[[#This Row],[HRT 
(h)]]*24/1000) &lt;0,0, (stableSSBR[[#This Row],[ΔC   (mg L-1)]])/stableSSBR[HRT 
(h)]*24/1000)</f>
        <v>6.2918499999999988E-2</v>
      </c>
      <c r="AK55" s="6">
        <f>IF(IFERROR((Influent[[#This Row],[NH4-N (mg L-1)]])*stableSSBR[ARE 
(%)]/stableSSBR[HRT 
(h)]*24/1000,0)&lt;0,0,IFERROR((Influent[[#This Row],[NH4-N (mg L-1)]])*stableSSBR[ARE 
(%)]/stableSSBR[HRT 
(h)]*24/1000,0))</f>
        <v>0.30357297499999991</v>
      </c>
      <c r="AL55" s="20">
        <f>Influent[[#This Row],[TN (mg L-1)]]/stableSSBR[[#This Row],[HRT 
(h)]]*24/1000</f>
        <v>0.36114867500000003</v>
      </c>
      <c r="AM55" s="20">
        <f>stableSSBR[[#This Row],[NLR 
(kg N m-3 d-1)]]*stableSSBR[[#This Row],[NRE 
(%)]]</f>
        <v>0.29199105000000003</v>
      </c>
      <c r="AN55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0.84812923499950899</v>
      </c>
      <c r="AO55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0.80850649666650443</v>
      </c>
      <c r="AP55" s="6"/>
      <c r="AQ55" s="276"/>
      <c r="AR55" s="6">
        <f>stableSSBR[[#This Row],[NH4-N 
(mg L-1)]]-20</f>
        <v>134.65</v>
      </c>
      <c r="AS55" s="6">
        <f>stableSSBR[[#This Row],[Ammonia residual to reach target]]*2.19</f>
        <v>294.88350000000003</v>
      </c>
      <c r="AT55" s="6">
        <f>stableSSBR[[#This Row],[Alkalinity 
(mg CaCO3 L-1) ]]-stableSSBR[[#This Row],[Alkalinity need]]-70</f>
        <v>272.11649999999997</v>
      </c>
    </row>
    <row r="56" spans="1:47" x14ac:dyDescent="0.3">
      <c r="A56" s="3">
        <v>43379</v>
      </c>
      <c r="B56" s="29">
        <v>53</v>
      </c>
      <c r="C56" s="27">
        <v>715.3</v>
      </c>
      <c r="D56" s="28">
        <f t="shared" si="2"/>
        <v>17.167199999999998</v>
      </c>
      <c r="E56" s="42">
        <v>1</v>
      </c>
      <c r="F56" s="163">
        <v>4</v>
      </c>
      <c r="G56" s="41">
        <f>IFERROR(Information!$R$40/(stableSSBR[[#This Row],[Flow 
(L h-1)]]*stableSSBR[[#This Row],[Batch cycles]]*stableSSBR[[#This Row],[Cycle duration 
(h)]]/1000)*24,0)</f>
        <v>67.104711309939887</v>
      </c>
      <c r="H56" s="28">
        <v>0.17337265787647529</v>
      </c>
      <c r="I56" s="28">
        <v>6.8169604441360523</v>
      </c>
      <c r="J56" s="41">
        <v>22.216250000000009</v>
      </c>
      <c r="K56" s="41"/>
      <c r="L56" s="41"/>
      <c r="M56" s="29">
        <v>1575</v>
      </c>
      <c r="N56" s="29">
        <f>stableSSBR[[#This Row],[COD 
(mg L-1)]]*Information!$AK$41</f>
        <v>1275.75</v>
      </c>
      <c r="O56" s="29">
        <v>481</v>
      </c>
      <c r="P56" s="29">
        <v>7.8</v>
      </c>
      <c r="Q56" s="29">
        <v>300</v>
      </c>
      <c r="S56" s="29">
        <v>2.0499999999999998</v>
      </c>
      <c r="T56" s="29">
        <v>47.7</v>
      </c>
      <c r="U56" s="6">
        <f>stableSSBR[[#This Row],[NH4-N 
(mg L-1)]]*1.288</f>
        <v>194.79712000000001</v>
      </c>
      <c r="V56" s="6">
        <f>(stableSSBR[[#This Row],[NO3-N 
(mg L-1)]])*4.426</f>
        <v>68.518906000000015</v>
      </c>
      <c r="W56" s="6">
        <f>stableSSBR[[#This Row],[NO2-N 
(mg L-1)]]*3.284</f>
        <v>105.807196</v>
      </c>
      <c r="X56" s="29">
        <v>151.24</v>
      </c>
      <c r="Y56" s="29">
        <v>32.219000000000001</v>
      </c>
      <c r="Z56" s="6">
        <f>IF(stableSSBR[[#This Row],[TON 
(mg L-1)]]-stableSSBR[[#This Row],[NO2-N 
(mg L-1)]]&lt;0,0.19,stableSSBR[[#This Row],[TON 
(mg L-1)]]-stableSSBR[[#This Row],[NO2-N 
(mg L-1)]])</f>
        <v>15.481000000000002</v>
      </c>
      <c r="AA56" s="4">
        <f>SUM(stableSSBR[[#This Row],[NO3-N 
(mg L-1)]],stableSSBR[[#This Row],[NO2-N 
(mg L-1)]],stableSSBR[[#This Row],[NH4-N 
(mg L-1)]])</f>
        <v>198.94</v>
      </c>
      <c r="AB56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1.4740159579532688E-2</v>
      </c>
      <c r="AC56" s="48">
        <f>IF(IFERROR(stableSSBR[[#This Row],[NO2-N 
(mg L-1)]]/stableSSBR[[#This Row],[NH4-N 
(mg L-1)]],0)&lt;0,0,IFERROR(stableSSBR[[#This Row],[NO2-N 
(mg L-1)]]/stableSSBR[[#This Row],[NH4-N 
(mg L-1)]],0))</f>
        <v>0.21303226659613858</v>
      </c>
      <c r="AD56" s="48">
        <f>stableSSBR[[#This Row],[NO2-N 
(mg L-1)]]/(stableSSBR[[#This Row],[NO3-N 
(mg L-1)]]+stableSSBR[[#This Row],[NO2-N 
(mg L-1)]])</f>
        <v>0.67545073375262055</v>
      </c>
      <c r="AE56" s="20">
        <f>46/14*stableSSBR[[#This Row],[NO2-N 
(mg L-1)]]/(EXP(-2300/(stableSSBR[[#This Row],[Temp. 
(°C)]]+273))*10^(stableSSBR[[#This Row],[pHreactor]]))</f>
        <v>3.9023468932758258E-2</v>
      </c>
      <c r="AF56" s="20">
        <f>17/14*(stableSSBR[NH4-N 
(mg L-1)]*10^stableSSBR[[#This Row],[pHreactor]])/(EXP((6344/(273+stableSSBR[[#This Row],[Temp. 
(°C)]])))+10^stableSSBR[pHreactor])</f>
        <v>0.55837663264516868</v>
      </c>
      <c r="AG56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1002.56</v>
      </c>
      <c r="AH56" s="19">
        <f>IFERROR(IF(Influent[[#This Row],[COD (mg L-1)]]-stableSSBR[[#This Row],[COD 
(mg L-1)]]&lt;0,0,Influent[[#This Row],[COD (mg L-1)]]-stableSSBR[[#This Row],[COD 
(mg L-1)]]),0)</f>
        <v>650</v>
      </c>
      <c r="AI56" s="20">
        <f>Influent[[#This Row],[COD (mg L-1)]]/stableSSBR[HRT 
(h)]*24/1000</f>
        <v>0.79577124999999993</v>
      </c>
      <c r="AJ56" s="20">
        <f>IF(((stableSSBR[[#This Row],[ΔC   (mg L-1)]])/stableSSBR[[#This Row],[HRT 
(h)]]*24/1000) &lt;0,0, (stableSSBR[[#This Row],[ΔC   (mg L-1)]])/stableSSBR[HRT 
(h)]*24/1000)</f>
        <v>0.23247249999999997</v>
      </c>
      <c r="AK56" s="6">
        <f>IF(IFERROR((Influent[[#This Row],[NH4-N (mg L-1)]])*stableSSBR[ARE 
(%)]/stableSSBR[HRT 
(h)]*24/1000,0)&lt;0,0,IFERROR((Influent[[#This Row],[NH4-N (mg L-1)]])*stableSSBR[ARE 
(%)]/stableSSBR[HRT 
(h)]*24/1000,0))</f>
        <v>0.37562548900000003</v>
      </c>
      <c r="AL56" s="20">
        <f>Influent[[#This Row],[TN (mg L-1)]]/stableSSBR[[#This Row],[HRT 
(h)]]*24/1000</f>
        <v>0.42978800499999997</v>
      </c>
      <c r="AM56" s="20">
        <f>stableSSBR[[#This Row],[NLR 
(kg N m-3 d-1)]]*stableSSBR[[#This Row],[NRE 
(%)]]</f>
        <v>0.35863711399999992</v>
      </c>
      <c r="AN56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0.87412401165210152</v>
      </c>
      <c r="AO56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0.8344511941416326</v>
      </c>
      <c r="AP56" s="6"/>
      <c r="AQ56" s="276"/>
      <c r="AR56" s="6">
        <f>stableSSBR[[#This Row],[NH4-N 
(mg L-1)]]-20</f>
        <v>131.24</v>
      </c>
      <c r="AS56" s="6">
        <f>stableSSBR[[#This Row],[Ammonia residual to reach target]]*2.19</f>
        <v>287.41560000000004</v>
      </c>
      <c r="AT56" s="6">
        <f>stableSSBR[[#This Row],[Alkalinity 
(mg CaCO3 L-1) ]]-stableSSBR[[#This Row],[Alkalinity need]]-70</f>
        <v>123.58439999999996</v>
      </c>
    </row>
    <row r="57" spans="1:47" x14ac:dyDescent="0.3">
      <c r="A57" s="3">
        <v>43380</v>
      </c>
      <c r="B57" s="29">
        <v>54</v>
      </c>
      <c r="C57" s="27">
        <v>747.7</v>
      </c>
      <c r="D57" s="28">
        <f t="shared" si="2"/>
        <v>17.944800000000001</v>
      </c>
      <c r="E57" s="42">
        <v>1</v>
      </c>
      <c r="F57" s="163">
        <v>4</v>
      </c>
      <c r="G57" s="41">
        <f>IFERROR(Information!$R$40/(stableSSBR[[#This Row],[Flow 
(L h-1)]]*stableSSBR[[#This Row],[Batch cycles]]*stableSSBR[[#This Row],[Cycle duration 
(h)]]/1000)*24,0)</f>
        <v>64.196870402567868</v>
      </c>
      <c r="H57" s="28">
        <v>0.14687065368567481</v>
      </c>
      <c r="I57" s="28">
        <v>6.811801112656501</v>
      </c>
      <c r="J57" s="41">
        <v>20.712430555555571</v>
      </c>
      <c r="K57" s="41"/>
      <c r="L57" s="41"/>
      <c r="M57" s="29">
        <v>1550</v>
      </c>
      <c r="N57" s="29">
        <f>stableSSBR[[#This Row],[COD 
(mg L-1)]]*Information!$AK$41</f>
        <v>1255.5</v>
      </c>
      <c r="O57" s="29">
        <v>583</v>
      </c>
      <c r="P57" s="29">
        <v>7.8</v>
      </c>
      <c r="Q57" s="29">
        <v>280</v>
      </c>
      <c r="S57" s="29">
        <v>2.16</v>
      </c>
      <c r="T57" s="29">
        <v>52.6</v>
      </c>
      <c r="U57" s="6">
        <f>stableSSBR[[#This Row],[NH4-N 
(mg L-1)]]*1.288</f>
        <v>197.72087999999999</v>
      </c>
      <c r="V57" s="6">
        <f>(stableSSBR[[#This Row],[NO3-N 
(mg L-1)]])*4.426</f>
        <v>72.913924000000023</v>
      </c>
      <c r="W57" s="6">
        <f>stableSSBR[[#This Row],[NO2-N 
(mg L-1)]]*3.284</f>
        <v>118.63778399999998</v>
      </c>
      <c r="X57" s="29">
        <v>153.51</v>
      </c>
      <c r="Y57" s="29">
        <v>36.125999999999998</v>
      </c>
      <c r="Z57" s="6">
        <f>IF(stableSSBR[[#This Row],[TON 
(mg L-1)]]-stableSSBR[[#This Row],[NO2-N 
(mg L-1)]]&lt;0,0.19,stableSSBR[[#This Row],[TON 
(mg L-1)]]-stableSSBR[[#This Row],[NO2-N 
(mg L-1)]])</f>
        <v>16.474000000000004</v>
      </c>
      <c r="AA57" s="4">
        <f>SUM(stableSSBR[[#This Row],[NO3-N 
(mg L-1)]],stableSSBR[[#This Row],[NO2-N 
(mg L-1)]],stableSSBR[[#This Row],[NH4-N 
(mg L-1)]])</f>
        <v>206.10999999999999</v>
      </c>
      <c r="AB57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1.4660627041265832E-2</v>
      </c>
      <c r="AC57" s="48">
        <f>IF(IFERROR(stableSSBR[[#This Row],[NO2-N 
(mg L-1)]]/stableSSBR[[#This Row],[NH4-N 
(mg L-1)]],0)&lt;0,0,IFERROR(stableSSBR[[#This Row],[NO2-N 
(mg L-1)]]/stableSSBR[[#This Row],[NH4-N 
(mg L-1)]],0))</f>
        <v>0.23533320304866132</v>
      </c>
      <c r="AD57" s="48">
        <f>stableSSBR[[#This Row],[NO2-N 
(mg L-1)]]/(stableSSBR[[#This Row],[NO3-N 
(mg L-1)]]+stableSSBR[[#This Row],[NO2-N 
(mg L-1)]])</f>
        <v>0.68680608365019002</v>
      </c>
      <c r="AE57" s="20">
        <f>46/14*stableSSBR[[#This Row],[NO2-N 
(mg L-1)]]/(EXP(-2300/(stableSSBR[[#This Row],[Temp. 
(°C)]]+273))*10^(stableSSBR[[#This Row],[pHreactor]]))</f>
        <v>4.6080470902651306E-2</v>
      </c>
      <c r="AF57" s="20">
        <f>17/14*(stableSSBR[NH4-N 
(mg L-1)]*10^stableSSBR[[#This Row],[pHreactor]])/(EXP((6344/(273+stableSSBR[[#This Row],[Temp. 
(°C)]])))+10^stableSSBR[pHreactor])</f>
        <v>0.5018867031986588</v>
      </c>
      <c r="AG57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1071.0900000000001</v>
      </c>
      <c r="AH57" s="19">
        <f>IFERROR(IF(Influent[[#This Row],[COD (mg L-1)]]-stableSSBR[[#This Row],[COD 
(mg L-1)]]&lt;0,0,Influent[[#This Row],[COD (mg L-1)]]-stableSSBR[[#This Row],[COD 
(mg L-1)]]),0)</f>
        <v>685</v>
      </c>
      <c r="AI57" s="20">
        <f>Influent[[#This Row],[COD (mg L-1)]]/stableSSBR[HRT 
(h)]*24/1000</f>
        <v>0.83555475000000001</v>
      </c>
      <c r="AJ57" s="20">
        <f>IF(((stableSSBR[[#This Row],[ΔC   (mg L-1)]])/stableSSBR[[#This Row],[HRT 
(h)]]*24/1000) &lt;0,0, (stableSSBR[[#This Row],[ΔC   (mg L-1)]])/stableSSBR[HRT 
(h)]*24/1000)</f>
        <v>0.25608725000000004</v>
      </c>
      <c r="AK57" s="6">
        <f>IF(IFERROR((Influent[[#This Row],[NH4-N (mg L-1)]])*stableSSBR[ARE 
(%)]/stableSSBR[HRT 
(h)]*24/1000,0)&lt;0,0,IFERROR((Influent[[#This Row],[NH4-N (mg L-1)]])*stableSSBR[ARE 
(%)]/stableSSBR[HRT 
(h)]*24/1000,0))</f>
        <v>0.42009150650000004</v>
      </c>
      <c r="AL57" s="20">
        <f>Influent[[#This Row],[TN (mg L-1)]]/stableSSBR[[#This Row],[HRT 
(h)]]*24/1000</f>
        <v>0.47804199500000005</v>
      </c>
      <c r="AM57" s="20">
        <f>stableSSBR[[#This Row],[NLR 
(kg N m-3 d-1)]]*stableSSBR[[#This Row],[NRE 
(%)]]</f>
        <v>0.40098777150000003</v>
      </c>
      <c r="AN57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0.87980739116818041</v>
      </c>
      <c r="AO57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0.83881285680769535</v>
      </c>
      <c r="AP57" s="6"/>
      <c r="AQ57" s="276"/>
      <c r="AR57" s="6">
        <f>stableSSBR[[#This Row],[NH4-N 
(mg L-1)]]-20</f>
        <v>133.51</v>
      </c>
      <c r="AS57" s="6">
        <f>stableSSBR[[#This Row],[Ammonia residual to reach target]]*2.19</f>
        <v>292.38689999999997</v>
      </c>
      <c r="AT57" s="6">
        <f>stableSSBR[[#This Row],[Alkalinity 
(mg CaCO3 L-1) ]]-stableSSBR[[#This Row],[Alkalinity need]]-70</f>
        <v>220.61310000000003</v>
      </c>
    </row>
    <row r="58" spans="1:47" x14ac:dyDescent="0.3">
      <c r="A58" s="3">
        <v>43381</v>
      </c>
      <c r="B58" s="29">
        <v>55</v>
      </c>
      <c r="C58" s="27">
        <v>755.5</v>
      </c>
      <c r="D58" s="28">
        <f t="shared" si="2"/>
        <v>18.131999999999998</v>
      </c>
      <c r="E58" s="42">
        <v>1</v>
      </c>
      <c r="F58" s="163">
        <v>4</v>
      </c>
      <c r="G58" s="41">
        <f>IFERROR(Information!$R$40/(stableSSBR[[#This Row],[Flow 
(L h-1)]]*stableSSBR[[#This Row],[Batch cycles]]*stableSSBR[[#This Row],[Cycle duration 
(h)]]/1000)*24,0)</f>
        <v>63.534083388484447</v>
      </c>
      <c r="H58" s="28">
        <v>0.19396252602359529</v>
      </c>
      <c r="I58" s="28">
        <v>6.8281561415683978</v>
      </c>
      <c r="J58" s="41">
        <v>21.635103448275871</v>
      </c>
      <c r="K58" s="41">
        <v>8020</v>
      </c>
      <c r="L58" s="41">
        <v>4640</v>
      </c>
      <c r="M58" s="29">
        <v>1620</v>
      </c>
      <c r="N58" s="29">
        <f>stableSSBR[[#This Row],[COD 
(mg L-1)]]*Information!$AK$41</f>
        <v>1312.2</v>
      </c>
      <c r="O58" s="29">
        <v>582</v>
      </c>
      <c r="P58" s="29">
        <v>7.9</v>
      </c>
      <c r="Q58" s="29">
        <v>220</v>
      </c>
      <c r="S58" s="29">
        <v>2.2000000000000002</v>
      </c>
      <c r="T58" s="29">
        <v>60.7</v>
      </c>
      <c r="U58" s="6">
        <f>stableSSBR[[#This Row],[NH4-N 
(mg L-1)]]*1.288</f>
        <v>211.43808000000001</v>
      </c>
      <c r="V58" s="6">
        <f>(stableSSBR[[#This Row],[NO3-N 
(mg L-1)]])*4.426</f>
        <v>19.695700000000013</v>
      </c>
      <c r="W58" s="6">
        <f>stableSSBR[[#This Row],[NO2-N 
(mg L-1)]]*3.284</f>
        <v>184.72499999999999</v>
      </c>
      <c r="X58" s="29">
        <v>164.16</v>
      </c>
      <c r="Y58" s="29">
        <v>56.25</v>
      </c>
      <c r="Z58" s="6">
        <f>IF(stableSSBR[[#This Row],[TON 
(mg L-1)]]-stableSSBR[[#This Row],[NO2-N 
(mg L-1)]]&lt;0,0.19,stableSSBR[[#This Row],[TON 
(mg L-1)]]-stableSSBR[[#This Row],[NO2-N 
(mg L-1)]])</f>
        <v>4.4500000000000028</v>
      </c>
      <c r="AA58" s="4">
        <f>SUM(stableSSBR[[#This Row],[NO3-N 
(mg L-1)]],stableSSBR[[#This Row],[NO2-N 
(mg L-1)]],stableSSBR[[#This Row],[NH4-N 
(mg L-1)]])</f>
        <v>224.86</v>
      </c>
      <c r="AB58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4.0222716343981087E-3</v>
      </c>
      <c r="AC58" s="48">
        <f>IF(IFERROR(stableSSBR[[#This Row],[NO2-N 
(mg L-1)]]/stableSSBR[[#This Row],[NH4-N 
(mg L-1)]],0)&lt;0,0,IFERROR(stableSSBR[[#This Row],[NO2-N 
(mg L-1)]]/stableSSBR[[#This Row],[NH4-N 
(mg L-1)]],0))</f>
        <v>0.34265350877192985</v>
      </c>
      <c r="AD58" s="48">
        <f>stableSSBR[[#This Row],[NO2-N 
(mg L-1)]]/(stableSSBR[[#This Row],[NO3-N 
(mg L-1)]]+stableSSBR[[#This Row],[NO2-N 
(mg L-1)]])</f>
        <v>0.92668863261943979</v>
      </c>
      <c r="AE58" s="20">
        <f>46/14*stableSSBR[[#This Row],[NO2-N 
(mg L-1)]]/(EXP(-2300/(stableSSBR[[#This Row],[Temp. 
(°C)]]+273))*10^(stableSSBR[[#This Row],[pHreactor]]))</f>
        <v>6.7423989043898458E-2</v>
      </c>
      <c r="AF58" s="20">
        <f>17/14*(stableSSBR[NH4-N 
(mg L-1)]*10^stableSSBR[[#This Row],[pHreactor]])/(EXP((6344/(273+stableSSBR[[#This Row],[Temp. 
(°C)]])))+10^stableSSBR[pHreactor])</f>
        <v>0.59612492353204416</v>
      </c>
      <c r="AG58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1045.6399999999999</v>
      </c>
      <c r="AH58" s="19">
        <f>IFERROR(IF(Influent[[#This Row],[COD (mg L-1)]]-stableSSBR[[#This Row],[COD 
(mg L-1)]]&lt;0,0,Influent[[#This Row],[COD (mg L-1)]]-stableSSBR[[#This Row],[COD 
(mg L-1)]]),0)</f>
        <v>795</v>
      </c>
      <c r="AI58" s="20">
        <f>Influent[[#This Row],[COD (mg L-1)]]/stableSSBR[HRT 
(h)]*24/1000</f>
        <v>0.91226625000000006</v>
      </c>
      <c r="AJ58" s="20">
        <f>IF(((stableSSBR[[#This Row],[ΔC   (mg L-1)]])/stableSSBR[[#This Row],[HRT 
(h)]]*24/1000) &lt;0,0, (stableSSBR[[#This Row],[ΔC   (mg L-1)]])/stableSSBR[HRT 
(h)]*24/1000)</f>
        <v>0.30031125000000003</v>
      </c>
      <c r="AK58" s="6">
        <f>IF(IFERROR((Influent[[#This Row],[NH4-N (mg L-1)]])*stableSSBR[ARE 
(%)]/stableSSBR[HRT 
(h)]*24/1000,0)&lt;0,0,IFERROR((Influent[[#This Row],[NH4-N (mg L-1)]])*stableSSBR[ARE 
(%)]/stableSSBR[HRT 
(h)]*24/1000,0))</f>
        <v>0.41791993500000002</v>
      </c>
      <c r="AL58" s="20">
        <f>Influent[[#This Row],[TN (mg L-1)]]/stableSSBR[[#This Row],[HRT 
(h)]]*24/1000</f>
        <v>0.48642678624999997</v>
      </c>
      <c r="AM58" s="20">
        <f>stableSSBR[[#This Row],[NLR 
(kg N m-3 d-1)]]*stableSSBR[[#This Row],[NRE 
(%)]]</f>
        <v>0.40148592124999999</v>
      </c>
      <c r="AN58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0.8707910271546635</v>
      </c>
      <c r="AO58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0.8253779039291137</v>
      </c>
      <c r="AP58" s="6"/>
      <c r="AQ58" s="276"/>
      <c r="AR58" s="6">
        <f>stableSSBR[[#This Row],[NH4-N 
(mg L-1)]]-20</f>
        <v>144.16</v>
      </c>
      <c r="AS58" s="6">
        <f>stableSSBR[[#This Row],[Ammonia residual to reach target]]*2.19</f>
        <v>315.71039999999999</v>
      </c>
      <c r="AT58" s="6">
        <f>stableSSBR[[#This Row],[Alkalinity 
(mg CaCO3 L-1) ]]-stableSSBR[[#This Row],[Alkalinity need]]-70</f>
        <v>196.28960000000001</v>
      </c>
      <c r="AU58" s="29" t="s">
        <v>554</v>
      </c>
    </row>
    <row r="59" spans="1:47" x14ac:dyDescent="0.3">
      <c r="A59" s="3">
        <v>43382</v>
      </c>
      <c r="B59" s="29">
        <v>56</v>
      </c>
      <c r="C59" s="27">
        <v>731.6</v>
      </c>
      <c r="D59" s="28">
        <f t="shared" si="2"/>
        <v>17.558399999999999</v>
      </c>
      <c r="E59" s="42">
        <v>1</v>
      </c>
      <c r="F59" s="163">
        <v>4</v>
      </c>
      <c r="G59" s="41">
        <f>IFERROR(Information!$R$40/(stableSSBR[[#This Row],[Flow 
(L h-1)]]*stableSSBR[[#This Row],[Batch cycles]]*stableSSBR[[#This Row],[Cycle duration 
(h)]]/1000)*24,0)</f>
        <v>65.609622744669224</v>
      </c>
      <c r="H59" s="28">
        <v>0.16741845940319261</v>
      </c>
      <c r="I59" s="28">
        <v>6.8095801526717858</v>
      </c>
      <c r="J59" s="41">
        <v>22.737999999999989</v>
      </c>
      <c r="K59" s="41"/>
      <c r="L59" s="41"/>
      <c r="M59" s="29">
        <v>1520</v>
      </c>
      <c r="N59" s="29">
        <f>stableSSBR[[#This Row],[COD 
(mg L-1)]]*Information!$AK$41</f>
        <v>1231.2</v>
      </c>
      <c r="O59" s="29">
        <v>585</v>
      </c>
      <c r="P59" s="29">
        <v>7.9</v>
      </c>
      <c r="Q59" s="29">
        <v>52</v>
      </c>
      <c r="S59" s="29">
        <v>2.4500000000000002</v>
      </c>
      <c r="T59" s="29">
        <v>78.3</v>
      </c>
      <c r="U59" s="6">
        <f>stableSSBR[[#This Row],[NH4-N 
(mg L-1)]]*1.288</f>
        <v>216.64159999999998</v>
      </c>
      <c r="V59" s="6">
        <f>(stableSSBR[[#This Row],[NO3-N 
(mg L-1)]])*4.426</f>
        <v>102.89564799999999</v>
      </c>
      <c r="W59" s="6">
        <f>stableSSBR[[#This Row],[NO2-N 
(mg L-1)]]*3.284</f>
        <v>180.79076799999999</v>
      </c>
      <c r="X59" s="29">
        <v>168.2</v>
      </c>
      <c r="Y59" s="29">
        <v>55.052</v>
      </c>
      <c r="Z59" s="6">
        <f>IF(stableSSBR[[#This Row],[TON 
(mg L-1)]]-stableSSBR[[#This Row],[NO2-N 
(mg L-1)]]&lt;0,0.19,stableSSBR[[#This Row],[TON 
(mg L-1)]]-stableSSBR[[#This Row],[NO2-N 
(mg L-1)]])</f>
        <v>23.247999999999998</v>
      </c>
      <c r="AA59" s="4">
        <f>SUM(stableSSBR[[#This Row],[NO3-N 
(mg L-1)]],stableSSBR[[#This Row],[NO2-N 
(mg L-1)]],stableSSBR[[#This Row],[NH4-N 
(mg L-1)]])</f>
        <v>246.5</v>
      </c>
      <c r="AB59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2.0256164502918877E-2</v>
      </c>
      <c r="AC59" s="48">
        <f>IF(IFERROR(stableSSBR[[#This Row],[NO2-N 
(mg L-1)]]/stableSSBR[[#This Row],[NH4-N 
(mg L-1)]],0)&lt;0,0,IFERROR(stableSSBR[[#This Row],[NO2-N 
(mg L-1)]]/stableSSBR[[#This Row],[NH4-N 
(mg L-1)]],0))</f>
        <v>0.3273008323424495</v>
      </c>
      <c r="AD59" s="48">
        <f>stableSSBR[[#This Row],[NO2-N 
(mg L-1)]]/(stableSSBR[[#This Row],[NO3-N 
(mg L-1)]]+stableSSBR[[#This Row],[NO2-N 
(mg L-1)]])</f>
        <v>0.70309067688378035</v>
      </c>
      <c r="AE59" s="20">
        <f>46/14*stableSSBR[[#This Row],[NO2-N 
(mg L-1)]]/(EXP(-2300/(stableSSBR[[#This Row],[Temp. 
(°C)]]+273))*10^(stableSSBR[[#This Row],[pHreactor]]))</f>
        <v>6.6895646648684276E-2</v>
      </c>
      <c r="AF59" s="20">
        <f>17/14*(stableSSBR[NH4-N 
(mg L-1)]*10^stableSSBR[[#This Row],[pHreactor]])/(EXP((6344/(273+stableSSBR[[#This Row],[Temp. 
(°C)]])))+10^stableSSBR[pHreactor])</f>
        <v>0.63407902293776985</v>
      </c>
      <c r="AG59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1069.4000000000001</v>
      </c>
      <c r="AH59" s="19">
        <f>IFERROR(IF(Influent[[#This Row],[COD (mg L-1)]]-stableSSBR[[#This Row],[COD 
(mg L-1)]]&lt;0,0,Influent[[#This Row],[COD (mg L-1)]]-stableSSBR[[#This Row],[COD 
(mg L-1)]]),0)</f>
        <v>905</v>
      </c>
      <c r="AI59" s="20">
        <f>Influent[[#This Row],[COD (mg L-1)]]/stableSSBR[HRT 
(h)]*24/1000</f>
        <v>0.8870650000000001</v>
      </c>
      <c r="AJ59" s="20">
        <f>IF(((stableSSBR[[#This Row],[ΔC   (mg L-1)]])/stableSSBR[[#This Row],[HRT 
(h)]]*24/1000) &lt;0,0, (stableSSBR[[#This Row],[ΔC   (mg L-1)]])/stableSSBR[HRT 
(h)]*24/1000)</f>
        <v>0.33104899999999998</v>
      </c>
      <c r="AK59" s="6">
        <f>IF(IFERROR((Influent[[#This Row],[NH4-N (mg L-1)]])*stableSSBR[ARE 
(%)]/stableSSBR[HRT 
(h)]*24/1000,0)&lt;0,0,IFERROR((Influent[[#This Row],[NH4-N (mg L-1)]])*stableSSBR[ARE 
(%)]/stableSSBR[HRT 
(h)]*24/1000,0))</f>
        <v>0.41982865999999996</v>
      </c>
      <c r="AL59" s="20">
        <f>Influent[[#This Row],[TN (mg L-1)]]/stableSSBR[[#This Row],[HRT 
(h)]]*24/1000</f>
        <v>0.48142938000000002</v>
      </c>
      <c r="AM59" s="20">
        <f>stableSSBR[[#This Row],[NLR 
(kg N m-3 d-1)]]*stableSSBR[[#This Row],[NRE 
(%)]]</f>
        <v>0.39125968</v>
      </c>
      <c r="AN59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0.87217873698609316</v>
      </c>
      <c r="AO59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0.81270420180837322</v>
      </c>
      <c r="AP59" s="6"/>
      <c r="AQ59" s="276"/>
      <c r="AR59" s="6">
        <f>stableSSBR[[#This Row],[NH4-N 
(mg L-1)]]-20</f>
        <v>148.19999999999999</v>
      </c>
      <c r="AS59" s="6">
        <f>stableSSBR[[#This Row],[Ammonia residual to reach target]]*2.19</f>
        <v>324.55799999999999</v>
      </c>
      <c r="AT59" s="6">
        <f>stableSSBR[[#This Row],[Alkalinity 
(mg CaCO3 L-1) ]]-stableSSBR[[#This Row],[Alkalinity need]]-70</f>
        <v>190.44200000000001</v>
      </c>
    </row>
    <row r="60" spans="1:47" x14ac:dyDescent="0.3">
      <c r="A60" s="3">
        <v>43383</v>
      </c>
      <c r="B60" s="29">
        <v>57</v>
      </c>
      <c r="C60" s="27">
        <v>736.5</v>
      </c>
      <c r="D60" s="28">
        <f t="shared" si="2"/>
        <v>17.676000000000002</v>
      </c>
      <c r="E60" s="42">
        <v>1</v>
      </c>
      <c r="F60" s="163">
        <v>4</v>
      </c>
      <c r="G60" s="41">
        <f>IFERROR(Information!$R$40/(stableSSBR[[#This Row],[Flow 
(L h-1)]]*stableSSBR[[#This Row],[Batch cycles]]*stableSSBR[[#This Row],[Cycle duration 
(h)]]/1000)*24,0)</f>
        <v>65.173116089613032</v>
      </c>
      <c r="H60" s="28">
        <v>0.14072172102706509</v>
      </c>
      <c r="I60" s="28">
        <v>6.7956766134628843</v>
      </c>
      <c r="J60" s="41">
        <v>23.836275862068959</v>
      </c>
      <c r="K60" s="41"/>
      <c r="L60" s="41"/>
      <c r="M60" s="29">
        <v>1720</v>
      </c>
      <c r="N60" s="29">
        <f>stableSSBR[[#This Row],[COD 
(mg L-1)]]*Information!$AK$41</f>
        <v>1393.2</v>
      </c>
      <c r="O60" s="29">
        <v>615</v>
      </c>
      <c r="P60" s="29">
        <v>7.8</v>
      </c>
      <c r="Q60" s="29">
        <v>62</v>
      </c>
      <c r="S60" s="29">
        <v>2.69</v>
      </c>
      <c r="T60" s="29">
        <v>75.3</v>
      </c>
      <c r="U60" s="6">
        <f>stableSSBR[[#This Row],[NH4-N 
(mg L-1)]]*1.288</f>
        <v>201.73944</v>
      </c>
      <c r="V60" s="6">
        <f>(stableSSBR[[#This Row],[NO3-N 
(mg L-1)]])*4.426</f>
        <v>116.59411799999999</v>
      </c>
      <c r="W60" s="6">
        <f>stableSSBR[[#This Row],[NO2-N 
(mg L-1)]]*3.284</f>
        <v>160.774788</v>
      </c>
      <c r="X60" s="29">
        <v>156.63</v>
      </c>
      <c r="Y60" s="29">
        <v>48.957000000000001</v>
      </c>
      <c r="Z60" s="6">
        <f>IF(stableSSBR[[#This Row],[TON 
(mg L-1)]]-stableSSBR[[#This Row],[NO2-N 
(mg L-1)]]&lt;0,0.19,stableSSBR[[#This Row],[TON 
(mg L-1)]]-stableSSBR[[#This Row],[NO2-N 
(mg L-1)]])</f>
        <v>26.342999999999996</v>
      </c>
      <c r="AA60" s="4">
        <f>SUM(stableSSBR[[#This Row],[NO3-N 
(mg L-1)]],stableSSBR[[#This Row],[NO2-N 
(mg L-1)]],stableSSBR[[#This Row],[NH4-N 
(mg L-1)]])</f>
        <v>231.93</v>
      </c>
      <c r="AB60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2.2784711590856013E-2</v>
      </c>
      <c r="AC60" s="48">
        <f>IF(IFERROR(stableSSBR[[#This Row],[NO2-N 
(mg L-1)]]/stableSSBR[[#This Row],[NH4-N 
(mg L-1)]],0)&lt;0,0,IFERROR(stableSSBR[[#This Row],[NO2-N 
(mg L-1)]]/stableSSBR[[#This Row],[NH4-N 
(mg L-1)]],0))</f>
        <v>0.3125646427887378</v>
      </c>
      <c r="AD60" s="48">
        <f>stableSSBR[[#This Row],[NO2-N 
(mg L-1)]]/(stableSSBR[[#This Row],[NO3-N 
(mg L-1)]]+stableSSBR[[#This Row],[NO2-N 
(mg L-1)]])</f>
        <v>0.65015936254980078</v>
      </c>
      <c r="AE60" s="20">
        <f>46/14*stableSSBR[[#This Row],[NO2-N 
(mg L-1)]]/(EXP(-2300/(stableSSBR[[#This Row],[Temp. 
(°C)]]+273))*10^(stableSSBR[[#This Row],[pHreactor]]))</f>
        <v>5.9682399079552938E-2</v>
      </c>
      <c r="AF60" s="20">
        <f>17/14*(stableSSBR[NH4-N 
(mg L-1)]*10^stableSSBR[[#This Row],[pHreactor]])/(EXP((6344/(273+stableSSBR[[#This Row],[Temp. 
(°C)]])))+10^stableSSBR[pHreactor])</f>
        <v>0.61900322437723199</v>
      </c>
      <c r="AG60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1080.8699999999999</v>
      </c>
      <c r="AH60" s="19">
        <f>IFERROR(IF(Influent[[#This Row],[COD (mg L-1)]]-stableSSBR[[#This Row],[COD 
(mg L-1)]]&lt;0,0,Influent[[#This Row],[COD (mg L-1)]]-stableSSBR[[#This Row],[COD 
(mg L-1)]]),0)</f>
        <v>725</v>
      </c>
      <c r="AI60" s="20">
        <f>Influent[[#This Row],[COD (mg L-1)]]/stableSSBR[HRT 
(h)]*24/1000</f>
        <v>0.90037125000000018</v>
      </c>
      <c r="AJ60" s="20">
        <f>IF(((stableSSBR[[#This Row],[ΔC   (mg L-1)]])/stableSSBR[[#This Row],[HRT 
(h)]]*24/1000) &lt;0,0, (stableSSBR[[#This Row],[ΔC   (mg L-1)]])/stableSSBR[HRT 
(h)]*24/1000)</f>
        <v>0.26698125000000006</v>
      </c>
      <c r="AK60" s="6">
        <f>IF(IFERROR((Influent[[#This Row],[NH4-N (mg L-1)]])*stableSSBR[ARE 
(%)]/stableSSBR[HRT 
(h)]*24/1000,0)&lt;0,0,IFERROR((Influent[[#This Row],[NH4-N (mg L-1)]])*stableSSBR[ARE 
(%)]/stableSSBR[HRT 
(h)]*24/1000,0))</f>
        <v>0.4257596025</v>
      </c>
      <c r="AL60" s="20">
        <f>Influent[[#This Row],[TN (mg L-1)]]/stableSSBR[[#This Row],[HRT 
(h)]]*24/1000</f>
        <v>0.48351224999999998</v>
      </c>
      <c r="AM60" s="20">
        <f>stableSSBR[[#This Row],[NLR 
(kg N m-3 d-1)]]*stableSSBR[[#This Row],[NRE 
(%)]]</f>
        <v>0.39810402749999996</v>
      </c>
      <c r="AN60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0.88069012797074964</v>
      </c>
      <c r="AO60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0.8233587204874333</v>
      </c>
      <c r="AP60" s="6"/>
      <c r="AQ60" s="276"/>
      <c r="AR60" s="6">
        <f>stableSSBR[[#This Row],[NH4-N 
(mg L-1)]]-20</f>
        <v>136.63</v>
      </c>
      <c r="AS60" s="6">
        <f>stableSSBR[[#This Row],[Ammonia residual to reach target]]*2.19</f>
        <v>299.21969999999999</v>
      </c>
      <c r="AT60" s="6">
        <f>stableSSBR[[#This Row],[Alkalinity 
(mg CaCO3 L-1) ]]-stableSSBR[[#This Row],[Alkalinity need]]-70</f>
        <v>245.78030000000001</v>
      </c>
    </row>
    <row r="61" spans="1:47" x14ac:dyDescent="0.3">
      <c r="A61" s="3">
        <v>43384</v>
      </c>
      <c r="B61" s="29">
        <v>58</v>
      </c>
      <c r="C61" s="27">
        <v>727.2</v>
      </c>
      <c r="D61" s="28">
        <f t="shared" si="2"/>
        <v>17.452800000000003</v>
      </c>
      <c r="E61" s="42">
        <v>1</v>
      </c>
      <c r="F61" s="163">
        <v>4</v>
      </c>
      <c r="G61" s="41">
        <f>IFERROR(Information!$R$40/(stableSSBR[[#This Row],[Flow 
(L h-1)]]*stableSSBR[[#This Row],[Batch cycles]]*stableSSBR[[#This Row],[Cycle duration 
(h)]]/1000)*24,0)</f>
        <v>66.006600660065999</v>
      </c>
      <c r="H61" s="28">
        <v>0.14113115891741859</v>
      </c>
      <c r="I61" s="28">
        <v>6.8139875086745416</v>
      </c>
      <c r="J61" s="41">
        <v>24.347586206896551</v>
      </c>
      <c r="K61" s="41">
        <v>7360</v>
      </c>
      <c r="L61" s="41">
        <v>3820</v>
      </c>
      <c r="M61" s="29">
        <v>1560</v>
      </c>
      <c r="N61" s="29">
        <f>stableSSBR[[#This Row],[COD 
(mg L-1)]]*Information!$AK$41</f>
        <v>1263.6000000000001</v>
      </c>
      <c r="O61" s="29">
        <v>610</v>
      </c>
      <c r="P61" s="29">
        <v>7.9</v>
      </c>
      <c r="Q61" s="29">
        <v>60</v>
      </c>
      <c r="S61" s="29">
        <v>2.74</v>
      </c>
      <c r="T61" s="29">
        <v>69.599999999999994</v>
      </c>
      <c r="U61" s="6">
        <f>stableSSBR[[#This Row],[NH4-N 
(mg L-1)]]*1.288</f>
        <v>205.13976000000002</v>
      </c>
      <c r="V61" s="6">
        <f>(stableSSBR[[#This Row],[NO3-N 
(mg L-1)]])*4.426</f>
        <v>308.01419199999998</v>
      </c>
      <c r="W61" s="6">
        <f>stableSSBR[[#This Row],[NO2-N 
(mg L-1)]]*3.284</f>
        <v>2.6272E-2</v>
      </c>
      <c r="X61" s="29">
        <v>159.27000000000001</v>
      </c>
      <c r="Y61" s="29">
        <v>8.0000000000000002E-3</v>
      </c>
      <c r="Z61" s="6">
        <f>IF(stableSSBR[[#This Row],[TON 
(mg L-1)]]-stableSSBR[[#This Row],[NO2-N 
(mg L-1)]]&lt;0,0.19,stableSSBR[[#This Row],[TON 
(mg L-1)]]-stableSSBR[[#This Row],[NO2-N 
(mg L-1)]])</f>
        <v>69.591999999999999</v>
      </c>
      <c r="AA61" s="4">
        <f>SUM(stableSSBR[[#This Row],[NO3-N 
(mg L-1)]],stableSSBR[[#This Row],[NO2-N 
(mg L-1)]],stableSSBR[[#This Row],[NH4-N 
(mg L-1)]])</f>
        <v>228.87</v>
      </c>
      <c r="AB61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5.9647047731694561E-2</v>
      </c>
      <c r="AC61" s="48">
        <f>IF(IFERROR(stableSSBR[[#This Row],[NO2-N 
(mg L-1)]]/stableSSBR[[#This Row],[NH4-N 
(mg L-1)]],0)&lt;0,0,IFERROR(stableSSBR[[#This Row],[NO2-N 
(mg L-1)]]/stableSSBR[[#This Row],[NH4-N 
(mg L-1)]],0))</f>
        <v>5.0229170590820614E-5</v>
      </c>
      <c r="AD61" s="48">
        <f>stableSSBR[[#This Row],[NO2-N 
(mg L-1)]]/(stableSSBR[[#This Row],[NO3-N 
(mg L-1)]]+stableSSBR[[#This Row],[NO2-N 
(mg L-1)]])</f>
        <v>1.1494252873563219E-4</v>
      </c>
      <c r="AE61" s="20">
        <f>46/14*stableSSBR[[#This Row],[NO2-N 
(mg L-1)]]/(EXP(-2300/(stableSSBR[[#This Row],[Temp. 
(°C)]]+273))*10^(stableSSBR[[#This Row],[pHreactor]]))</f>
        <v>9.2262257165379637E-6</v>
      </c>
      <c r="AF61" s="20">
        <f>17/14*(stableSSBR[NH4-N 
(mg L-1)]*10^stableSSBR[[#This Row],[pHreactor]])/(EXP((6344/(273+stableSSBR[[#This Row],[Temp. 
(°C)]])))+10^stableSSBR[pHreactor])</f>
        <v>0.68093780843046992</v>
      </c>
      <c r="AG61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1097.1299999999999</v>
      </c>
      <c r="AH61" s="19">
        <f>IFERROR(IF(Influent[[#This Row],[COD (mg L-1)]]-stableSSBR[[#This Row],[COD 
(mg L-1)]]&lt;0,0,Influent[[#This Row],[COD (mg L-1)]]-stableSSBR[[#This Row],[COD 
(mg L-1)]]),0)</f>
        <v>880</v>
      </c>
      <c r="AI61" s="20">
        <f>Influent[[#This Row],[COD (mg L-1)]]/stableSSBR[HRT 
(h)]*24/1000</f>
        <v>0.88718399999999997</v>
      </c>
      <c r="AJ61" s="20">
        <f>IF(((stableSSBR[[#This Row],[ΔC   (mg L-1)]])/stableSSBR[[#This Row],[HRT 
(h)]]*24/1000) &lt;0,0, (stableSSBR[[#This Row],[ΔC   (mg L-1)]])/stableSSBR[HRT 
(h)]*24/1000)</f>
        <v>0.31996800000000003</v>
      </c>
      <c r="AK61" s="6">
        <f>IF(IFERROR((Influent[[#This Row],[NH4-N (mg L-1)]])*stableSSBR[ARE 
(%)]/stableSSBR[HRT 
(h)]*24/1000,0)&lt;0,0,IFERROR((Influent[[#This Row],[NH4-N (mg L-1)]])*stableSSBR[ARE 
(%)]/stableSSBR[HRT 
(h)]*24/1000,0))</f>
        <v>0.424223028</v>
      </c>
      <c r="AL61" s="20">
        <f>Influent[[#This Row],[TN (mg L-1)]]/stableSSBR[[#This Row],[HRT 
(h)]]*24/1000</f>
        <v>0.48555144000000006</v>
      </c>
      <c r="AM61" s="20">
        <f>stableSSBR[[#This Row],[NLR 
(kg N m-3 d-1)]]*stableSSBR[[#This Row],[NRE 
(%)]]</f>
        <v>0.40233430800000008</v>
      </c>
      <c r="AN61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0.8798868778280543</v>
      </c>
      <c r="AO61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0.82861314961809207</v>
      </c>
      <c r="AP61" s="6"/>
      <c r="AQ61" s="276"/>
      <c r="AR61" s="6">
        <f>stableSSBR[[#This Row],[NH4-N 
(mg L-1)]]-20</f>
        <v>139.27000000000001</v>
      </c>
      <c r="AS61" s="6">
        <f>stableSSBR[[#This Row],[Ammonia residual to reach target]]*2.19</f>
        <v>305.00130000000001</v>
      </c>
      <c r="AT61" s="6">
        <f>stableSSBR[[#This Row],[Alkalinity 
(mg CaCO3 L-1) ]]-stableSSBR[[#This Row],[Alkalinity need]]-70</f>
        <v>234.99869999999999</v>
      </c>
    </row>
    <row r="62" spans="1:47" x14ac:dyDescent="0.3">
      <c r="A62" s="3">
        <v>43385</v>
      </c>
      <c r="B62" s="29">
        <v>59</v>
      </c>
      <c r="C62" s="27">
        <v>743.7</v>
      </c>
      <c r="D62" s="28">
        <f t="shared" si="2"/>
        <v>17.848800000000001</v>
      </c>
      <c r="E62" s="42">
        <v>1</v>
      </c>
      <c r="F62" s="163">
        <v>4</v>
      </c>
      <c r="G62" s="41">
        <f>IFERROR(Information!$R$40/(stableSSBR[[#This Row],[Flow 
(L h-1)]]*stableSSBR[[#This Row],[Batch cycles]]*stableSSBR[[#This Row],[Cycle duration 
(h)]]/1000)*24,0)</f>
        <v>64.542154094392899</v>
      </c>
      <c r="H62" s="28">
        <v>0.13693268563497621</v>
      </c>
      <c r="I62" s="28">
        <v>6.802654406662068</v>
      </c>
      <c r="J62" s="41">
        <v>24.301241379310369</v>
      </c>
      <c r="K62" s="41">
        <f>stableSSBR[[#This Row],[MLVSS 
(mg L-1)]]/0.46</f>
        <v>5391.304347826087</v>
      </c>
      <c r="L62" s="41">
        <f>1240*2</f>
        <v>2480</v>
      </c>
      <c r="M62" s="29">
        <v>1570</v>
      </c>
      <c r="N62" s="29">
        <f>stableSSBR[[#This Row],[COD 
(mg L-1)]]*Information!$AK$41</f>
        <v>1271.7</v>
      </c>
      <c r="O62" s="29">
        <v>574</v>
      </c>
      <c r="P62" s="29">
        <v>7.9</v>
      </c>
      <c r="Q62" s="29">
        <v>58</v>
      </c>
      <c r="S62" s="29">
        <v>2.89</v>
      </c>
      <c r="T62" s="29">
        <v>46.2</v>
      </c>
      <c r="U62" s="6">
        <f>stableSSBR[[#This Row],[NH4-N 
(mg L-1)]]*1.288</f>
        <v>196.12376</v>
      </c>
      <c r="V62" s="6">
        <f>(stableSSBR[[#This Row],[NO3-N 
(mg L-1)]])*4.426</f>
        <v>204.44579200000001</v>
      </c>
      <c r="W62" s="6">
        <f>stableSSBR[[#This Row],[NO2-N 
(mg L-1)]]*3.284</f>
        <v>2.6272E-2</v>
      </c>
      <c r="X62" s="29">
        <v>152.27000000000001</v>
      </c>
      <c r="Y62" s="29">
        <v>8.0000000000000002E-3</v>
      </c>
      <c r="Z62" s="6">
        <f>IF(stableSSBR[[#This Row],[TON 
(mg L-1)]]-stableSSBR[[#This Row],[NO2-N 
(mg L-1)]]&lt;0,0.19,stableSSBR[[#This Row],[TON 
(mg L-1)]]-stableSSBR[[#This Row],[NO2-N 
(mg L-1)]])</f>
        <v>46.192</v>
      </c>
      <c r="AA62" s="4">
        <f>SUM(stableSSBR[[#This Row],[NO3-N 
(mg L-1)]],stableSSBR[[#This Row],[NO2-N 
(mg L-1)]],stableSSBR[[#This Row],[NH4-N 
(mg L-1)]])</f>
        <v>198.47000000000003</v>
      </c>
      <c r="AB62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3.6994145583559575E-2</v>
      </c>
      <c r="AC62" s="48">
        <f>IF(IFERROR(stableSSBR[[#This Row],[NO2-N 
(mg L-1)]]/stableSSBR[[#This Row],[NH4-N 
(mg L-1)]],0)&lt;0,0,IFERROR(stableSSBR[[#This Row],[NO2-N 
(mg L-1)]]/stableSSBR[[#This Row],[NH4-N 
(mg L-1)]],0))</f>
        <v>5.2538254416497009E-5</v>
      </c>
      <c r="AD62" s="48">
        <f>stableSSBR[[#This Row],[NO2-N 
(mg L-1)]]/(stableSSBR[[#This Row],[NO3-N 
(mg L-1)]]+stableSSBR[[#This Row],[NO2-N 
(mg L-1)]])</f>
        <v>1.7316017316017316E-4</v>
      </c>
      <c r="AE62" s="20">
        <f>46/14*stableSSBR[[#This Row],[NO2-N 
(mg L-1)]]/(EXP(-2300/(stableSSBR[[#This Row],[Temp. 
(°C)]]+273))*10^(stableSSBR[[#This Row],[pHreactor]]))</f>
        <v>9.4815827733971916E-6</v>
      </c>
      <c r="AF62" s="20">
        <f>17/14*(stableSSBR[NH4-N 
(mg L-1)]*10^stableSSBR[[#This Row],[pHreactor]])/(EXP((6344/(273+stableSSBR[[#This Row],[Temp. 
(°C)]])))+10^stableSSBR[pHreactor])</f>
        <v>0.63220022918300878</v>
      </c>
      <c r="AG62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1202.43</v>
      </c>
      <c r="AH62" s="19">
        <f>IFERROR(IF(Influent[[#This Row],[COD (mg L-1)]]-stableSSBR[[#This Row],[COD 
(mg L-1)]]&lt;0,0,Influent[[#This Row],[COD (mg L-1)]]-stableSSBR[[#This Row],[COD 
(mg L-1)]]),0)</f>
        <v>925</v>
      </c>
      <c r="AI62" s="20">
        <f>Influent[[#This Row],[COD (mg L-1)]]/stableSSBR[HRT 
(h)]*24/1000</f>
        <v>0.92776575000000006</v>
      </c>
      <c r="AJ62" s="20">
        <f>IF(((stableSSBR[[#This Row],[ΔC   (mg L-1)]])/stableSSBR[[#This Row],[HRT 
(h)]]*24/1000) &lt;0,0, (stableSSBR[[#This Row],[ΔC   (mg L-1)]])/stableSSBR[HRT 
(h)]*24/1000)</f>
        <v>0.34396125</v>
      </c>
      <c r="AK62" s="6">
        <f>IF(IFERROR((Influent[[#This Row],[NH4-N (mg L-1)]])*stableSSBR[ARE 
(%)]/stableSSBR[HRT 
(h)]*24/1000,0)&lt;0,0,IFERROR((Influent[[#This Row],[NH4-N (mg L-1)]])*stableSSBR[ARE 
(%)]/stableSSBR[HRT 
(h)]*24/1000,0))</f>
        <v>0.46430306550000006</v>
      </c>
      <c r="AL62" s="20">
        <f>Influent[[#This Row],[TN (mg L-1)]]/stableSSBR[[#This Row],[HRT 
(h)]]*24/1000</f>
        <v>0.52403853690000002</v>
      </c>
      <c r="AM62" s="20">
        <f>stableSSBR[[#This Row],[NLR 
(kg N m-3 d-1)]]*stableSSBR[[#This Row],[NRE 
(%)]]</f>
        <v>0.45023746739999998</v>
      </c>
      <c r="AN62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0.89130558926404457</v>
      </c>
      <c r="AO62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0.85916862157394513</v>
      </c>
      <c r="AP62" s="6">
        <v>3.6999999999999998E-2</v>
      </c>
      <c r="AQ62" s="276">
        <f>stableSSBR[[#This Row],[SAA 
(g N g VSS-1 d-1)]]/MAX(stableSSBR[SAA 
(g N g VSS-1 d-1)])</f>
        <v>0.54411764705882348</v>
      </c>
      <c r="AR62" s="6">
        <f>stableSSBR[[#This Row],[NH4-N 
(mg L-1)]]-20</f>
        <v>132.27000000000001</v>
      </c>
      <c r="AS62" s="6">
        <f>stableSSBR[[#This Row],[Ammonia residual to reach target]]*2.19</f>
        <v>289.67130000000003</v>
      </c>
      <c r="AT62" s="6">
        <f>stableSSBR[[#This Row],[Alkalinity 
(mg CaCO3 L-1) ]]-stableSSBR[[#This Row],[Alkalinity need]]-70</f>
        <v>214.32869999999997</v>
      </c>
    </row>
    <row r="63" spans="1:47" x14ac:dyDescent="0.3">
      <c r="A63" s="3">
        <v>43386</v>
      </c>
      <c r="B63" s="29">
        <v>60</v>
      </c>
      <c r="C63" s="27">
        <v>711.3</v>
      </c>
      <c r="D63" s="28">
        <f t="shared" si="2"/>
        <v>17.071199999999997</v>
      </c>
      <c r="E63" s="42">
        <v>1</v>
      </c>
      <c r="F63" s="163">
        <v>4</v>
      </c>
      <c r="G63" s="41">
        <f>IFERROR(Information!$R$40/(stableSSBR[[#This Row],[Flow 
(L h-1)]]*stableSSBR[[#This Row],[Batch cycles]]*stableSSBR[[#This Row],[Cycle duration 
(h)]]/1000)*24,0)</f>
        <v>67.482075073808517</v>
      </c>
      <c r="H63" s="28">
        <v>0.13722414989590609</v>
      </c>
      <c r="I63" s="28">
        <v>6.808811936155478</v>
      </c>
      <c r="J63" s="41">
        <v>25.118344827586231</v>
      </c>
      <c r="K63" s="41"/>
      <c r="L63" s="41"/>
      <c r="M63" s="29">
        <v>1625</v>
      </c>
      <c r="N63" s="29">
        <f>stableSSBR[[#This Row],[COD 
(mg L-1)]]*Information!$AK$41</f>
        <v>1316.25</v>
      </c>
      <c r="O63" s="29">
        <v>603</v>
      </c>
      <c r="P63" s="29">
        <v>7.9</v>
      </c>
      <c r="Q63" s="29">
        <v>66</v>
      </c>
      <c r="S63" s="29">
        <v>3.06</v>
      </c>
      <c r="T63" s="29">
        <v>47.5</v>
      </c>
      <c r="U63" s="6">
        <f>stableSSBR[[#This Row],[NH4-N 
(mg L-1)]]*1.288</f>
        <v>194.65544</v>
      </c>
      <c r="V63" s="6">
        <f>(stableSSBR[[#This Row],[NO3-N 
(mg L-1)]])*4.426</f>
        <v>210.199592</v>
      </c>
      <c r="W63" s="6">
        <f>stableSSBR[[#This Row],[NO2-N 
(mg L-1)]]*3.284</f>
        <v>2.6272E-2</v>
      </c>
      <c r="X63" s="29">
        <v>151.13</v>
      </c>
      <c r="Y63" s="29">
        <v>8.0000000000000002E-3</v>
      </c>
      <c r="Z63" s="6">
        <f>IF(stableSSBR[[#This Row],[TON 
(mg L-1)]]-stableSSBR[[#This Row],[NO2-N 
(mg L-1)]]&lt;0,0.19,stableSSBR[[#This Row],[TON 
(mg L-1)]]-stableSSBR[[#This Row],[NO2-N 
(mg L-1)]])</f>
        <v>47.491999999999997</v>
      </c>
      <c r="AA63" s="4">
        <f>SUM(stableSSBR[[#This Row],[NO3-N 
(mg L-1)]],stableSSBR[[#This Row],[NO2-N 
(mg L-1)]],stableSSBR[[#This Row],[NH4-N 
(mg L-1)]])</f>
        <v>198.63</v>
      </c>
      <c r="AB63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3.8431099638282201E-2</v>
      </c>
      <c r="AC63" s="48">
        <f>IF(IFERROR(stableSSBR[[#This Row],[NO2-N 
(mg L-1)]]/stableSSBR[[#This Row],[NH4-N 
(mg L-1)]],0)&lt;0,0,IFERROR(stableSSBR[[#This Row],[NO2-N 
(mg L-1)]]/stableSSBR[[#This Row],[NH4-N 
(mg L-1)]],0))</f>
        <v>5.2934559650631907E-5</v>
      </c>
      <c r="AD63" s="48">
        <f>stableSSBR[[#This Row],[NO2-N 
(mg L-1)]]/(stableSSBR[[#This Row],[NO3-N 
(mg L-1)]]+stableSSBR[[#This Row],[NO2-N 
(mg L-1)]])</f>
        <v>1.6842105263157895E-4</v>
      </c>
      <c r="AE63" s="20">
        <f>46/14*stableSSBR[[#This Row],[NO2-N 
(mg L-1)]]/(EXP(-2300/(stableSSBR[[#This Row],[Temp. 
(°C)]]+273))*10^(stableSSBR[[#This Row],[pHreactor]]))</f>
        <v>9.1519680618889305E-6</v>
      </c>
      <c r="AF63" s="20">
        <f>17/14*(stableSSBR[NH4-N 
(mg L-1)]*10^stableSSBR[[#This Row],[pHreactor]])/(EXP((6344/(273+stableSSBR[[#This Row],[Temp. 
(°C)]])))+10^stableSSBR[pHreactor])</f>
        <v>0.67458537938366925</v>
      </c>
      <c r="AG63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1188.27</v>
      </c>
      <c r="AH63" s="19">
        <f>IFERROR(IF(Influent[[#This Row],[COD (mg L-1)]]-stableSSBR[[#This Row],[COD 
(mg L-1)]]&lt;0,0,Influent[[#This Row],[COD (mg L-1)]]-stableSSBR[[#This Row],[COD 
(mg L-1)]]),0)</f>
        <v>820</v>
      </c>
      <c r="AI63" s="20">
        <f>Influent[[#This Row],[COD (mg L-1)]]/stableSSBR[HRT 
(h)]*24/1000</f>
        <v>0.86956425000000015</v>
      </c>
      <c r="AJ63" s="20">
        <f>IF(((stableSSBR[[#This Row],[ΔC   (mg L-1)]])/stableSSBR[[#This Row],[HRT 
(h)]]*24/1000) &lt;0,0, (stableSSBR[[#This Row],[ΔC   (mg L-1)]])/stableSSBR[HRT 
(h)]*24/1000)</f>
        <v>0.29163299999999998</v>
      </c>
      <c r="AK63" s="6">
        <f>IF(IFERROR((Influent[[#This Row],[NH4-N (mg L-1)]])*stableSSBR[ARE 
(%)]/stableSSBR[HRT 
(h)]*24/1000,0)&lt;0,0,IFERROR((Influent[[#This Row],[NH4-N (mg L-1)]])*stableSSBR[ARE 
(%)]/stableSSBR[HRT 
(h)]*24/1000,0))</f>
        <v>0.43950160050000003</v>
      </c>
      <c r="AL63" s="20">
        <f>Influent[[#This Row],[TN (mg L-1)]]/stableSSBR[[#This Row],[HRT 
(h)]]*24/1000</f>
        <v>0.49332211500000012</v>
      </c>
      <c r="AM63" s="20">
        <f>stableSSBR[[#This Row],[NLR 
(kg N m-3 d-1)]]*stableSSBR[[#This Row],[NRE 
(%)]]</f>
        <v>0.42267935550000019</v>
      </c>
      <c r="AN63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0.89103035546903153</v>
      </c>
      <c r="AO63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0.8568019609256724</v>
      </c>
      <c r="AP63" s="6"/>
      <c r="AQ63" s="276"/>
      <c r="AR63" s="6">
        <f>stableSSBR[[#This Row],[NH4-N 
(mg L-1)]]-20</f>
        <v>131.13</v>
      </c>
      <c r="AS63" s="6">
        <f>stableSSBR[[#This Row],[Ammonia residual to reach target]]*2.19</f>
        <v>287.17469999999997</v>
      </c>
      <c r="AT63" s="6">
        <f>stableSSBR[[#This Row],[Alkalinity 
(mg CaCO3 L-1) ]]-stableSSBR[[#This Row],[Alkalinity need]]-70</f>
        <v>245.82530000000003</v>
      </c>
    </row>
    <row r="64" spans="1:47" x14ac:dyDescent="0.3">
      <c r="A64" s="3">
        <v>43387</v>
      </c>
      <c r="B64" s="29">
        <v>61</v>
      </c>
      <c r="C64" s="27">
        <v>707.3</v>
      </c>
      <c r="D64" s="28">
        <f t="shared" si="2"/>
        <v>16.975199999999997</v>
      </c>
      <c r="E64" s="42">
        <v>1</v>
      </c>
      <c r="F64" s="163">
        <v>4</v>
      </c>
      <c r="G64" s="41">
        <f>IFERROR(Information!$R$40/(stableSSBR[[#This Row],[Flow 
(L h-1)]]*stableSSBR[[#This Row],[Batch cycles]]*stableSSBR[[#This Row],[Cycle duration 
(h)]]/1000)*24,0)</f>
        <v>67.863707054997889</v>
      </c>
      <c r="H64" s="28">
        <v>0.13206536856745499</v>
      </c>
      <c r="I64" s="28">
        <v>6.815297635604999</v>
      </c>
      <c r="J64" s="41">
        <v>22.921250000000001</v>
      </c>
      <c r="K64" s="41"/>
      <c r="L64" s="41"/>
      <c r="M64" s="29">
        <v>1605</v>
      </c>
      <c r="N64" s="29">
        <f>stableSSBR[[#This Row],[COD 
(mg L-1)]]*Information!$AK$41</f>
        <v>1300.0500000000002</v>
      </c>
      <c r="O64" s="29">
        <v>470</v>
      </c>
      <c r="P64" s="29">
        <v>7.9</v>
      </c>
      <c r="Q64" s="29">
        <v>54</v>
      </c>
      <c r="S64" s="29">
        <v>3.17</v>
      </c>
      <c r="T64" s="29">
        <v>47.2</v>
      </c>
      <c r="U64" s="6">
        <f>stableSSBR[[#This Row],[NH4-N 
(mg L-1)]]*1.288</f>
        <v>192.59464</v>
      </c>
      <c r="V64" s="6">
        <f>(stableSSBR[[#This Row],[NO3-N 
(mg L-1)]])*4.426</f>
        <v>94.061352000000014</v>
      </c>
      <c r="W64" s="6">
        <f>stableSSBR[[#This Row],[NO2-N 
(mg L-1)]]*3.284</f>
        <v>85.213231999999991</v>
      </c>
      <c r="X64" s="29">
        <v>149.53</v>
      </c>
      <c r="Y64" s="29">
        <v>25.948</v>
      </c>
      <c r="Z64" s="6">
        <f>IF(stableSSBR[[#This Row],[TON 
(mg L-1)]]-stableSSBR[[#This Row],[NO2-N 
(mg L-1)]]&lt;0,0.19,stableSSBR[[#This Row],[TON 
(mg L-1)]]-stableSSBR[[#This Row],[NO2-N 
(mg L-1)]])</f>
        <v>21.252000000000002</v>
      </c>
      <c r="AA64" s="4">
        <f>SUM(stableSSBR[[#This Row],[NO3-N 
(mg L-1)]],stableSSBR[[#This Row],[NO2-N 
(mg L-1)]],stableSSBR[[#This Row],[NH4-N 
(mg L-1)]])</f>
        <v>196.73000000000002</v>
      </c>
      <c r="AB64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1.8525589058291273E-2</v>
      </c>
      <c r="AC64" s="48">
        <f>IF(IFERROR(stableSSBR[[#This Row],[NO2-N 
(mg L-1)]]/stableSSBR[[#This Row],[NH4-N 
(mg L-1)]],0)&lt;0,0,IFERROR(stableSSBR[[#This Row],[NO2-N 
(mg L-1)]]/stableSSBR[[#This Row],[NH4-N 
(mg L-1)]],0))</f>
        <v>0.17353039523841371</v>
      </c>
      <c r="AD64" s="48">
        <f>stableSSBR[[#This Row],[NO2-N 
(mg L-1)]]/(stableSSBR[[#This Row],[NO3-N 
(mg L-1)]]+stableSSBR[[#This Row],[NO2-N 
(mg L-1)]])</f>
        <v>0.54974576271186437</v>
      </c>
      <c r="AE64" s="20">
        <f>46/14*stableSSBR[[#This Row],[NO2-N 
(mg L-1)]]/(EXP(-2300/(stableSSBR[[#This Row],[Temp. 
(°C)]]+273))*10^(stableSSBR[[#This Row],[pHreactor]]))</f>
        <v>3.0968458567625781E-2</v>
      </c>
      <c r="AF64" s="20">
        <f>17/14*(stableSSBR[NH4-N 
(mg L-1)]*10^stableSSBR[[#This Row],[pHreactor]])/(EXP((6344/(273+stableSSBR[[#This Row],[Temp. 
(°C)]])))+10^stableSSBR[pHreactor])</f>
        <v>0.57875689412777453</v>
      </c>
      <c r="AG64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1099.97</v>
      </c>
      <c r="AH64" s="19">
        <f>IFERROR(IF(Influent[[#This Row],[COD (mg L-1)]]-stableSSBR[[#This Row],[COD 
(mg L-1)]]&lt;0,0,Influent[[#This Row],[COD (mg L-1)]]-stableSSBR[[#This Row],[COD 
(mg L-1)]]),0)</f>
        <v>945</v>
      </c>
      <c r="AI64" s="20">
        <f>Influent[[#This Row],[COD (mg L-1)]]/stableSSBR[HRT 
(h)]*24/1000</f>
        <v>0.90180749999999987</v>
      </c>
      <c r="AJ64" s="20">
        <f>IF(((stableSSBR[[#This Row],[ΔC   (mg L-1)]])/stableSSBR[[#This Row],[HRT 
(h)]]*24/1000) &lt;0,0, (stableSSBR[[#This Row],[ΔC   (mg L-1)]])/stableSSBR[HRT 
(h)]*24/1000)</f>
        <v>0.33419924999999995</v>
      </c>
      <c r="AK64" s="6">
        <f>IF(IFERROR((Influent[[#This Row],[NH4-N (mg L-1)]])*stableSSBR[ARE 
(%)]/stableSSBR[HRT 
(h)]*24/1000,0)&lt;0,0,IFERROR((Influent[[#This Row],[NH4-N (mg L-1)]])*stableSSBR[ARE 
(%)]/stableSSBR[HRT 
(h)]*24/1000,0))</f>
        <v>0.40569667049999997</v>
      </c>
      <c r="AL64" s="20">
        <f>Influent[[#This Row],[TN (mg L-1)]]/stableSSBR[[#This Row],[HRT 
(h)]]*24/1000</f>
        <v>0.45881631509999998</v>
      </c>
      <c r="AM64" s="20">
        <f>stableSSBR[[#This Row],[NLR 
(kg N m-3 d-1)]]*stableSSBR[[#This Row],[NRE 
(%)]]</f>
        <v>0.38924275059999996</v>
      </c>
      <c r="AN64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0.88468419834965684</v>
      </c>
      <c r="AO64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0.8483629238754592</v>
      </c>
      <c r="AP64" s="6"/>
      <c r="AQ64" s="276"/>
      <c r="AR64" s="6">
        <f>stableSSBR[[#This Row],[NH4-N 
(mg L-1)]]-20</f>
        <v>129.53</v>
      </c>
      <c r="AS64" s="6">
        <f>stableSSBR[[#This Row],[Ammonia residual to reach target]]*2.19</f>
        <v>283.67070000000001</v>
      </c>
      <c r="AT64" s="6">
        <f>stableSSBR[[#This Row],[Alkalinity 
(mg CaCO3 L-1) ]]-stableSSBR[[#This Row],[Alkalinity need]]-70</f>
        <v>116.32929999999999</v>
      </c>
    </row>
    <row r="65" spans="1:47" x14ac:dyDescent="0.3">
      <c r="A65" s="3">
        <v>43388</v>
      </c>
      <c r="B65" s="29">
        <v>62</v>
      </c>
      <c r="C65" s="27">
        <v>722.1</v>
      </c>
      <c r="D65" s="28">
        <f t="shared" si="2"/>
        <v>17.330400000000001</v>
      </c>
      <c r="E65" s="42">
        <v>1</v>
      </c>
      <c r="F65" s="163">
        <v>4</v>
      </c>
      <c r="G65" s="41">
        <f>IFERROR(Information!$R$40/(stableSSBR[[#This Row],[Flow 
(L h-1)]]*stableSSBR[[#This Row],[Batch cycles]]*stableSSBR[[#This Row],[Cycle duration 
(h)]]/1000)*24,0)</f>
        <v>66.472787702534276</v>
      </c>
      <c r="H65" s="28">
        <v>0.2322970159611378</v>
      </c>
      <c r="I65" s="28">
        <v>6.9753525329632167</v>
      </c>
      <c r="J65" s="41">
        <v>22.158541666666672</v>
      </c>
      <c r="K65" s="41">
        <v>6980</v>
      </c>
      <c r="L65" s="41">
        <v>4030</v>
      </c>
      <c r="M65" s="29">
        <v>1660</v>
      </c>
      <c r="N65" s="29">
        <f>stableSSBR[[#This Row],[COD 
(mg L-1)]]*Information!$AK$41</f>
        <v>1344.6000000000001</v>
      </c>
      <c r="O65" s="29">
        <v>560</v>
      </c>
      <c r="P65" s="29">
        <v>7.9</v>
      </c>
      <c r="Q65" s="29">
        <v>72</v>
      </c>
      <c r="S65" s="29">
        <v>3.17</v>
      </c>
      <c r="T65" s="29">
        <v>49.3</v>
      </c>
      <c r="U65" s="6">
        <f>stableSSBR[[#This Row],[NH4-N 
(mg L-1)]]*1.288</f>
        <v>190.70128</v>
      </c>
      <c r="V65" s="6">
        <f>(stableSSBR[[#This Row],[NO3-N 
(mg L-1)]])*4.426</f>
        <v>106.15760999999999</v>
      </c>
      <c r="W65" s="6">
        <f>stableSSBR[[#This Row],[NO2-N 
(mg L-1)]]*3.284</f>
        <v>83.134460000000004</v>
      </c>
      <c r="X65" s="29">
        <v>148.06</v>
      </c>
      <c r="Y65" s="29">
        <v>25.315000000000001</v>
      </c>
      <c r="Z65" s="6">
        <f>IF(stableSSBR[[#This Row],[TON 
(mg L-1)]]-stableSSBR[[#This Row],[NO2-N 
(mg L-1)]]&lt;0,0.19,stableSSBR[[#This Row],[TON 
(mg L-1)]]-stableSSBR[[#This Row],[NO2-N 
(mg L-1)]])</f>
        <v>23.984999999999996</v>
      </c>
      <c r="AA65" s="4">
        <f>SUM(stableSSBR[[#This Row],[NO3-N 
(mg L-1)]],stableSSBR[[#This Row],[NO2-N 
(mg L-1)]],stableSSBR[[#This Row],[NH4-N 
(mg L-1)]])</f>
        <v>197.36</v>
      </c>
      <c r="AB65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2.0478296506266858E-2</v>
      </c>
      <c r="AC65" s="48">
        <f>IF(IFERROR(stableSSBR[[#This Row],[NO2-N 
(mg L-1)]]/stableSSBR[[#This Row],[NH4-N 
(mg L-1)]],0)&lt;0,0,IFERROR(stableSSBR[[#This Row],[NO2-N 
(mg L-1)]]/stableSSBR[[#This Row],[NH4-N 
(mg L-1)]],0))</f>
        <v>0.17097798189923005</v>
      </c>
      <c r="AD65" s="48">
        <f>stableSSBR[[#This Row],[NO2-N 
(mg L-1)]]/(stableSSBR[[#This Row],[NO3-N 
(mg L-1)]]+stableSSBR[[#This Row],[NO2-N 
(mg L-1)]])</f>
        <v>0.51348884381338744</v>
      </c>
      <c r="AE65" s="20">
        <f>46/14*stableSSBR[[#This Row],[NO2-N 
(mg L-1)]]/(EXP(-2300/(stableSSBR[[#This Row],[Temp. 
(°C)]]+273))*10^(stableSSBR[[#This Row],[pHreactor]]))</f>
        <v>2.1323632896840094E-2</v>
      </c>
      <c r="AF65" s="20">
        <f>17/14*(stableSSBR[NH4-N 
(mg L-1)]*10^stableSSBR[[#This Row],[pHreactor]])/(EXP((6344/(273+stableSSBR[[#This Row],[Temp. 
(°C)]])))+10^stableSSBR[pHreactor])</f>
        <v>0.78287590249176298</v>
      </c>
      <c r="AG65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1121.94</v>
      </c>
      <c r="AH65" s="19">
        <f>IFERROR(IF(Influent[[#This Row],[COD (mg L-1)]]-stableSSBR[[#This Row],[COD 
(mg L-1)]]&lt;0,0,Influent[[#This Row],[COD (mg L-1)]]-stableSSBR[[#This Row],[COD 
(mg L-1)]]),0)</f>
        <v>1160</v>
      </c>
      <c r="AI65" s="20">
        <f>Influent[[#This Row],[COD (mg L-1)]]/stableSSBR[HRT 
(h)]*24/1000</f>
        <v>1.0181610000000001</v>
      </c>
      <c r="AJ65" s="20">
        <f>IF(((stableSSBR[[#This Row],[ΔC   (mg L-1)]])/stableSSBR[[#This Row],[HRT 
(h)]]*24/1000) &lt;0,0, (stableSSBR[[#This Row],[ΔC   (mg L-1)]])/stableSSBR[HRT 
(h)]*24/1000)</f>
        <v>0.41881799999999997</v>
      </c>
      <c r="AK65" s="6">
        <f>IF(IFERROR((Influent[[#This Row],[NH4-N (mg L-1)]])*stableSSBR[ARE 
(%)]/stableSSBR[HRT 
(h)]*24/1000,0)&lt;0,0,IFERROR((Influent[[#This Row],[NH4-N (mg L-1)]])*stableSSBR[ARE 
(%)]/stableSSBR[HRT 
(h)]*24/1000,0))</f>
        <v>0.42287620199999998</v>
      </c>
      <c r="AL65" s="20">
        <f>Influent[[#This Row],[TN (mg L-1)]]/stableSSBR[[#This Row],[HRT 
(h)]]*24/1000</f>
        <v>0.47640547500000002</v>
      </c>
      <c r="AM65" s="20">
        <f>stableSSBR[[#This Row],[NLR 
(kg N m-3 d-1)]]*stableSSBR[[#This Row],[NRE 
(%)]]</f>
        <v>0.40514864699999997</v>
      </c>
      <c r="AN65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0.88777381944970823</v>
      </c>
      <c r="AO65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0.85042819249715795</v>
      </c>
      <c r="AP65" s="6"/>
      <c r="AQ65" s="276"/>
      <c r="AR65" s="6">
        <f>stableSSBR[[#This Row],[NH4-N 
(mg L-1)]]-20</f>
        <v>128.06</v>
      </c>
      <c r="AS65" s="6">
        <f>stableSSBR[[#This Row],[Ammonia residual to reach target]]*2.19</f>
        <v>280.45139999999998</v>
      </c>
      <c r="AT65" s="6">
        <f>stableSSBR[[#This Row],[Alkalinity 
(mg CaCO3 L-1) ]]-stableSSBR[[#This Row],[Alkalinity need]]-70</f>
        <v>209.54860000000002</v>
      </c>
    </row>
    <row r="66" spans="1:47" x14ac:dyDescent="0.3">
      <c r="A66" s="3">
        <v>43389</v>
      </c>
      <c r="B66" s="29">
        <v>63</v>
      </c>
      <c r="C66" s="27">
        <v>675.2</v>
      </c>
      <c r="D66" s="28">
        <f t="shared" si="2"/>
        <v>16.204799999999999</v>
      </c>
      <c r="E66" s="42">
        <v>1</v>
      </c>
      <c r="F66" s="163">
        <v>4</v>
      </c>
      <c r="G66" s="41">
        <f>IFERROR(Information!$R$40/(stableSSBR[[#This Row],[Flow 
(L h-1)]]*stableSSBR[[#This Row],[Batch cycles]]*stableSSBR[[#This Row],[Cycle duration 
(h)]]/1000)*24,0)</f>
        <v>71.090047393364927</v>
      </c>
      <c r="H66" s="28">
        <v>0.20321998612074921</v>
      </c>
      <c r="I66" s="28">
        <v>6.8972928521859709</v>
      </c>
      <c r="J66" s="41">
        <v>23.210000000000012</v>
      </c>
      <c r="K66" s="41"/>
      <c r="L66" s="41"/>
      <c r="M66" s="29">
        <v>1510</v>
      </c>
      <c r="N66" s="29">
        <f>stableSSBR[[#This Row],[COD 
(mg L-1)]]*Information!$AK$41</f>
        <v>1223.1000000000001</v>
      </c>
      <c r="O66" s="29">
        <v>677</v>
      </c>
      <c r="P66" s="29">
        <v>7.7</v>
      </c>
      <c r="Q66" s="29">
        <v>73</v>
      </c>
      <c r="R66" s="29">
        <v>18</v>
      </c>
      <c r="S66" s="29">
        <v>3.96</v>
      </c>
      <c r="T66" s="29">
        <v>28.1</v>
      </c>
      <c r="U66" s="6">
        <f>stableSSBR[[#This Row],[NH4-N 
(mg L-1)]]*1.288</f>
        <v>224.24080000000001</v>
      </c>
      <c r="V66" s="6">
        <f>(stableSSBR[[#This Row],[NO3-N 
(mg L-1)]])*4.426</f>
        <v>68.133844000000011</v>
      </c>
      <c r="W66" s="6">
        <f>stableSSBR[[#This Row],[NO2-N 
(mg L-1)]]*3.284</f>
        <v>41.726503999999998</v>
      </c>
      <c r="X66" s="29">
        <v>174.1</v>
      </c>
      <c r="Y66" s="29">
        <v>12.706</v>
      </c>
      <c r="Z66" s="6">
        <f>IF(stableSSBR[[#This Row],[TON 
(mg L-1)]]-stableSSBR[[#This Row],[NO2-N 
(mg L-1)]]&lt;0,0.19,stableSSBR[[#This Row],[TON 
(mg L-1)]]-stableSSBR[[#This Row],[NO2-N 
(mg L-1)]])</f>
        <v>15.394000000000002</v>
      </c>
      <c r="AA66" s="4">
        <f>SUM(stableSSBR[[#This Row],[NO3-N 
(mg L-1)]],stableSSBR[[#This Row],[NO2-N 
(mg L-1)]],stableSSBR[[#This Row],[NH4-N 
(mg L-1)]])</f>
        <v>202.2</v>
      </c>
      <c r="AB66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1.4874867136921443E-2</v>
      </c>
      <c r="AC66" s="48">
        <f>IF(IFERROR(stableSSBR[[#This Row],[NO2-N 
(mg L-1)]]/stableSSBR[[#This Row],[NH4-N 
(mg L-1)]],0)&lt;0,0,IFERROR(stableSSBR[[#This Row],[NO2-N 
(mg L-1)]]/stableSSBR[[#This Row],[NH4-N 
(mg L-1)]],0))</f>
        <v>7.2981045376220563E-2</v>
      </c>
      <c r="AD66" s="48">
        <f>stableSSBR[[#This Row],[NO2-N 
(mg L-1)]]/(stableSSBR[[#This Row],[NO3-N 
(mg L-1)]]+stableSSBR[[#This Row],[NO2-N 
(mg L-1)]])</f>
        <v>0.45217081850533802</v>
      </c>
      <c r="AE66" s="20">
        <f>46/14*stableSSBR[[#This Row],[NO2-N 
(mg L-1)]]/(EXP(-2300/(stableSSBR[[#This Row],[Temp. 
(°C)]]+273))*10^(stableSSBR[[#This Row],[pHreactor]]))</f>
        <v>1.2460597330098718E-2</v>
      </c>
      <c r="AF66" s="20">
        <f>17/14*(stableSSBR[NH4-N 
(mg L-1)]*10^stableSSBR[[#This Row],[pHreactor]])/(EXP((6344/(273+stableSSBR[[#This Row],[Temp. 
(°C)]])))+10^stableSSBR[pHreactor])</f>
        <v>0.83045282301132728</v>
      </c>
      <c r="AG66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1006.8</v>
      </c>
      <c r="AH66" s="19">
        <f>IFERROR(IF(Influent[[#This Row],[COD (mg L-1)]]-stableSSBR[[#This Row],[COD 
(mg L-1)]]&lt;0,0,Influent[[#This Row],[COD (mg L-1)]]-stableSSBR[[#This Row],[COD 
(mg L-1)]]),0)</f>
        <v>1215</v>
      </c>
      <c r="AI66" s="20">
        <f>Influent[[#This Row],[COD (mg L-1)]]/stableSSBR[HRT 
(h)]*24/1000</f>
        <v>0.91996</v>
      </c>
      <c r="AJ66" s="20">
        <f>IF(((stableSSBR[[#This Row],[ΔC   (mg L-1)]])/stableSSBR[[#This Row],[HRT 
(h)]]*24/1000) &lt;0,0, (stableSSBR[[#This Row],[ΔC   (mg L-1)]])/stableSSBR[HRT 
(h)]*24/1000)</f>
        <v>0.41018400000000005</v>
      </c>
      <c r="AK66" s="6">
        <f>IF(IFERROR((Influent[[#This Row],[NH4-N (mg L-1)]])*stableSSBR[ARE 
(%)]/stableSSBR[HRT 
(h)]*24/1000,0)&lt;0,0,IFERROR((Influent[[#This Row],[NH4-N (mg L-1)]])*stableSSBR[ARE 
(%)]/stableSSBR[HRT 
(h)]*24/1000,0))</f>
        <v>0.34938224000000001</v>
      </c>
      <c r="AL66" s="20">
        <f>Influent[[#This Row],[TN (mg L-1)]]/stableSSBR[[#This Row],[HRT 
(h)]]*24/1000</f>
        <v>0.40822592000000002</v>
      </c>
      <c r="AM66" s="20">
        <f>stableSSBR[[#This Row],[NLR 
(kg N m-3 d-1)]]*stableSSBR[[#This Row],[NRE 
(%)]]</f>
        <v>0.33996319999999997</v>
      </c>
      <c r="AN66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0.85599669148056257</v>
      </c>
      <c r="AO66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0.83278200463116103</v>
      </c>
      <c r="AP66" s="6"/>
      <c r="AQ66" s="276"/>
      <c r="AR66" s="6">
        <f>stableSSBR[[#This Row],[NH4-N 
(mg L-1)]]-20</f>
        <v>154.1</v>
      </c>
      <c r="AS66" s="6">
        <f>stableSSBR[[#This Row],[Ammonia residual to reach target]]*2.19</f>
        <v>337.47899999999998</v>
      </c>
      <c r="AT66" s="6">
        <f>stableSSBR[[#This Row],[Alkalinity 
(mg CaCO3 L-1) ]]-stableSSBR[[#This Row],[Alkalinity need]]-70</f>
        <v>269.52100000000002</v>
      </c>
    </row>
    <row r="67" spans="1:47" x14ac:dyDescent="0.3">
      <c r="A67" s="3">
        <v>43390</v>
      </c>
      <c r="B67" s="29">
        <v>64</v>
      </c>
      <c r="C67" s="27">
        <v>681.4</v>
      </c>
      <c r="D67" s="28">
        <f t="shared" si="2"/>
        <v>16.3536</v>
      </c>
      <c r="E67" s="42">
        <v>1</v>
      </c>
      <c r="F67" s="163">
        <v>4</v>
      </c>
      <c r="G67" s="41">
        <f>IFERROR(Information!$R$40/(stableSSBR[[#This Row],[Flow 
(L h-1)]]*stableSSBR[[#This Row],[Batch cycles]]*stableSSBR[[#This Row],[Cycle duration 
(h)]]/1000)*24,0)</f>
        <v>70.443205165835053</v>
      </c>
      <c r="H67" s="28">
        <v>0.17190839694656521</v>
      </c>
      <c r="I67" s="28">
        <v>6.8578459403192094</v>
      </c>
      <c r="J67" s="41">
        <v>23.044305555555582</v>
      </c>
      <c r="K67" s="41"/>
      <c r="L67" s="41"/>
      <c r="M67" s="29">
        <v>1530</v>
      </c>
      <c r="N67" s="29">
        <f>stableSSBR[[#This Row],[COD 
(mg L-1)]]*Information!$AK$41</f>
        <v>1239.3000000000002</v>
      </c>
      <c r="O67" s="29">
        <v>659</v>
      </c>
      <c r="P67" s="29">
        <v>7.7</v>
      </c>
      <c r="Q67" s="29">
        <v>61</v>
      </c>
      <c r="R67" s="29">
        <v>14</v>
      </c>
      <c r="S67" s="29">
        <v>4.13</v>
      </c>
      <c r="T67" s="29">
        <v>38.200000000000003</v>
      </c>
      <c r="U67" s="6">
        <f>stableSSBR[[#This Row],[NH4-N 
(mg L-1)]]*1.288</f>
        <v>222.9528</v>
      </c>
      <c r="V67" s="6">
        <f>(stableSSBR[[#This Row],[NO3-N 
(mg L-1)]])*4.426</f>
        <v>37.443960000000018</v>
      </c>
      <c r="W67" s="6">
        <f>stableSSBR[[#This Row],[NO2-N 
(mg L-1)]]*3.284</f>
        <v>97.666159999999991</v>
      </c>
      <c r="X67" s="29">
        <v>173.1</v>
      </c>
      <c r="Y67" s="29">
        <v>29.74</v>
      </c>
      <c r="Z67" s="6">
        <f>IF(stableSSBR[[#This Row],[TON 
(mg L-1)]]-stableSSBR[[#This Row],[NO2-N 
(mg L-1)]]&lt;0,0.19,stableSSBR[[#This Row],[TON 
(mg L-1)]]-stableSSBR[[#This Row],[NO2-N 
(mg L-1)]])</f>
        <v>8.4600000000000044</v>
      </c>
      <c r="AA67" s="4">
        <f>SUM(stableSSBR[[#This Row],[NO3-N 
(mg L-1)]],stableSSBR[[#This Row],[NO2-N 
(mg L-1)]],stableSSBR[[#This Row],[NH4-N 
(mg L-1)]])</f>
        <v>211.3</v>
      </c>
      <c r="AB67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8.0235204855842214E-3</v>
      </c>
      <c r="AC67" s="48">
        <f>IF(IFERROR(stableSSBR[[#This Row],[NO2-N 
(mg L-1)]]/stableSSBR[[#This Row],[NH4-N 
(mg L-1)]],0)&lt;0,0,IFERROR(stableSSBR[[#This Row],[NO2-N 
(mg L-1)]]/stableSSBR[[#This Row],[NH4-N 
(mg L-1)]],0))</f>
        <v>0.17180820335066435</v>
      </c>
      <c r="AD67" s="48">
        <f>stableSSBR[[#This Row],[NO2-N 
(mg L-1)]]/(stableSSBR[[#This Row],[NO3-N 
(mg L-1)]]+stableSSBR[[#This Row],[NO2-N 
(mg L-1)]])</f>
        <v>0.77853403141361244</v>
      </c>
      <c r="AE67" s="20">
        <f>46/14*stableSSBR[[#This Row],[NO2-N 
(mg L-1)]]/(EXP(-2300/(stableSSBR[[#This Row],[Temp. 
(°C)]]+273))*10^(stableSSBR[[#This Row],[pHreactor]]))</f>
        <v>3.2077852466839932E-2</v>
      </c>
      <c r="AF67" s="20">
        <f>17/14*(stableSSBR[NH4-N 
(mg L-1)]*10^stableSSBR[[#This Row],[pHreactor]])/(EXP((6344/(273+stableSSBR[[#This Row],[Temp. 
(°C)]])))+10^stableSSBR[pHreactor])</f>
        <v>0.745293158186626</v>
      </c>
      <c r="AG67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1016.2</v>
      </c>
      <c r="AH67" s="19">
        <f>IFERROR(IF(Influent[[#This Row],[COD (mg L-1)]]-stableSSBR[[#This Row],[COD 
(mg L-1)]]&lt;0,0,Influent[[#This Row],[COD (mg L-1)]]-stableSSBR[[#This Row],[COD 
(mg L-1)]]),0)</f>
        <v>1290</v>
      </c>
      <c r="AI67" s="20">
        <f>Influent[[#This Row],[COD (mg L-1)]]/stableSSBR[HRT 
(h)]*24/1000</f>
        <v>0.96077399999999991</v>
      </c>
      <c r="AJ67" s="20">
        <f>IF(((stableSSBR[[#This Row],[ΔC   (mg L-1)]])/stableSSBR[[#This Row],[HRT 
(h)]]*24/1000) &lt;0,0, (stableSSBR[[#This Row],[ΔC   (mg L-1)]])/stableSSBR[HRT 
(h)]*24/1000)</f>
        <v>0.43950299999999992</v>
      </c>
      <c r="AK67" s="6">
        <f>IF(IFERROR((Influent[[#This Row],[NH4-N (mg L-1)]])*stableSSBR[ARE 
(%)]/stableSSBR[HRT 
(h)]*24/1000,0)&lt;0,0,IFERROR((Influent[[#This Row],[NH4-N (mg L-1)]])*stableSSBR[ARE 
(%)]/stableSSBR[HRT 
(h)]*24/1000,0))</f>
        <v>0.35923408000000001</v>
      </c>
      <c r="AL67" s="20">
        <f>Influent[[#This Row],[TN (mg L-1)]]/stableSSBR[[#This Row],[HRT 
(h)]]*24/1000</f>
        <v>0.41836154289999988</v>
      </c>
      <c r="AM67" s="20">
        <f>stableSSBR[[#This Row],[NLR 
(kg N m-3 d-1)]]*stableSSBR[[#This Row],[NRE 
(%)]]</f>
        <v>0.34637163289999989</v>
      </c>
      <c r="AN67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0.85898167006109982</v>
      </c>
      <c r="AO67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0.82792416936561597</v>
      </c>
      <c r="AP67" s="6"/>
      <c r="AQ67" s="276"/>
      <c r="AR67" s="6">
        <f>stableSSBR[[#This Row],[NH4-N 
(mg L-1)]]-20</f>
        <v>153.1</v>
      </c>
      <c r="AS67" s="6">
        <f>stableSSBR[[#This Row],[Ammonia residual to reach target]]*2.19</f>
        <v>335.28899999999999</v>
      </c>
      <c r="AT67" s="6">
        <f>stableSSBR[[#This Row],[Alkalinity 
(mg CaCO3 L-1) ]]-stableSSBR[[#This Row],[Alkalinity need]]-70</f>
        <v>253.71100000000001</v>
      </c>
    </row>
    <row r="68" spans="1:47" x14ac:dyDescent="0.3">
      <c r="A68" s="3">
        <v>43391</v>
      </c>
      <c r="B68" s="29">
        <v>65</v>
      </c>
      <c r="C68" s="27"/>
      <c r="D68" s="28"/>
      <c r="E68" s="42"/>
      <c r="F68" s="163"/>
      <c r="G68" s="41"/>
      <c r="H68" s="28"/>
      <c r="I68" s="28"/>
      <c r="J68" s="41"/>
      <c r="K68" s="41">
        <v>6340</v>
      </c>
      <c r="L68" s="41">
        <v>2895</v>
      </c>
      <c r="U68" s="6"/>
      <c r="V68" s="6"/>
      <c r="W68" s="6"/>
      <c r="Z68" s="6"/>
      <c r="AA68" s="4"/>
      <c r="AB68" s="21"/>
      <c r="AC68" s="48"/>
      <c r="AD68" s="48"/>
      <c r="AE68" s="20"/>
      <c r="AF68" s="20"/>
      <c r="AG68" s="129"/>
      <c r="AH68" s="19"/>
      <c r="AI68" s="20"/>
      <c r="AJ68" s="20"/>
      <c r="AK68" s="6"/>
      <c r="AL68" s="20"/>
      <c r="AM68" s="20"/>
      <c r="AN68" s="26"/>
      <c r="AO68" s="26"/>
      <c r="AP68" s="6"/>
      <c r="AQ68" s="276"/>
      <c r="AR68" s="6"/>
      <c r="AS68" s="6"/>
      <c r="AT68" s="6"/>
      <c r="AU68" s="29" t="s">
        <v>557</v>
      </c>
    </row>
    <row r="69" spans="1:47" x14ac:dyDescent="0.3">
      <c r="A69" s="3">
        <v>43392</v>
      </c>
      <c r="B69" s="29">
        <v>66</v>
      </c>
      <c r="C69" s="27"/>
      <c r="D69" s="28"/>
      <c r="E69" s="42"/>
      <c r="F69" s="163"/>
      <c r="G69" s="41"/>
      <c r="H69" s="28"/>
      <c r="I69" s="28"/>
      <c r="J69" s="41"/>
      <c r="K69" s="41">
        <f>stableSSBR[[#This Row],[MLVSS 
(mg L-1)]]/0.49</f>
        <v>5061.2244897959181</v>
      </c>
      <c r="L69" s="41">
        <f>1240*2</f>
        <v>2480</v>
      </c>
      <c r="U69" s="6"/>
      <c r="V69" s="6"/>
      <c r="W69" s="6"/>
      <c r="Z69" s="6"/>
      <c r="AA69" s="4"/>
      <c r="AB69" s="21"/>
      <c r="AC69" s="48"/>
      <c r="AD69" s="48"/>
      <c r="AE69" s="20"/>
      <c r="AF69" s="20"/>
      <c r="AG69" s="129"/>
      <c r="AH69" s="19"/>
      <c r="AI69" s="20"/>
      <c r="AJ69" s="20"/>
      <c r="AK69" s="6"/>
      <c r="AL69" s="20"/>
      <c r="AM69" s="20"/>
      <c r="AN69" s="26"/>
      <c r="AO69" s="26"/>
      <c r="AP69" s="6">
        <v>6.8000000000000005E-2</v>
      </c>
      <c r="AQ69" s="276">
        <f>stableSSBR[[#This Row],[SAA 
(g N g VSS-1 d-1)]]/MAX(stableSSBR[SAA 
(g N g VSS-1 d-1)])</f>
        <v>1</v>
      </c>
      <c r="AR69" s="6"/>
      <c r="AS69" s="6"/>
      <c r="AT69" s="6"/>
    </row>
    <row r="70" spans="1:47" x14ac:dyDescent="0.3">
      <c r="A70" s="3">
        <v>43393</v>
      </c>
      <c r="B70" s="29">
        <v>67</v>
      </c>
      <c r="C70" s="27"/>
      <c r="D70" s="28"/>
      <c r="E70" s="42"/>
      <c r="F70" s="163"/>
      <c r="G70" s="41"/>
      <c r="H70" s="28"/>
      <c r="I70" s="28"/>
      <c r="J70" s="41"/>
      <c r="K70" s="41"/>
      <c r="L70" s="41"/>
      <c r="U70" s="6"/>
      <c r="V70" s="6"/>
      <c r="W70" s="6"/>
      <c r="Z70" s="6"/>
      <c r="AA70" s="4"/>
      <c r="AB70" s="21"/>
      <c r="AC70" s="48"/>
      <c r="AD70" s="48"/>
      <c r="AE70" s="20"/>
      <c r="AF70" s="20"/>
      <c r="AG70" s="129"/>
      <c r="AH70" s="19"/>
      <c r="AI70" s="20"/>
      <c r="AJ70" s="20"/>
      <c r="AK70" s="6"/>
      <c r="AL70" s="20"/>
      <c r="AM70" s="20"/>
      <c r="AN70" s="26"/>
      <c r="AO70" s="26"/>
      <c r="AP70" s="6"/>
      <c r="AQ70" s="6"/>
      <c r="AR70" s="6"/>
      <c r="AS70" s="6"/>
      <c r="AT70" s="6"/>
    </row>
    <row r="71" spans="1:47" x14ac:dyDescent="0.3">
      <c r="A71" s="3">
        <v>43394</v>
      </c>
      <c r="B71" s="29">
        <v>68</v>
      </c>
      <c r="C71" s="27"/>
      <c r="D71" s="28"/>
      <c r="E71" s="42"/>
      <c r="F71" s="163"/>
      <c r="G71" s="41"/>
      <c r="H71" s="28"/>
      <c r="I71" s="28"/>
      <c r="J71" s="41"/>
      <c r="K71" s="41"/>
      <c r="L71" s="41"/>
      <c r="U71" s="6"/>
      <c r="V71" s="6"/>
      <c r="W71" s="6"/>
      <c r="Z71" s="6"/>
      <c r="AA71" s="4"/>
      <c r="AB71" s="21"/>
      <c r="AC71" s="48"/>
      <c r="AD71" s="48"/>
      <c r="AE71" s="20"/>
      <c r="AF71" s="20"/>
      <c r="AG71" s="129"/>
      <c r="AH71" s="19"/>
      <c r="AI71" s="20"/>
      <c r="AJ71" s="20"/>
      <c r="AK71" s="6"/>
      <c r="AL71" s="20"/>
      <c r="AM71" s="20"/>
      <c r="AN71" s="26"/>
      <c r="AO71" s="26"/>
      <c r="AP71" s="6"/>
      <c r="AQ71" s="6"/>
      <c r="AR71" s="6"/>
      <c r="AS71" s="6"/>
      <c r="AT71" s="6"/>
    </row>
    <row r="72" spans="1:47" x14ac:dyDescent="0.3">
      <c r="A72" s="3">
        <v>43395</v>
      </c>
      <c r="B72" s="29">
        <v>69</v>
      </c>
      <c r="C72" s="27"/>
      <c r="D72" s="28"/>
      <c r="E72" s="42"/>
      <c r="F72" s="163"/>
      <c r="G72" s="41"/>
      <c r="H72" s="28"/>
      <c r="I72" s="28"/>
      <c r="J72" s="41"/>
      <c r="K72" s="41">
        <v>7000</v>
      </c>
      <c r="L72" s="41">
        <v>2210</v>
      </c>
      <c r="U72" s="6"/>
      <c r="V72" s="6"/>
      <c r="W72" s="6"/>
      <c r="Z72" s="6"/>
      <c r="AA72" s="4"/>
      <c r="AB72" s="21"/>
      <c r="AC72" s="48"/>
      <c r="AD72" s="48"/>
      <c r="AE72" s="20"/>
      <c r="AF72" s="20"/>
      <c r="AG72" s="129"/>
      <c r="AH72" s="19"/>
      <c r="AI72" s="20"/>
      <c r="AJ72" s="20"/>
      <c r="AK72" s="6"/>
      <c r="AL72" s="20"/>
      <c r="AM72" s="20"/>
      <c r="AN72" s="26"/>
      <c r="AO72" s="26"/>
      <c r="AP72" s="6"/>
      <c r="AQ72" s="6"/>
      <c r="AR72" s="6"/>
      <c r="AS72" s="6"/>
      <c r="AT72" s="6"/>
    </row>
    <row r="73" spans="1:47" x14ac:dyDescent="0.3">
      <c r="A73" s="3">
        <v>43396</v>
      </c>
      <c r="B73" s="29">
        <v>70</v>
      </c>
      <c r="C73" s="27">
        <v>680</v>
      </c>
      <c r="D73" s="28">
        <f t="shared" si="2"/>
        <v>16.32</v>
      </c>
      <c r="E73" s="42">
        <v>1</v>
      </c>
      <c r="F73" s="163">
        <v>4</v>
      </c>
      <c r="G73" s="41">
        <f>IFERROR(Information!$R$40/(stableSSBR[[#This Row],[Flow 
(L h-1)]]*stableSSBR[[#This Row],[Batch cycles]]*stableSSBR[[#This Row],[Cycle duration 
(h)]]/1000)*24,0)</f>
        <v>70.588235294117638</v>
      </c>
      <c r="H73" s="28">
        <v>1.6968011126564791E-2</v>
      </c>
      <c r="I73" s="28">
        <v>7.118358831710724</v>
      </c>
      <c r="J73" s="41">
        <v>21.545000000000002</v>
      </c>
      <c r="K73" s="41"/>
      <c r="L73" s="41"/>
      <c r="M73" s="29">
        <v>1605</v>
      </c>
      <c r="N73" s="29">
        <f>stableSSBR[[#This Row],[COD 
(mg L-1)]]*Information!$AK$41</f>
        <v>1300.0500000000002</v>
      </c>
      <c r="O73" s="29">
        <v>666</v>
      </c>
      <c r="P73" s="29">
        <v>7.6</v>
      </c>
      <c r="Q73" s="29">
        <v>146.69999999999999</v>
      </c>
      <c r="R73" s="29">
        <v>32</v>
      </c>
      <c r="S73" s="29">
        <v>3.07</v>
      </c>
      <c r="T73" s="29">
        <v>27</v>
      </c>
      <c r="U73" s="6">
        <f>stableSSBR[[#This Row],[NH4-N 
(mg L-1)]]*1.288</f>
        <v>191.77032</v>
      </c>
      <c r="V73" s="6">
        <f>(stableSSBR[[#This Row],[NO3-N 
(mg L-1)]])*4.426</f>
        <v>46.247274000000012</v>
      </c>
      <c r="W73" s="6">
        <f>stableSSBR[[#This Row],[NO2-N 
(mg L-1)]]*3.284</f>
        <v>54.353483999999995</v>
      </c>
      <c r="X73" s="29">
        <v>148.88999999999999</v>
      </c>
      <c r="Y73" s="29">
        <v>16.550999999999998</v>
      </c>
      <c r="Z73" s="6">
        <f>IF(stableSSBR[[#This Row],[TON 
(mg L-1)]]-stableSSBR[[#This Row],[NO2-N 
(mg L-1)]]&lt;0,0.19,stableSSBR[[#This Row],[TON 
(mg L-1)]]-stableSSBR[[#This Row],[NO2-N 
(mg L-1)]])</f>
        <v>10.449000000000002</v>
      </c>
      <c r="AA73" s="4">
        <f>SUM(stableSSBR[[#This Row],[NO3-N 
(mg L-1)]],stableSSBR[[#This Row],[NO2-N 
(mg L-1)]],stableSSBR[[#This Row],[NH4-N 
(mg L-1)]])</f>
        <v>175.89</v>
      </c>
      <c r="AB73" s="21">
        <f>IF(IFERROR(stableSSBR[[#This Row],[NO3-N 
(mg L-1)]]/(Influent[[#This Row],[NH4-N (mg L-1)]]-stableSSBR[[#This Row],[NH4-N 
(mg L-1)]]),0)&lt;0,0,IFERROR(stableSSBR[[#This Row],[NO3-N 
(mg L-1)]]/(Influent[[#This Row],[NH4-N (mg L-1)]]-stableSSBR[[#This Row],[NH4-N 
(mg L-1)]]),0))</f>
        <v>9.6205725018644519E-3</v>
      </c>
      <c r="AC73" s="48">
        <f>IF(IFERROR(stableSSBR[[#This Row],[NO2-N 
(mg L-1)]]/stableSSBR[[#This Row],[NH4-N 
(mg L-1)]],0)&lt;0,0,IFERROR(stableSSBR[[#This Row],[NO2-N 
(mg L-1)]]/stableSSBR[[#This Row],[NH4-N 
(mg L-1)]],0))</f>
        <v>0.11116260326415474</v>
      </c>
      <c r="AD73" s="48">
        <f>stableSSBR[[#This Row],[NO2-N 
(mg L-1)]]/(stableSSBR[[#This Row],[NO3-N 
(mg L-1)]]+stableSSBR[[#This Row],[NO2-N 
(mg L-1)]])</f>
        <v>0.61299999999999999</v>
      </c>
      <c r="AE73" s="20">
        <f>46/14*stableSSBR[[#This Row],[NO2-N 
(mg L-1)]]/(EXP(-2300/(stableSSBR[[#This Row],[Temp. 
(°C)]]+273))*10^(stableSSBR[[#This Row],[pHreactor]]))</f>
        <v>1.0194139150248076E-2</v>
      </c>
      <c r="AF73" s="20">
        <f>17/14*(stableSSBR[NH4-N 
(mg L-1)]*10^stableSSBR[[#This Row],[pHreactor]])/(EXP((6344/(273+stableSSBR[[#This Row],[Temp. 
(°C)]])))+10^stableSSBR[pHreactor])</f>
        <v>1.0448672299388675</v>
      </c>
      <c r="AG73" s="129">
        <f>IF(Influent[[#This Row],[NH4-N (mg L-1)]]-(stableSSBR[[#This Row],[NH4-N 
(mg L-1)]]+stableSSBR[[#This Row],[NO3-N 
(mg L-1)]]+stableSSBR[[#This Row],[NO2-N 
(mg L-1)]])&lt;0,0,Influent[[#This Row],[NH4-N (mg L-1)]]-(stableSSBR[[#This Row],[NH4-N 
(mg L-1)]]+stableSSBR[[#This Row],[NO3-N 
(mg L-1)]]+stableSSBR[[#This Row],[NO2-N 
(mg L-1)]]))</f>
        <v>1059.1100000000001</v>
      </c>
      <c r="AH73" s="19">
        <f>IFERROR(IF(Influent[[#This Row],[COD (mg L-1)]]-stableSSBR[[#This Row],[COD 
(mg L-1)]]&lt;0,0,Influent[[#This Row],[COD (mg L-1)]]-stableSSBR[[#This Row],[COD 
(mg L-1)]]),0)</f>
        <v>590</v>
      </c>
      <c r="AI73" s="20">
        <f>Influent[[#This Row],[COD (mg L-1)]]/stableSSBR[HRT 
(h)]*24/1000</f>
        <v>0.74630000000000019</v>
      </c>
      <c r="AJ73" s="20">
        <f>IF(((stableSSBR[[#This Row],[ΔC   (mg L-1)]])/stableSSBR[[#This Row],[HRT 
(h)]]*24/1000) &lt;0,0, (stableSSBR[[#This Row],[ΔC   (mg L-1)]])/stableSSBR[HRT 
(h)]*24/1000)</f>
        <v>0.20060000000000003</v>
      </c>
      <c r="AK73" s="6">
        <f>IF(IFERROR((Influent[[#This Row],[NH4-N (mg L-1)]])*stableSSBR[ARE 
(%)]/stableSSBR[HRT 
(h)]*24/1000,0)&lt;0,0,IFERROR((Influent[[#This Row],[NH4-N (mg L-1)]])*stableSSBR[ARE 
(%)]/stableSSBR[HRT 
(h)]*24/1000,0))</f>
        <v>0.36927740000000003</v>
      </c>
      <c r="AL73" s="20">
        <f>Influent[[#This Row],[TN (mg L-1)]]/stableSSBR[[#This Row],[HRT 
(h)]]*24/1000</f>
        <v>0.41996800000000006</v>
      </c>
      <c r="AM73" s="20">
        <f>stableSSBR[[#This Row],[NLR 
(kg N m-3 d-1)]]*stableSSBR[[#This Row],[NRE 
(%)]]</f>
        <v>0.36016540000000002</v>
      </c>
      <c r="AN73" s="26">
        <f>IFERROR(IF((Influent[[#This Row],[NH4-N (mg L-1)]]-stableSSBR[[#This Row],[NH4-N 
(mg L-1)]])/Influent[[#This Row],[NH4-N (mg L-1)]]&lt;0, 0,(Influent[[#This Row],[NH4-N (mg L-1)]]-stableSSBR[[#This Row],[NH4-N 
(mg L-1)]])/Influent[[#This Row],[NH4-N (mg L-1)]]), 0)</f>
        <v>0.87944129554655881</v>
      </c>
      <c r="AO73" s="26">
        <f>IF(IFERROR((Influent[[#This Row],[TN (mg L-1)]]-stableSSBR[[#This Row],[TN 
(mg L-1)]])/Influent[[#This Row],[TN (mg L-1)]],0)&lt;0,0,IFERROR((Influent[[#This Row],[TN (mg L-1)]]-stableSSBR[[#This Row],[TN 
(mg L-1)]])/Influent[[#This Row],[TN (mg L-1)]],0))</f>
        <v>0.85760200777202067</v>
      </c>
      <c r="AP73" s="6"/>
      <c r="AQ73" s="6"/>
      <c r="AR73" s="6">
        <f>stableSSBR[[#This Row],[NH4-N 
(mg L-1)]]-20</f>
        <v>128.88999999999999</v>
      </c>
      <c r="AS73" s="6">
        <f>stableSSBR[[#This Row],[Ammonia residual to reach target]]*2.19</f>
        <v>282.26909999999998</v>
      </c>
      <c r="AT73" s="6">
        <f>stableSSBR[[#This Row],[Alkalinity 
(mg CaCO3 L-1) ]]-stableSSBR[[#This Row],[Alkalinity need]]-70</f>
        <v>313.73090000000002</v>
      </c>
    </row>
    <row r="74" spans="1:47" x14ac:dyDescent="0.3">
      <c r="A74" s="3">
        <v>43397</v>
      </c>
      <c r="B74" s="29">
        <v>71</v>
      </c>
      <c r="C74" s="27"/>
      <c r="D74" s="28"/>
      <c r="E74" s="42"/>
      <c r="F74" s="163"/>
      <c r="G74" s="41"/>
      <c r="H74" s="28"/>
      <c r="I74" s="28"/>
      <c r="J74" s="41"/>
      <c r="K74" s="41"/>
      <c r="L74" s="41"/>
      <c r="U74" s="6"/>
      <c r="V74" s="6"/>
      <c r="W74" s="6"/>
      <c r="Z74" s="6"/>
      <c r="AA74" s="4"/>
      <c r="AB74" s="21"/>
      <c r="AC74" s="48"/>
      <c r="AD74" s="48"/>
      <c r="AE74" s="20"/>
      <c r="AF74" s="20"/>
      <c r="AG74" s="129"/>
      <c r="AH74" s="19"/>
      <c r="AI74" s="20"/>
      <c r="AJ74" s="20"/>
      <c r="AK74" s="6"/>
      <c r="AL74" s="20"/>
      <c r="AM74" s="20"/>
      <c r="AN74" s="26"/>
      <c r="AO74" s="26"/>
      <c r="AP74" s="6"/>
      <c r="AQ74" s="6"/>
      <c r="AR74" s="6"/>
      <c r="AS74" s="6"/>
      <c r="AT74" s="6"/>
    </row>
  </sheetData>
  <mergeCells count="2">
    <mergeCell ref="C2:J2"/>
    <mergeCell ref="M2:AA2"/>
  </mergeCells>
  <conditionalFormatting sqref="A35:AO35 A36:AS53 A54:J54 L54:AS54 A55:AS74 A4:AT19 A20:AS34 AT20:AT74">
    <cfRule type="cellIs" dxfId="304" priority="6" operator="lessThanOrEqual">
      <formula>0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greaterThanOrEqual" id="{E5163EB0-2C14-4E4A-956D-D2ECD89F0787}">
            <xm:f>Information!$AK$48</xm:f>
            <x14:dxf>
              <font>
                <b/>
                <i/>
                <color theme="5" tint="-0.499984740745262"/>
              </font>
              <fill>
                <patternFill>
                  <bgColor theme="9" tint="0.79998168889431442"/>
                </patternFill>
              </fill>
            </x14:dxf>
          </x14:cfRule>
          <xm:sqref>AB3:AB75</xm:sqref>
        </x14:conditionalFormatting>
        <x14:conditionalFormatting xmlns:xm="http://schemas.microsoft.com/office/excel/2006/main">
          <x14:cfRule type="cellIs" priority="4" operator="greaterThanOrEqual" id="{3B70AE82-8070-4715-A3A2-35FD99AC6B10}">
            <xm:f>Information!$AK$49</xm:f>
            <x14:dxf>
              <font>
                <b/>
                <i/>
                <color theme="8" tint="-0.499984740745262"/>
              </font>
              <fill>
                <patternFill>
                  <bgColor theme="8" tint="0.59996337778862885"/>
                </patternFill>
              </fill>
            </x14:dxf>
          </x14:cfRule>
          <xm:sqref>AC3:AC74</xm:sqref>
        </x14:conditionalFormatting>
        <x14:conditionalFormatting xmlns:xm="http://schemas.microsoft.com/office/excel/2006/main">
          <x14:cfRule type="cellIs" priority="3" operator="greaterThanOrEqual" id="{D32CE66C-9DCC-4BD1-9B5E-19ED2FC577B2}">
            <xm:f>Information!$Y$44</xm:f>
            <x14:dxf>
              <font>
                <b/>
                <i/>
                <color theme="8" tint="-0.499984740745262"/>
              </font>
              <fill>
                <patternFill>
                  <bgColor theme="8" tint="0.59996337778862885"/>
                </patternFill>
              </fill>
            </x14:dxf>
          </x14:cfRule>
          <xm:sqref>H4:H74</xm:sqref>
        </x14:conditionalFormatting>
        <x14:conditionalFormatting xmlns:xm="http://schemas.microsoft.com/office/excel/2006/main">
          <x14:cfRule type="cellIs" priority="2" operator="greaterThanOrEqual" id="{324A4E80-5C7F-4422-9C21-5F96AE8A1FAA}">
            <xm:f>Information!$H$84</xm:f>
            <x14:dxf>
              <font>
                <b/>
                <i/>
                <color theme="7" tint="-0.499984740745262"/>
              </font>
              <fill>
                <patternFill>
                  <bgColor theme="7" tint="0.59996337778862885"/>
                </patternFill>
              </fill>
            </x14:dxf>
          </x14:cfRule>
          <xm:sqref>AE4:AE74</xm:sqref>
        </x14:conditionalFormatting>
        <x14:conditionalFormatting xmlns:xm="http://schemas.microsoft.com/office/excel/2006/main">
          <x14:cfRule type="cellIs" priority="1" operator="greaterThan" id="{9F50AB37-1D54-4230-8D65-46B2EEE343B5}">
            <xm:f>Information!$B$83</xm:f>
            <x14:dxf>
              <font>
                <b/>
                <i/>
                <color theme="7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AF4:AF74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59999389629810485"/>
  </sheetPr>
  <dimension ref="A1:BD90"/>
  <sheetViews>
    <sheetView zoomScale="70" zoomScaleNormal="70" workbookViewId="0">
      <pane xSplit="2" ySplit="3" topLeftCell="G59" activePane="bottomRight" state="frozen"/>
      <selection activeCell="F26" sqref="F26"/>
      <selection pane="topRight" activeCell="F26" sqref="F26"/>
      <selection pane="bottomLeft" activeCell="F26" sqref="F26"/>
      <selection pane="bottomRight" activeCell="W81" sqref="W81"/>
    </sheetView>
  </sheetViews>
  <sheetFormatPr defaultColWidth="8.88671875" defaultRowHeight="14.4" x14ac:dyDescent="0.3"/>
  <cols>
    <col min="1" max="1" width="17.33203125" style="29" customWidth="1"/>
    <col min="2" max="2" width="12.109375" style="29" customWidth="1"/>
    <col min="3" max="3" width="11.21875" style="29" customWidth="1"/>
    <col min="4" max="4" width="12" style="29" customWidth="1"/>
    <col min="5" max="5" width="7.5546875" style="29" customWidth="1"/>
    <col min="6" max="6" width="7.6640625" style="29" customWidth="1"/>
    <col min="7" max="7" width="8.33203125" style="29" customWidth="1"/>
    <col min="8" max="10" width="9" style="29" customWidth="1"/>
    <col min="11" max="12" width="7.5546875" style="29" customWidth="1"/>
    <col min="13" max="13" width="15" style="29" customWidth="1"/>
    <col min="14" max="14" width="7.5546875" style="29" customWidth="1"/>
    <col min="15" max="15" width="9.21875" style="29" customWidth="1"/>
    <col min="16" max="16" width="8.109375" style="29" customWidth="1"/>
    <col min="17" max="17" width="8" style="29" customWidth="1"/>
    <col min="18" max="18" width="7.44140625" style="29" customWidth="1"/>
    <col min="19" max="19" width="7.21875" style="29" hidden="1" customWidth="1"/>
    <col min="20" max="20" width="7.44140625" style="29" hidden="1" customWidth="1"/>
    <col min="21" max="21" width="9.5546875" style="29" hidden="1" customWidth="1"/>
    <col min="22" max="22" width="7.5546875" style="29" customWidth="1"/>
    <col min="23" max="23" width="7.44140625" style="29" customWidth="1"/>
    <col min="24" max="24" width="8.88671875" style="29" customWidth="1"/>
    <col min="25" max="25" width="7.5546875" style="29" customWidth="1"/>
    <col min="26" max="26" width="8.88671875" style="29"/>
    <col min="27" max="28" width="9.109375" style="29" customWidth="1"/>
    <col min="29" max="30" width="8.88671875" style="29"/>
    <col min="31" max="31" width="0" style="29" hidden="1" customWidth="1"/>
    <col min="32" max="32" width="13.33203125" style="29" hidden="1" customWidth="1"/>
    <col min="33" max="33" width="13.44140625" style="29" hidden="1" customWidth="1"/>
    <col min="34" max="34" width="12.109375" style="29" hidden="1" customWidth="1"/>
    <col min="35" max="35" width="11" style="29" hidden="1" customWidth="1"/>
    <col min="36" max="36" width="11.6640625" style="29" hidden="1" customWidth="1"/>
    <col min="37" max="37" width="12.44140625" style="29" hidden="1" customWidth="1"/>
    <col min="38" max="38" width="15.21875" style="29" customWidth="1"/>
    <col min="39" max="39" width="15.6640625" style="29" customWidth="1"/>
    <col min="40" max="40" width="16.44140625" style="29" customWidth="1"/>
    <col min="41" max="41" width="15" style="29" customWidth="1"/>
    <col min="42" max="44" width="12.5546875" style="29" customWidth="1"/>
    <col min="45" max="45" width="16.88671875" style="29" bestFit="1" customWidth="1"/>
    <col min="46" max="46" width="18.5546875" style="29" bestFit="1" customWidth="1"/>
    <col min="47" max="47" width="18.88671875" style="29" bestFit="1" customWidth="1"/>
    <col min="48" max="48" width="16.44140625" style="29" bestFit="1" customWidth="1"/>
    <col min="49" max="53" width="16.44140625" style="29" customWidth="1"/>
    <col min="54" max="54" width="71.6640625" style="29" customWidth="1"/>
    <col min="55" max="55" width="8.88671875" style="29"/>
    <col min="56" max="56" width="13.44140625" style="29" customWidth="1"/>
    <col min="57" max="16384" width="8.88671875" style="29"/>
  </cols>
  <sheetData>
    <row r="1" spans="1:54" ht="20.399999999999999" thickBot="1" x14ac:dyDescent="0.45">
      <c r="A1" s="1" t="s">
        <v>246</v>
      </c>
      <c r="B1" s="1"/>
      <c r="C1" s="12"/>
      <c r="D1" s="12"/>
      <c r="E1" s="12"/>
      <c r="F1" s="5"/>
      <c r="G1" s="5"/>
      <c r="H1" s="5"/>
      <c r="I1" s="5"/>
      <c r="J1" s="5"/>
      <c r="K1" s="5"/>
      <c r="L1" s="5"/>
      <c r="N1" s="5"/>
      <c r="O1" s="5"/>
      <c r="P1" s="46"/>
      <c r="S1" s="46"/>
      <c r="T1" s="75"/>
      <c r="U1" s="75"/>
      <c r="V1" s="144"/>
      <c r="W1" s="144"/>
      <c r="X1" s="144"/>
      <c r="Y1" s="144"/>
      <c r="Z1" s="144"/>
      <c r="AA1" s="144"/>
      <c r="AB1" s="144"/>
      <c r="AC1" s="144"/>
      <c r="AI1" s="144"/>
      <c r="AJ1" s="144"/>
      <c r="AK1" s="144"/>
    </row>
    <row r="2" spans="1:54" ht="15" thickTop="1" x14ac:dyDescent="0.3">
      <c r="C2" s="334" t="s">
        <v>24</v>
      </c>
      <c r="D2" s="334"/>
      <c r="E2" s="334"/>
      <c r="F2" s="334"/>
      <c r="G2" s="334"/>
      <c r="H2" s="334"/>
      <c r="I2" s="230"/>
      <c r="J2" s="230"/>
      <c r="K2" s="296" t="s">
        <v>145</v>
      </c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</row>
    <row r="3" spans="1:54" ht="90" customHeight="1" x14ac:dyDescent="0.3">
      <c r="A3" s="2" t="s">
        <v>1</v>
      </c>
      <c r="B3" s="2" t="s">
        <v>353</v>
      </c>
      <c r="C3" s="24" t="s">
        <v>352</v>
      </c>
      <c r="D3" s="24" t="s">
        <v>351</v>
      </c>
      <c r="E3" s="24" t="s">
        <v>354</v>
      </c>
      <c r="F3" s="24" t="s">
        <v>151</v>
      </c>
      <c r="G3" s="24" t="s">
        <v>355</v>
      </c>
      <c r="H3" s="24" t="s">
        <v>356</v>
      </c>
      <c r="I3" s="24" t="s">
        <v>357</v>
      </c>
      <c r="J3" s="24" t="s">
        <v>358</v>
      </c>
      <c r="K3" s="78" t="s">
        <v>359</v>
      </c>
      <c r="L3" s="78" t="s">
        <v>342</v>
      </c>
      <c r="M3" s="78" t="s">
        <v>348</v>
      </c>
      <c r="N3" s="78" t="s">
        <v>152</v>
      </c>
      <c r="O3" s="78" t="s">
        <v>349</v>
      </c>
      <c r="P3" s="78" t="s">
        <v>350</v>
      </c>
      <c r="Q3" s="78" t="s">
        <v>360</v>
      </c>
      <c r="R3" s="78" t="s">
        <v>361</v>
      </c>
      <c r="S3" s="78" t="s">
        <v>140</v>
      </c>
      <c r="T3" s="78" t="s">
        <v>128</v>
      </c>
      <c r="U3" s="78" t="s">
        <v>129</v>
      </c>
      <c r="V3" s="78" t="s">
        <v>362</v>
      </c>
      <c r="W3" s="78" t="s">
        <v>363</v>
      </c>
      <c r="X3" s="78" t="s">
        <v>364</v>
      </c>
      <c r="Y3" s="78" t="s">
        <v>365</v>
      </c>
      <c r="Z3" s="2" t="s">
        <v>150</v>
      </c>
      <c r="AA3" s="2" t="s">
        <v>157</v>
      </c>
      <c r="AB3" s="2" t="s">
        <v>366</v>
      </c>
      <c r="AC3" s="2" t="s">
        <v>367</v>
      </c>
      <c r="AD3" s="2" t="s">
        <v>368</v>
      </c>
      <c r="AE3" s="2" t="s">
        <v>224</v>
      </c>
      <c r="AF3" s="2" t="s">
        <v>223</v>
      </c>
      <c r="AG3" s="2" t="s">
        <v>225</v>
      </c>
      <c r="AH3" s="2" t="s">
        <v>226</v>
      </c>
      <c r="AI3" s="47" t="s">
        <v>149</v>
      </c>
      <c r="AJ3" s="2" t="s">
        <v>160</v>
      </c>
      <c r="AK3" s="2" t="s">
        <v>228</v>
      </c>
      <c r="AL3" s="2" t="s">
        <v>343</v>
      </c>
      <c r="AM3" s="2" t="s">
        <v>344</v>
      </c>
      <c r="AN3" s="2" t="s">
        <v>345</v>
      </c>
      <c r="AO3" s="2" t="s">
        <v>346</v>
      </c>
      <c r="AP3" s="2" t="s">
        <v>347</v>
      </c>
      <c r="AQ3" s="2" t="s">
        <v>369</v>
      </c>
      <c r="AR3" s="2" t="s">
        <v>370</v>
      </c>
      <c r="AS3" s="2" t="s">
        <v>575</v>
      </c>
      <c r="AT3" s="2" t="s">
        <v>573</v>
      </c>
      <c r="AU3" s="2" t="s">
        <v>574</v>
      </c>
      <c r="AV3" s="2" t="s">
        <v>572</v>
      </c>
      <c r="AW3" s="2" t="s">
        <v>624</v>
      </c>
      <c r="AX3" s="2" t="s">
        <v>625</v>
      </c>
      <c r="AY3" s="47" t="s">
        <v>613</v>
      </c>
      <c r="AZ3" s="47" t="s">
        <v>614</v>
      </c>
      <c r="BA3" s="47" t="s">
        <v>615</v>
      </c>
      <c r="BB3" s="77" t="s">
        <v>30</v>
      </c>
    </row>
    <row r="4" spans="1:54" x14ac:dyDescent="0.3">
      <c r="A4" s="128">
        <v>43327</v>
      </c>
      <c r="B4" s="29">
        <v>1</v>
      </c>
      <c r="C4" s="42">
        <v>4.1236983684564956</v>
      </c>
      <c r="D4" s="28">
        <f>stableMED[[#This Row],[Flow 
(L h-1)]]/1000*24</f>
        <v>9.8968760842955888E-2</v>
      </c>
      <c r="E4" s="42">
        <f>IF(IFERROR(Information!$R$47/stableMED[[#This Row],[Flow 
(m3 d-1)]]*24,0)&lt;0,0,IFERROR(Information!$R$47/stableMED[[#This Row],[Flow 
(m3 d-1)]]*24,0))</f>
        <v>291.00091538682574</v>
      </c>
      <c r="F4" s="42">
        <v>7.6885653477251346</v>
      </c>
      <c r="G4" s="42">
        <v>0.18035838741864732</v>
      </c>
      <c r="H4" s="41">
        <v>28.329758646090134</v>
      </c>
      <c r="I4" s="42"/>
      <c r="J4" s="42"/>
      <c r="K4" s="29">
        <v>949</v>
      </c>
      <c r="L4" s="29">
        <f>stableMED[[#This Row],[COD 
(mg L-1)]]*Information!$AK$42</f>
        <v>673.79</v>
      </c>
      <c r="M4" s="29">
        <v>1631</v>
      </c>
      <c r="N4" s="29">
        <v>8</v>
      </c>
      <c r="O4" s="29">
        <v>208</v>
      </c>
      <c r="P4" s="29">
        <v>104</v>
      </c>
      <c r="Q4" s="29">
        <v>1.78</v>
      </c>
      <c r="R4" s="29">
        <v>0.2</v>
      </c>
      <c r="S4" s="22">
        <f>stableMED[[#This Row],[NH4-N 
(mg L-1)]]*1.288</f>
        <v>442.84016000000003</v>
      </c>
      <c r="T4" s="6">
        <f>stableMED[[#This Row],[NO2-N 
(mg L-1)]]*3.284</f>
        <v>2.6272E-2</v>
      </c>
      <c r="U4" s="6">
        <f>(stableMED[[#This Row],[NO3-N 
(mg L-1)]])*4.426</f>
        <v>0.8497920000000001</v>
      </c>
      <c r="V4" s="29">
        <v>343.82</v>
      </c>
      <c r="W4" s="29">
        <v>8.0000000000000002E-3</v>
      </c>
      <c r="X4" s="29">
        <f>IF(stableMED[[#This Row],[TON 
(mg L-1)]]-stableMED[[#This Row],[NO2-N 
(mg L-1)]]&lt;0,0.192,stableMED[[#This Row],[TON 
(mg L-1)]]-stableMED[[#This Row],[NO2-N 
(mg L-1)]])</f>
        <v>0.192</v>
      </c>
      <c r="Y4" s="29">
        <f>SUM(stableMED[[#This Row],[NH4-N 
(mg L-1)]],stableMED[[#This Row],[NO3-N 
(mg L-1)]],stableMED[[#This Row],[NO2-N 
(mg L-1)]])</f>
        <v>344.02</v>
      </c>
      <c r="Z4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3.7121534356753411E-4</v>
      </c>
      <c r="AA4" s="48">
        <f>IF(IFERROR(stableMED[[#This Row],[NO2-N 
(mg L-1)]]/stableMED[[#This Row],[NH4-N 
(mg L-1)]],0)&lt;0,0,IFERROR(stableMED[[#This Row],[NO2-N 
(mg L-1)]]/stableMED[[#This Row],[NH4-N 
(mg L-1)]],0))</f>
        <v>2.3267989064045142E-5</v>
      </c>
      <c r="AB4" s="48">
        <f>stableMED[[#This Row],[NO2-N 
(mg L-1)]]/(stableMED[[#This Row],[NO3-N 
(mg L-1)]]+stableMED[[#This Row],[NO2-N 
(mg L-1)]])</f>
        <v>0.04</v>
      </c>
      <c r="AC4" s="20">
        <f>46/14*stableMED[[#This Row],[NO2-N 
(mg L-1)]]/(EXP(-2300/(stableMED[[#This Row],[Temp. 
(°C)]]+273))*10^(stableMED[[#This Row],[pHreactor]]))</f>
        <v>1.1118650624322386E-6</v>
      </c>
      <c r="AD4" s="6">
        <f>17/14*stableMED[NH4-N 
(mg L-1)]*10^stableMED[[#This Row],[pHreactor]]/(EXP((6344/(273+stableMED[[#This Row],[Temp. 
(°C)]])))+10^stableMED[pHreactor])</f>
        <v>14.154214912286712</v>
      </c>
      <c r="AE4" s="6">
        <f>Influent[[#This Row],[NH4-N (mg L-1)]]*stableMED[[#This Row],[Flow 
(m3 d-1)]]/(Information!$R$48*Information!$R$49)</f>
        <v>0.17753346215878901</v>
      </c>
      <c r="AF4" s="6">
        <f>(Influent[[#This Row],[NH4-N (mg L-1)]]-stableMED[[#This Row],[NH4-N 
(mg L-1)]])*stableMED[[#This Row],[Flow 
(m3 d-1)]]/(Information!$R$48*Information!$R$49)</f>
        <v>0.10664296350665343</v>
      </c>
      <c r="AG4" s="6">
        <f>Influent[[#This Row],[COD (mg L-1)]]*stableMED[[#This Row],[Flow 
(m3 d-1)]]/(Information!$R$48*Information!$R$49)</f>
        <v>0</v>
      </c>
      <c r="AH4" s="6">
        <f>(Influent[[#This Row],[COD (mg L-1)]]-stableMED[[#This Row],[COD 
(mg L-1)]])*stableMED[[#This Row],[Flow 
(m3 d-1)]]/(Information!$R$48*Information!$R$49)</f>
        <v>-0.19566948758326069</v>
      </c>
      <c r="AI4" s="6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517.02</v>
      </c>
      <c r="AJ4" s="6">
        <f>IFERROR(IF(Influent[[#This Row],[COD (mg L-1)]]-stableMED[[#This Row],[COD 
(mg L-1)]]&lt;0,0,Influent[[#This Row],[COD (mg L-1)]]-stableMED[[#This Row],[COD 
(mg L-1)]]),0)</f>
        <v>0</v>
      </c>
      <c r="AK4" s="6">
        <f>IFERROR(IF(Influent[[#This Row],[Alkalinity (mg CaCO3 L-1) ]]-stableMED[[#This Row],[Alkalinity 
(mg CaCO3 L-1) ]]&lt;0,0,Influent[[#This Row],[Alkalinity (mg CaCO3 L-1) ]]-stableMED[[#This Row],[Alkalinity 
(mg CaCO3 L-1) ]]),0)</f>
        <v>1378</v>
      </c>
      <c r="AL4" s="6"/>
      <c r="AM4" s="6"/>
      <c r="AN4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4.2657185402661377E-2</v>
      </c>
      <c r="AO4" s="6">
        <f>Influent[[#This Row],[TN (mg L-1)]]/stableMED[[#This Row],[HRT 
(h)]]*24/1000</f>
        <v>7.1175776105265445E-2</v>
      </c>
      <c r="AP4" s="6">
        <f>stableMED[[#This Row],[NRE 
(%)]]*stableMED[[#This Row],[NLR 
(kg N m-3 d-1)]]</f>
        <v>4.2803081850937369E-2</v>
      </c>
      <c r="AQ4" s="21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0.60069218619344056</v>
      </c>
      <c r="AR4" s="21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0.6013714804828223</v>
      </c>
      <c r="AS4" s="48"/>
      <c r="AT4" s="48"/>
      <c r="AU4" s="48"/>
      <c r="AV4" s="6"/>
      <c r="AW4" s="21"/>
      <c r="AX4" s="21"/>
      <c r="AY4" s="6">
        <f>stableMED[[#This Row],[NH4-N 
(mg L-1)]]-20</f>
        <v>323.82</v>
      </c>
      <c r="AZ4" s="6">
        <f>stableMED[[#This Row],[Ammonia residual to reach target]]*2.9</f>
        <v>939.07799999999997</v>
      </c>
      <c r="BA4" s="6">
        <f>stableMED[[#This Row],[Alkalinity 
(mg CaCO3 L-1) ]]-stableMED[[#This Row],[Alkalinity need]]-70</f>
        <v>621.92200000000003</v>
      </c>
    </row>
    <row r="5" spans="1:54" x14ac:dyDescent="0.3">
      <c r="A5" s="128">
        <v>43328</v>
      </c>
      <c r="B5" s="29">
        <v>2</v>
      </c>
      <c r="C5" s="151"/>
      <c r="D5" s="162"/>
      <c r="E5" s="42"/>
      <c r="F5" s="151"/>
      <c r="G5" s="151"/>
      <c r="H5" s="41"/>
      <c r="I5" s="152"/>
      <c r="J5" s="152"/>
      <c r="S5" s="4">
        <f>stableMED[[#This Row],[NH4-N 
(mg L-1)]]*1.288</f>
        <v>0</v>
      </c>
      <c r="T5" s="6">
        <f>stableMED[[#This Row],[NO2-N 
(mg L-1)]]*3.284</f>
        <v>0</v>
      </c>
      <c r="U5" s="6">
        <f>(stableMED[[#This Row],[NO3-N 
(mg L-1)]])*4.426</f>
        <v>0</v>
      </c>
      <c r="V5" s="6"/>
      <c r="W5" s="6"/>
      <c r="X5" s="4"/>
      <c r="Y5" s="4"/>
      <c r="Z5" s="89"/>
      <c r="AA5" s="48"/>
      <c r="AB5" s="48"/>
      <c r="AC5" s="20"/>
      <c r="AD5" s="6"/>
      <c r="AE5" s="6"/>
      <c r="AF5" s="6"/>
      <c r="AG5" s="6"/>
      <c r="AH5" s="6"/>
      <c r="AI5" s="48"/>
      <c r="AJ5" s="6"/>
      <c r="AK5" s="6"/>
      <c r="AL5" s="6"/>
      <c r="AM5" s="6"/>
      <c r="AN5" s="6"/>
      <c r="AO5" s="6"/>
      <c r="AP5" s="6"/>
      <c r="AQ5" s="26"/>
      <c r="AR5" s="26"/>
      <c r="AS5" s="48"/>
      <c r="AT5" s="48"/>
      <c r="AU5" s="48"/>
      <c r="AV5" s="6"/>
      <c r="AW5" s="21"/>
      <c r="AX5" s="21"/>
      <c r="AY5" s="6"/>
      <c r="AZ5" s="6"/>
      <c r="BA5" s="6"/>
    </row>
    <row r="6" spans="1:54" x14ac:dyDescent="0.3">
      <c r="A6" s="128">
        <v>43329</v>
      </c>
      <c r="B6" s="29">
        <v>3</v>
      </c>
      <c r="C6" s="151"/>
      <c r="D6" s="162"/>
      <c r="E6" s="42"/>
      <c r="F6" s="151"/>
      <c r="G6" s="151"/>
      <c r="H6" s="41"/>
      <c r="I6" s="152"/>
      <c r="J6" s="152"/>
      <c r="S6" s="4">
        <f>stableMED[[#This Row],[NH4-N 
(mg L-1)]]*1.288</f>
        <v>0</v>
      </c>
      <c r="T6" s="6">
        <f>stableMED[[#This Row],[NO2-N 
(mg L-1)]]*3.284</f>
        <v>0</v>
      </c>
      <c r="U6" s="6">
        <f>(stableMED[[#This Row],[NO3-N 
(mg L-1)]])*4.426</f>
        <v>0</v>
      </c>
      <c r="V6" s="6"/>
      <c r="W6" s="6"/>
      <c r="X6" s="4"/>
      <c r="Y6" s="4"/>
      <c r="Z6" s="89"/>
      <c r="AA6" s="48"/>
      <c r="AB6" s="48"/>
      <c r="AC6" s="20"/>
      <c r="AD6" s="6"/>
      <c r="AE6" s="6"/>
      <c r="AF6" s="6"/>
      <c r="AG6" s="6"/>
      <c r="AH6" s="6"/>
      <c r="AI6" s="48"/>
      <c r="AJ6" s="6"/>
      <c r="AK6" s="6"/>
      <c r="AL6" s="6"/>
      <c r="AM6" s="6"/>
      <c r="AN6" s="6"/>
      <c r="AO6" s="6"/>
      <c r="AP6" s="6"/>
      <c r="AQ6" s="26"/>
      <c r="AR6" s="26"/>
      <c r="AS6" s="48"/>
      <c r="AT6" s="48"/>
      <c r="AU6" s="48"/>
      <c r="AV6" s="6"/>
      <c r="AW6" s="21"/>
      <c r="AX6" s="21"/>
      <c r="AY6" s="6"/>
      <c r="AZ6" s="6"/>
      <c r="BA6" s="6"/>
    </row>
    <row r="7" spans="1:54" x14ac:dyDescent="0.3">
      <c r="A7" s="128">
        <v>43330</v>
      </c>
      <c r="B7" s="29">
        <v>4</v>
      </c>
      <c r="C7" s="151"/>
      <c r="D7" s="162"/>
      <c r="E7" s="42"/>
      <c r="F7" s="151"/>
      <c r="G7" s="151"/>
      <c r="H7" s="41"/>
      <c r="I7" s="152"/>
      <c r="J7" s="152"/>
      <c r="S7" s="4">
        <f>stableMED[[#This Row],[NH4-N 
(mg L-1)]]*1.288</f>
        <v>0</v>
      </c>
      <c r="T7" s="6">
        <f>stableMED[[#This Row],[NO2-N 
(mg L-1)]]*3.284</f>
        <v>0</v>
      </c>
      <c r="U7" s="6">
        <f>(stableMED[[#This Row],[NO3-N 
(mg L-1)]])*4.426</f>
        <v>0</v>
      </c>
      <c r="V7" s="6"/>
      <c r="W7" s="6"/>
      <c r="X7" s="4"/>
      <c r="Y7" s="4"/>
      <c r="Z7" s="89"/>
      <c r="AA7" s="48"/>
      <c r="AB7" s="48"/>
      <c r="AC7" s="20"/>
      <c r="AD7" s="6"/>
      <c r="AE7" s="6"/>
      <c r="AF7" s="6"/>
      <c r="AG7" s="6"/>
      <c r="AH7" s="6"/>
      <c r="AI7" s="48"/>
      <c r="AJ7" s="6"/>
      <c r="AK7" s="6"/>
      <c r="AL7" s="6"/>
      <c r="AM7" s="6"/>
      <c r="AN7" s="6"/>
      <c r="AO7" s="6"/>
      <c r="AP7" s="6"/>
      <c r="AQ7" s="26"/>
      <c r="AR7" s="26"/>
      <c r="AS7" s="48"/>
      <c r="AT7" s="48"/>
      <c r="AU7" s="48"/>
      <c r="AV7" s="6"/>
      <c r="AW7" s="21"/>
      <c r="AX7" s="21"/>
      <c r="AY7" s="6"/>
      <c r="AZ7" s="6"/>
      <c r="BA7" s="6"/>
    </row>
    <row r="8" spans="1:54" x14ac:dyDescent="0.3">
      <c r="A8" s="128">
        <v>43331</v>
      </c>
      <c r="B8" s="29">
        <v>5</v>
      </c>
      <c r="C8" s="151"/>
      <c r="D8" s="162"/>
      <c r="E8" s="42"/>
      <c r="F8" s="151"/>
      <c r="G8" s="151"/>
      <c r="H8" s="41"/>
      <c r="I8" s="130"/>
      <c r="J8" s="130"/>
      <c r="S8" s="4"/>
      <c r="T8" s="6"/>
      <c r="U8" s="6"/>
      <c r="V8" s="6"/>
      <c r="W8" s="6"/>
      <c r="X8" s="4"/>
      <c r="Y8" s="4"/>
      <c r="Z8" s="89"/>
      <c r="AA8" s="48"/>
      <c r="AB8" s="48"/>
      <c r="AC8" s="20"/>
      <c r="AD8" s="6"/>
      <c r="AE8" s="6"/>
      <c r="AF8" s="6"/>
      <c r="AG8" s="6"/>
      <c r="AH8" s="6"/>
      <c r="AI8" s="48"/>
      <c r="AJ8" s="6"/>
      <c r="AK8" s="6"/>
      <c r="AL8" s="6"/>
      <c r="AM8" s="6"/>
      <c r="AN8" s="6"/>
      <c r="AO8" s="6"/>
      <c r="AP8" s="6"/>
      <c r="AQ8" s="26"/>
      <c r="AR8" s="26"/>
      <c r="AS8" s="48"/>
      <c r="AT8" s="48"/>
      <c r="AU8" s="48"/>
      <c r="AV8" s="6"/>
      <c r="AW8" s="21"/>
      <c r="AX8" s="21"/>
      <c r="AY8" s="6"/>
      <c r="AZ8" s="6"/>
      <c r="BA8" s="6"/>
    </row>
    <row r="9" spans="1:54" x14ac:dyDescent="0.3">
      <c r="A9" s="128">
        <v>43332</v>
      </c>
      <c r="B9" s="29">
        <v>6</v>
      </c>
      <c r="C9" s="151"/>
      <c r="D9" s="162"/>
      <c r="E9" s="42"/>
      <c r="F9" s="151"/>
      <c r="G9" s="151"/>
      <c r="H9" s="41"/>
      <c r="I9" s="130"/>
      <c r="J9" s="130"/>
      <c r="S9" s="4"/>
      <c r="T9" s="6"/>
      <c r="U9" s="6"/>
      <c r="V9" s="6"/>
      <c r="W9" s="6"/>
      <c r="X9" s="4"/>
      <c r="Y9" s="4"/>
      <c r="Z9" s="89"/>
      <c r="AA9" s="48"/>
      <c r="AB9" s="48"/>
      <c r="AC9" s="20"/>
      <c r="AD9" s="6"/>
      <c r="AE9" s="6"/>
      <c r="AF9" s="6"/>
      <c r="AG9" s="6"/>
      <c r="AH9" s="6"/>
      <c r="AI9" s="48"/>
      <c r="AJ9" s="6"/>
      <c r="AK9" s="6"/>
      <c r="AL9" s="6"/>
      <c r="AM9" s="6"/>
      <c r="AN9" s="6"/>
      <c r="AO9" s="6"/>
      <c r="AP9" s="6"/>
      <c r="AQ9" s="26"/>
      <c r="AR9" s="26"/>
      <c r="AS9" s="48"/>
      <c r="AT9" s="48"/>
      <c r="AU9" s="48"/>
      <c r="AV9" s="6"/>
      <c r="AW9" s="21"/>
      <c r="AX9" s="21"/>
      <c r="AY9" s="6"/>
      <c r="AZ9" s="6"/>
      <c r="BA9" s="6"/>
      <c r="BB9" s="29" t="s">
        <v>530</v>
      </c>
    </row>
    <row r="10" spans="1:54" x14ac:dyDescent="0.3">
      <c r="A10" s="128">
        <v>43333</v>
      </c>
      <c r="B10" s="29">
        <v>7</v>
      </c>
      <c r="C10" s="151">
        <v>5.0999999999999996</v>
      </c>
      <c r="D10" s="162">
        <f>stableMED[[#This Row],[Flow 
(L h-1)]]/1000*24</f>
        <v>0.12239999999999998</v>
      </c>
      <c r="E10" s="42">
        <f>IF(IFERROR(Information!$R$47/stableMED[[#This Row],[Flow 
(m3 d-1)]]*24,0)&lt;0,0,IFERROR(Information!$R$47/stableMED[[#This Row],[Flow 
(m3 d-1)]]*24,0))</f>
        <v>235.29411764705884</v>
      </c>
      <c r="F10" s="151">
        <v>7.2039114492959921</v>
      </c>
      <c r="G10" s="151">
        <v>5.4614717239712479E-2</v>
      </c>
      <c r="H10" s="41">
        <v>27.782509298301413</v>
      </c>
      <c r="I10" s="29">
        <f>stableMED[[#This Row],[MLVSS 
(mg L-1)]]/0.2</f>
        <v>6000</v>
      </c>
      <c r="J10" s="29">
        <f>600*2</f>
        <v>1200</v>
      </c>
      <c r="M10" s="29">
        <v>989</v>
      </c>
      <c r="N10" s="29">
        <v>7.8</v>
      </c>
      <c r="Q10" s="29">
        <v>42.05</v>
      </c>
      <c r="R10" s="29">
        <v>3.5</v>
      </c>
      <c r="S10" s="4">
        <f>stableMED[[#This Row],[NH4-N 
(mg L-1)]]*1.288</f>
        <v>171.51007999999999</v>
      </c>
      <c r="T10" s="6">
        <f>stableMED[[#This Row],[NO2-N 
(mg L-1)]]*3.284</f>
        <v>14.436463999999999</v>
      </c>
      <c r="U10" s="6">
        <f>(stableMED[[#This Row],[NO3-N 
(mg L-1)]])*4.426</f>
        <v>0.8497920000000001</v>
      </c>
      <c r="V10" s="6">
        <v>133.16</v>
      </c>
      <c r="W10" s="6">
        <v>4.3959999999999999</v>
      </c>
      <c r="X10" s="4">
        <f>IF(stableMED[[#This Row],[TON 
(mg L-1)]]-stableMED[[#This Row],[NO2-N 
(mg L-1)]]&lt;0,0.192,stableMED[[#This Row],[TON 
(mg L-1)]]-stableMED[[#This Row],[NO2-N 
(mg L-1)]])</f>
        <v>0.192</v>
      </c>
      <c r="Y10" s="4">
        <f>SUM(stableMED[[#This Row],[NH4-N 
(mg L-1)]],stableMED[[#This Row],[NO3-N 
(mg L-1)]],stableMED[[#This Row],[NO2-N 
(mg L-1)]])</f>
        <v>137.74799999999999</v>
      </c>
      <c r="Z10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1.4994845521851865E-4</v>
      </c>
      <c r="AA10" s="48">
        <f>IF(IFERROR(stableMED[[#This Row],[NO2-N 
(mg L-1)]]/stableMED[[#This Row],[NH4-N 
(mg L-1)]],0)&lt;0,0,IFERROR(stableMED[[#This Row],[NO2-N 
(mg L-1)]]/stableMED[[#This Row],[NH4-N 
(mg L-1)]],0))</f>
        <v>3.3012916791829376E-2</v>
      </c>
      <c r="AB10" s="48">
        <f>stableMED[[#This Row],[NO2-N 
(mg L-1)]]/(stableMED[[#This Row],[NO3-N 
(mg L-1)]]+stableMED[[#This Row],[NO2-N 
(mg L-1)]])</f>
        <v>0.95815170008718387</v>
      </c>
      <c r="AC10" s="20">
        <f>46/14*stableMED[[#This Row],[NO2-N 
(mg L-1)]]/(EXP(-2300/(stableMED[[#This Row],[Temp. 
(°C)]]+273))*10^(stableMED[[#This Row],[pHreactor]]))</f>
        <v>1.8910580737002431E-3</v>
      </c>
      <c r="AD10" s="6">
        <f>17/14*stableMED[NH4-N 
(mg L-1)]*10^stableMED[[#This Row],[pHreactor]]/(EXP((6344/(273+stableMED[[#This Row],[Temp. 
(°C)]])))+10^stableMED[pHreactor])</f>
        <v>1.7694540681405211</v>
      </c>
      <c r="AE10" s="6">
        <f>Influent[[#This Row],[NH4-N (mg L-1)]]*stableMED[[#This Row],[Flow 
(m3 d-1)]]/(Information!$R$48*Information!$R$49)</f>
        <v>0.3604679999999999</v>
      </c>
      <c r="AF10" s="6">
        <f>(Influent[[#This Row],[NH4-N (mg L-1)]]-stableMED[[#This Row],[NH4-N 
(mg L-1)]])*stableMED[[#This Row],[Flow 
(m3 d-1)]]/(Information!$R$48*Information!$R$49)</f>
        <v>0.32651219999999992</v>
      </c>
      <c r="AG10" s="6">
        <f>Influent[[#This Row],[COD (mg L-1)]]*stableMED[[#This Row],[Flow 
(m3 d-1)]]/(Information!$R$48*Information!$R$49)</f>
        <v>1.0123499999999999</v>
      </c>
      <c r="AH10" s="6">
        <f>(Influent[[#This Row],[COD (mg L-1)]]-stableMED[[#This Row],[COD 
(mg L-1)]])*stableMED[[#This Row],[Flow 
(m3 d-1)]]/(Information!$R$48*Information!$R$49)</f>
        <v>1.0123499999999999</v>
      </c>
      <c r="AI10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1275.8519999999999</v>
      </c>
      <c r="AJ10" s="6">
        <f>IFERROR(IF(Influent[[#This Row],[COD (mg L-1)]]-stableMED[[#This Row],[COD 
(mg L-1)]]&lt;0,0,Influent[[#This Row],[COD (mg L-1)]]-stableMED[[#This Row],[COD 
(mg L-1)]]),0)</f>
        <v>3970</v>
      </c>
      <c r="AK10" s="6">
        <f>IFERROR(IF(Influent[[#This Row],[Alkalinity (mg CaCO3 L-1) ]]-stableMED[[#This Row],[Alkalinity 
(mg CaCO3 L-1) ]]&lt;0,0,Influent[[#This Row],[Alkalinity (mg CaCO3 L-1) ]]-stableMED[[#This Row],[Alkalinity 
(mg CaCO3 L-1) ]]),0)</f>
        <v>4404</v>
      </c>
      <c r="AL10" s="6"/>
      <c r="AM10" s="6"/>
      <c r="AN10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0.13060487999999998</v>
      </c>
      <c r="AO10" s="6">
        <f>Influent[[#This Row],[TN (mg L-1)]]/stableMED[[#This Row],[HRT 
(h)]]*24/1000</f>
        <v>0.14420759999999999</v>
      </c>
      <c r="AP10" s="6">
        <f>stableMED[[#This Row],[NRE 
(%)]]*stableMED[[#This Row],[NLR 
(kg N m-3 d-1)]]</f>
        <v>0.130157304</v>
      </c>
      <c r="AQ10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0.90580079230333888</v>
      </c>
      <c r="AR10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0.90256896307822887</v>
      </c>
      <c r="AS10" s="48">
        <f>418/30</f>
        <v>13.933333333333334</v>
      </c>
      <c r="AT10" s="48">
        <v>0.10299999999999999</v>
      </c>
      <c r="AU10" s="48">
        <v>5.5E-2</v>
      </c>
      <c r="AV10" s="6">
        <f>stableMED[[#This Row],[SAAcarrier
(g N g VSS-1d-1)]]+stableMED[[#This Row],[SAAsuspension
(g N g VSS-1d-1)]]</f>
        <v>0.158</v>
      </c>
      <c r="AW10" s="21">
        <f>stableMED[[#This Row],[SAAcarrier
(g N g VSS-1d-1)]]/MAX(stableMED[SAAcombined
(g N g VSS-1d-1)])</f>
        <v>5.0292968749999993E-2</v>
      </c>
      <c r="AX10" s="21">
        <f>stableMED[[#This Row],[SAAsuspension
(g N g VSS-1d-1)]]/MAX(stableMED[SAAcombined
(g N g VSS-1d-1)])</f>
        <v>2.685546875E-2</v>
      </c>
      <c r="AY10" s="6">
        <f>stableMED[[#This Row],[NH4-N 
(mg L-1)]]-20</f>
        <v>113.16</v>
      </c>
      <c r="AZ10" s="6">
        <f>stableMED[[#This Row],[Ammonia residual to reach target]]*2.9</f>
        <v>328.16399999999999</v>
      </c>
      <c r="BA10" s="6">
        <f>stableMED[[#This Row],[Alkalinity 
(mg CaCO3 L-1) ]]-stableMED[[#This Row],[Alkalinity need]]-70</f>
        <v>590.83600000000001</v>
      </c>
    </row>
    <row r="11" spans="1:54" x14ac:dyDescent="0.3">
      <c r="A11" s="128">
        <v>43334</v>
      </c>
      <c r="B11" s="29">
        <v>8</v>
      </c>
      <c r="C11" s="151">
        <v>16.49082349870239</v>
      </c>
      <c r="D11" s="162">
        <f>stableMED[[#This Row],[Flow 
(L h-1)]]/1000*24</f>
        <v>0.39577976396885739</v>
      </c>
      <c r="E11" s="42">
        <f>IF(IFERROR(Information!$R$47/stableMED[[#This Row],[Flow 
(m3 d-1)]]*24,0)&lt;0,0,IFERROR(Information!$R$47/stableMED[[#This Row],[Flow 
(m3 d-1)]]*24,0))</f>
        <v>72.767742623309502</v>
      </c>
      <c r="F11" s="151">
        <v>7.2620058581051996</v>
      </c>
      <c r="G11" s="151">
        <v>7.8844151467715895E-2</v>
      </c>
      <c r="H11" s="41">
        <v>30.738752938442371</v>
      </c>
      <c r="I11" s="130"/>
      <c r="J11" s="130"/>
      <c r="M11" s="29">
        <v>1205</v>
      </c>
      <c r="N11" s="29">
        <v>7.9</v>
      </c>
      <c r="Q11" s="29">
        <v>67.12</v>
      </c>
      <c r="R11" s="29">
        <v>6</v>
      </c>
      <c r="S11" s="4">
        <f>stableMED[[#This Row],[NH4-N 
(mg L-1)]]*1.288</f>
        <v>222.88840000000002</v>
      </c>
      <c r="T11" s="6">
        <f>stableMED[[#This Row],[NO2-N 
(mg L-1)]]*3.284</f>
        <v>2.6272E-2</v>
      </c>
      <c r="U11" s="6">
        <f>(stableMED[[#This Row],[NO3-N 
(mg L-1)]])*4.426</f>
        <v>26.520592000000001</v>
      </c>
      <c r="V11" s="6">
        <v>173.05</v>
      </c>
      <c r="W11" s="6">
        <v>8.0000000000000002E-3</v>
      </c>
      <c r="X11" s="4">
        <f>IF(stableMED[[#This Row],[TON 
(mg L-1)]]-stableMED[[#This Row],[NO2-N 
(mg L-1)]]&lt;0,0.192,stableMED[[#This Row],[TON 
(mg L-1)]]-stableMED[[#This Row],[NO2-N 
(mg L-1)]])</f>
        <v>5.992</v>
      </c>
      <c r="Y11" s="4">
        <f>SUM(stableMED[[#This Row],[NH4-N 
(mg L-1)]],stableMED[[#This Row],[NO3-N 
(mg L-1)]],stableMED[[#This Row],[NO2-N 
(mg L-1)]])</f>
        <v>179.05</v>
      </c>
      <c r="Z11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4.5770156208226713E-3</v>
      </c>
      <c r="AA11" s="48">
        <f>IF(IFERROR(stableMED[[#This Row],[NO2-N 
(mg L-1)]]/stableMED[[#This Row],[NH4-N 
(mg L-1)]],0)&lt;0,0,IFERROR(stableMED[[#This Row],[NO2-N 
(mg L-1)]]/stableMED[[#This Row],[NH4-N 
(mg L-1)]],0))</f>
        <v>4.6229413464316672E-5</v>
      </c>
      <c r="AB11" s="48">
        <f>stableMED[[#This Row],[NO2-N 
(mg L-1)]]/(stableMED[[#This Row],[NO3-N 
(mg L-1)]]+stableMED[[#This Row],[NO2-N 
(mg L-1)]])</f>
        <v>1.3333333333333333E-3</v>
      </c>
      <c r="AC11" s="20">
        <f>46/14*stableMED[[#This Row],[NO2-N 
(mg L-1)]]/(EXP(-2300/(stableMED[[#This Row],[Temp. 
(°C)]]+273))*10^(stableMED[[#This Row],[pHreactor]]))</f>
        <v>2.79460646350812E-6</v>
      </c>
      <c r="AD11" s="6">
        <f>17/14*stableMED[NH4-N 
(mg L-1)]*10^stableMED[[#This Row],[pHreactor]]/(EXP((6344/(273+stableMED[[#This Row],[Temp. 
(°C)]])))+10^stableMED[pHreactor])</f>
        <v>3.2134410156070916</v>
      </c>
      <c r="AE11" s="6">
        <f>Influent[[#This Row],[NH4-N (mg L-1)]]*stableMED[[#This Row],[Flow 
(m3 d-1)]]/(Information!$R$48*Information!$R$49)</f>
        <v>1.2221349294888344</v>
      </c>
      <c r="AF11" s="6">
        <f>(Influent[[#This Row],[NH4-N (mg L-1)]]-stableMED[[#This Row],[NH4-N 
(mg L-1)]])*stableMED[[#This Row],[Flow 
(m3 d-1)]]/(Information!$R$48*Information!$R$49)</f>
        <v>1.0794480791663119</v>
      </c>
      <c r="AG11" s="6">
        <f>Influent[[#This Row],[COD (mg L-1)]]*stableMED[[#This Row],[Flow 
(m3 d-1)]]/(Information!$R$48*Information!$R$49)</f>
        <v>3.2486922292443712</v>
      </c>
      <c r="AH11" s="6">
        <f>(Influent[[#This Row],[COD (mg L-1)]]-stableMED[[#This Row],[COD 
(mg L-1)]])*stableMED[[#This Row],[Flow 
(m3 d-1)]]/(Information!$R$48*Information!$R$49)</f>
        <v>3.2486922292443712</v>
      </c>
      <c r="AI11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1303.1500000000001</v>
      </c>
      <c r="AJ11" s="6">
        <f>IFERROR(IF(Influent[[#This Row],[COD (mg L-1)]]-stableMED[[#This Row],[COD 
(mg L-1)]]&lt;0,0,Influent[[#This Row],[COD (mg L-1)]]-stableMED[[#This Row],[COD 
(mg L-1)]]),0)</f>
        <v>3940</v>
      </c>
      <c r="AK11" s="6">
        <f>IFERROR(IF(Influent[[#This Row],[Alkalinity (mg CaCO3 L-1) ]]-stableMED[[#This Row],[Alkalinity 
(mg CaCO3 L-1) ]]&lt;0,0,Influent[[#This Row],[Alkalinity (mg CaCO3 L-1) ]]-stableMED[[#This Row],[Alkalinity 
(mg CaCO3 L-1) ]]),0)</f>
        <v>4354</v>
      </c>
      <c r="AL11" s="6"/>
      <c r="AM11" s="6"/>
      <c r="AN11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0.43177923166652477</v>
      </c>
      <c r="AO11" s="6">
        <f>Influent[[#This Row],[TN (mg L-1)]]/stableMED[[#This Row],[HRT 
(h)]]*24/1000</f>
        <v>0.48891993508952852</v>
      </c>
      <c r="AP11" s="6">
        <f>stableMED[[#This Row],[NRE 
(%)]]*stableMED[[#This Row],[NLR 
(kg N m-3 d-1)]]</f>
        <v>0.42986629614067529</v>
      </c>
      <c r="AQ11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0.88324787478073141</v>
      </c>
      <c r="AR11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0.87921613599568271</v>
      </c>
      <c r="AS11" s="48"/>
      <c r="AT11" s="48"/>
      <c r="AU11" s="48"/>
      <c r="AV11" s="6"/>
      <c r="AW11" s="21"/>
      <c r="AX11" s="21"/>
      <c r="AY11" s="6">
        <f>stableMED[[#This Row],[NH4-N 
(mg L-1)]]-20</f>
        <v>153.05000000000001</v>
      </c>
      <c r="AZ11" s="6">
        <f>stableMED[[#This Row],[Ammonia residual to reach target]]*2.9</f>
        <v>443.84500000000003</v>
      </c>
      <c r="BA11" s="6">
        <f>stableMED[[#This Row],[Alkalinity 
(mg CaCO3 L-1) ]]-stableMED[[#This Row],[Alkalinity need]]-70</f>
        <v>691.15499999999997</v>
      </c>
    </row>
    <row r="12" spans="1:54" x14ac:dyDescent="0.3">
      <c r="A12" s="128">
        <v>43335</v>
      </c>
      <c r="B12" s="29">
        <v>9</v>
      </c>
      <c r="C12" s="151">
        <v>2.4549527060691783</v>
      </c>
      <c r="D12" s="162">
        <f>stableMED[[#This Row],[Flow 
(L h-1)]]/1000*24</f>
        <v>5.8918864945660274E-2</v>
      </c>
      <c r="E12" s="42">
        <f>IF(IFERROR(Information!$R$47/stableMED[[#This Row],[Flow 
(m3 d-1)]]*24,0)&lt;0,0,IFERROR(Information!$R$47/stableMED[[#This Row],[Flow 
(m3 d-1)]]*24,0))</f>
        <v>488.8077872267512</v>
      </c>
      <c r="F12" s="151">
        <v>6.9244787864327551</v>
      </c>
      <c r="G12" s="151">
        <v>0.54048247173485431</v>
      </c>
      <c r="H12" s="41">
        <v>31.317503803018809</v>
      </c>
      <c r="I12" s="130">
        <v>18750</v>
      </c>
      <c r="J12" s="130">
        <v>9545</v>
      </c>
      <c r="K12" s="29">
        <v>3180</v>
      </c>
      <c r="L12" s="29">
        <f>stableMED[[#This Row],[COD 
(mg L-1)]]*Information!$AK$42</f>
        <v>2257.7999999999997</v>
      </c>
      <c r="M12" s="29">
        <v>1001</v>
      </c>
      <c r="N12" s="29">
        <v>7.8</v>
      </c>
      <c r="O12" s="29">
        <v>2506.6999999999998</v>
      </c>
      <c r="Q12" s="29">
        <v>9.18</v>
      </c>
      <c r="R12" s="29">
        <v>0.2</v>
      </c>
      <c r="S12" s="4">
        <f>stableMED[[#This Row],[NH4-N 
(mg L-1)]]*1.288</f>
        <v>235.83279999999999</v>
      </c>
      <c r="T12" s="6">
        <f>stableMED[[#This Row],[NO2-N 
(mg L-1)]]*3.284</f>
        <v>2.6272E-2</v>
      </c>
      <c r="U12" s="6">
        <f>(stableMED[[#This Row],[NO3-N 
(mg L-1)]])*4.426</f>
        <v>0.8497920000000001</v>
      </c>
      <c r="V12" s="6">
        <v>183.1</v>
      </c>
      <c r="W12" s="6">
        <v>8.0000000000000002E-3</v>
      </c>
      <c r="X12" s="4">
        <f>IF(stableMED[[#This Row],[TON 
(mg L-1)]]-stableMED[[#This Row],[NO2-N 
(mg L-1)]]&lt;0,0.192,stableMED[[#This Row],[TON 
(mg L-1)]]-stableMED[[#This Row],[NO2-N 
(mg L-1)]])</f>
        <v>0.192</v>
      </c>
      <c r="Y12" s="4">
        <f>SUM(stableMED[[#This Row],[NH4-N 
(mg L-1)]],stableMED[[#This Row],[NO3-N 
(mg L-1)]],stableMED[[#This Row],[NO2-N 
(mg L-1)]])</f>
        <v>183.3</v>
      </c>
      <c r="Z12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1.5209125475285171E-4</v>
      </c>
      <c r="AA12" s="48">
        <f>IF(IFERROR(stableMED[[#This Row],[NO2-N 
(mg L-1)]]/stableMED[[#This Row],[NH4-N 
(mg L-1)]],0)&lt;0,0,IFERROR(stableMED[[#This Row],[NO2-N 
(mg L-1)]]/stableMED[[#This Row],[NH4-N 
(mg L-1)]],0))</f>
        <v>4.3691971600218465E-5</v>
      </c>
      <c r="AB12" s="48">
        <f>stableMED[[#This Row],[NO2-N 
(mg L-1)]]/(stableMED[[#This Row],[NO3-N 
(mg L-1)]]+stableMED[[#This Row],[NO2-N 
(mg L-1)]])</f>
        <v>0.04</v>
      </c>
      <c r="AC12" s="20">
        <f>46/14*stableMED[[#This Row],[NO2-N 
(mg L-1)]]/(EXP(-2300/(stableMED[[#This Row],[Temp. 
(°C)]]+273))*10^(stableMED[[#This Row],[pHreactor]]))</f>
        <v>5.9922987923353514E-6</v>
      </c>
      <c r="AD12" s="6">
        <f>17/14*stableMED[NH4-N 
(mg L-1)]*10^stableMED[[#This Row],[pHreactor]]/(EXP((6344/(273+stableMED[[#This Row],[Temp. 
(°C)]])))+10^stableMED[pHreactor])</f>
        <v>1.6394171429784228</v>
      </c>
      <c r="AE12" s="6">
        <f>Influent[[#This Row],[NH4-N (mg L-1)]]*stableMED[[#This Row],[Flow 
(m3 d-1)]]/(Information!$R$48*Information!$R$49)</f>
        <v>0.17743170683114984</v>
      </c>
      <c r="AF12" s="6">
        <f>(Influent[[#This Row],[NH4-N (mg L-1)]]-stableMED[[#This Row],[NH4-N 
(mg L-1)]])*stableMED[[#This Row],[Flow 
(m3 d-1)]]/(Information!$R$48*Information!$R$49)</f>
        <v>0.15495661480708653</v>
      </c>
      <c r="AG12" s="6">
        <f>Influent[[#This Row],[COD (mg L-1)]]*stableMED[[#This Row],[Flow 
(m3 d-1)]]/(Information!$R$48*Information!$R$49)</f>
        <v>0.47196465774179946</v>
      </c>
      <c r="AH12" s="6">
        <f>(Influent[[#This Row],[COD (mg L-1)]]-stableMED[[#This Row],[COD 
(mg L-1)]])*stableMED[[#This Row],[Flow 
(m3 d-1)]]/(Information!$R$48*Information!$R$49)</f>
        <v>8.1627177476800178E-2</v>
      </c>
      <c r="AI12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1262.2</v>
      </c>
      <c r="AJ12" s="6">
        <f>IFERROR(IF(Influent[[#This Row],[COD (mg L-1)]]-stableMED[[#This Row],[COD 
(mg L-1)]]&lt;0,0,Influent[[#This Row],[COD (mg L-1)]]-stableMED[[#This Row],[COD 
(mg L-1)]]),0)</f>
        <v>665</v>
      </c>
      <c r="AK12" s="6">
        <f>IFERROR(IF(Influent[[#This Row],[Alkalinity (mg CaCO3 L-1) ]]-stableMED[[#This Row],[Alkalinity 
(mg CaCO3 L-1) ]]&lt;0,0,Influent[[#This Row],[Alkalinity (mg CaCO3 L-1) ]]-stableMED[[#This Row],[Alkalinity 
(mg CaCO3 L-1) ]]),0)</f>
        <v>4497</v>
      </c>
      <c r="AL12" s="6">
        <f>Influent[[#This Row],[COD (mg L-1)]]/stableMED[[#This Row],[HRT 
(h)]]*24/1000</f>
        <v>0.18878586309671982</v>
      </c>
      <c r="AM12" s="6">
        <f>IF(((stableMED[[#This Row],[ΔC (mg L-1)]])*24/stableMED[[#This Row],[HRT 
(h)]]/1000) &lt;0,0, (stableMED[[#This Row],[ΔC (mg L-1)]])*24/stableMED[[#This Row],[HRT 
(h)]]/1000)</f>
        <v>3.2650870990720074E-2</v>
      </c>
      <c r="AN12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6.1982645922834617E-2</v>
      </c>
      <c r="AO12" s="6">
        <f>Influent[[#This Row],[TN (mg L-1)]]/stableMED[[#This Row],[HRT 
(h)]]*24/1000</f>
        <v>7.0982502543284226E-2</v>
      </c>
      <c r="AP12" s="6">
        <f>stableMED[[#This Row],[NRE 
(%)]]*stableMED[[#This Row],[NLR 
(kg N m-3 d-1)]]</f>
        <v>6.1982645922834624E-2</v>
      </c>
      <c r="AQ12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0.87333102732618473</v>
      </c>
      <c r="AR12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0.87321020958705131</v>
      </c>
      <c r="AS12" s="48"/>
      <c r="AT12" s="48"/>
      <c r="AU12" s="48"/>
      <c r="AV12" s="6"/>
      <c r="AW12" s="21"/>
      <c r="AX12" s="21"/>
      <c r="AY12" s="6">
        <f>stableMED[[#This Row],[NH4-N 
(mg L-1)]]-20</f>
        <v>163.1</v>
      </c>
      <c r="AZ12" s="6">
        <f>stableMED[[#This Row],[Ammonia residual to reach target]]*2.9</f>
        <v>472.98999999999995</v>
      </c>
      <c r="BA12" s="6">
        <f>stableMED[[#This Row],[Alkalinity 
(mg CaCO3 L-1) ]]-stableMED[[#This Row],[Alkalinity need]]-70</f>
        <v>458.01</v>
      </c>
      <c r="BB12" s="29" t="s">
        <v>533</v>
      </c>
    </row>
    <row r="13" spans="1:54" x14ac:dyDescent="0.3">
      <c r="A13" s="128">
        <v>43336</v>
      </c>
      <c r="B13" s="29">
        <v>10</v>
      </c>
      <c r="C13" s="151"/>
      <c r="D13" s="162"/>
      <c r="E13" s="42"/>
      <c r="F13" s="151"/>
      <c r="G13" s="151"/>
      <c r="H13" s="41"/>
      <c r="I13" s="130"/>
      <c r="J13" s="130"/>
      <c r="S13" s="4">
        <f>stableMED[[#This Row],[NH4-N 
(mg L-1)]]*1.288</f>
        <v>0</v>
      </c>
      <c r="T13" s="6">
        <f>stableMED[[#This Row],[NO2-N 
(mg L-1)]]*3.284</f>
        <v>0</v>
      </c>
      <c r="U13" s="6">
        <f>(stableMED[[#This Row],[NO3-N 
(mg L-1)]])*4.426</f>
        <v>0</v>
      </c>
      <c r="V13" s="6"/>
      <c r="W13" s="6"/>
      <c r="X13" s="4"/>
      <c r="Y13" s="4"/>
      <c r="Z13" s="89"/>
      <c r="AA13" s="48"/>
      <c r="AB13" s="48"/>
      <c r="AC13" s="20"/>
      <c r="AD13" s="6"/>
      <c r="AE13" s="6"/>
      <c r="AF13" s="6"/>
      <c r="AG13" s="6"/>
      <c r="AH13" s="6"/>
      <c r="AI13" s="48"/>
      <c r="AJ13" s="6"/>
      <c r="AK13" s="6"/>
      <c r="AL13" s="6"/>
      <c r="AM13" s="6"/>
      <c r="AN13" s="6"/>
      <c r="AO13" s="6"/>
      <c r="AP13" s="6"/>
      <c r="AQ13" s="26"/>
      <c r="AR13" s="26"/>
      <c r="AS13" s="48"/>
      <c r="AT13" s="48"/>
      <c r="AU13" s="48"/>
      <c r="AV13" s="6"/>
      <c r="AW13" s="21"/>
      <c r="AX13" s="21"/>
      <c r="AY13" s="6"/>
      <c r="AZ13" s="6"/>
      <c r="BA13" s="6"/>
    </row>
    <row r="14" spans="1:54" x14ac:dyDescent="0.3">
      <c r="A14" s="128">
        <v>43337</v>
      </c>
      <c r="B14" s="29">
        <v>11</v>
      </c>
      <c r="C14" s="151"/>
      <c r="D14" s="162"/>
      <c r="E14" s="42"/>
      <c r="F14" s="151"/>
      <c r="G14" s="151"/>
      <c r="H14" s="41"/>
      <c r="I14" s="130"/>
      <c r="J14" s="130"/>
      <c r="S14" s="4">
        <f>stableMED[[#This Row],[NH4-N 
(mg L-1)]]*1.288</f>
        <v>0</v>
      </c>
      <c r="T14" s="6">
        <f>stableMED[[#This Row],[NO2-N 
(mg L-1)]]*3.284</f>
        <v>0</v>
      </c>
      <c r="U14" s="6">
        <f>(stableMED[[#This Row],[NO3-N 
(mg L-1)]])*4.426</f>
        <v>0</v>
      </c>
      <c r="V14" s="6"/>
      <c r="W14" s="6"/>
      <c r="X14" s="4"/>
      <c r="Y14" s="4"/>
      <c r="Z14" s="89"/>
      <c r="AA14" s="48"/>
      <c r="AB14" s="48"/>
      <c r="AC14" s="20"/>
      <c r="AD14" s="6"/>
      <c r="AE14" s="6"/>
      <c r="AF14" s="6"/>
      <c r="AG14" s="6"/>
      <c r="AH14" s="6"/>
      <c r="AI14" s="48"/>
      <c r="AJ14" s="6"/>
      <c r="AK14" s="6"/>
      <c r="AL14" s="6"/>
      <c r="AM14" s="6"/>
      <c r="AN14" s="6"/>
      <c r="AO14" s="6"/>
      <c r="AP14" s="6"/>
      <c r="AQ14" s="26"/>
      <c r="AR14" s="26"/>
      <c r="AS14" s="48"/>
      <c r="AT14" s="48"/>
      <c r="AU14" s="48"/>
      <c r="AV14" s="6"/>
      <c r="AW14" s="21"/>
      <c r="AX14" s="21"/>
      <c r="AY14" s="6"/>
      <c r="AZ14" s="6"/>
      <c r="BA14" s="6"/>
    </row>
    <row r="15" spans="1:54" x14ac:dyDescent="0.3">
      <c r="A15" s="128">
        <v>43338</v>
      </c>
      <c r="B15" s="29">
        <v>12</v>
      </c>
      <c r="C15" s="151"/>
      <c r="D15" s="162"/>
      <c r="E15" s="42"/>
      <c r="F15" s="151"/>
      <c r="G15" s="151"/>
      <c r="H15" s="41"/>
      <c r="I15" s="130"/>
      <c r="J15" s="130"/>
      <c r="S15" s="4">
        <f>stableMED[[#This Row],[NH4-N 
(mg L-1)]]*1.288</f>
        <v>0</v>
      </c>
      <c r="T15" s="6">
        <f>stableMED[[#This Row],[NO2-N 
(mg L-1)]]*3.284</f>
        <v>0</v>
      </c>
      <c r="U15" s="6">
        <f>(stableMED[[#This Row],[NO3-N 
(mg L-1)]])*4.426</f>
        <v>0</v>
      </c>
      <c r="V15" s="6"/>
      <c r="W15" s="6"/>
      <c r="X15" s="4"/>
      <c r="Y15" s="4"/>
      <c r="Z15" s="89"/>
      <c r="AA15" s="48"/>
      <c r="AB15" s="48"/>
      <c r="AC15" s="20"/>
      <c r="AD15" s="6"/>
      <c r="AE15" s="6"/>
      <c r="AF15" s="6"/>
      <c r="AG15" s="6"/>
      <c r="AH15" s="6"/>
      <c r="AI15" s="48"/>
      <c r="AJ15" s="6"/>
      <c r="AK15" s="6"/>
      <c r="AL15" s="6"/>
      <c r="AM15" s="6"/>
      <c r="AN15" s="6"/>
      <c r="AO15" s="6"/>
      <c r="AP15" s="6"/>
      <c r="AQ15" s="26"/>
      <c r="AR15" s="26"/>
      <c r="AS15" s="48"/>
      <c r="AT15" s="48"/>
      <c r="AU15" s="48"/>
      <c r="AV15" s="6"/>
      <c r="AW15" s="21"/>
      <c r="AX15" s="21"/>
      <c r="AY15" s="6"/>
      <c r="AZ15" s="6"/>
      <c r="BA15" s="6"/>
    </row>
    <row r="16" spans="1:54" x14ac:dyDescent="0.3">
      <c r="A16" s="128">
        <v>43339</v>
      </c>
      <c r="B16" s="29">
        <v>13</v>
      </c>
      <c r="C16" s="151"/>
      <c r="D16" s="162"/>
      <c r="E16" s="42"/>
      <c r="F16" s="151"/>
      <c r="G16" s="151"/>
      <c r="H16" s="41"/>
      <c r="I16" s="130"/>
      <c r="J16" s="130"/>
      <c r="S16" s="4">
        <f>stableMED[[#This Row],[NH4-N 
(mg L-1)]]*1.288</f>
        <v>0</v>
      </c>
      <c r="T16" s="6">
        <f>stableMED[[#This Row],[NO2-N 
(mg L-1)]]*3.284</f>
        <v>0</v>
      </c>
      <c r="U16" s="6">
        <f>(stableMED[[#This Row],[NO3-N 
(mg L-1)]])*4.426</f>
        <v>0</v>
      </c>
      <c r="V16" s="6"/>
      <c r="W16" s="6"/>
      <c r="X16" s="4"/>
      <c r="Y16" s="4"/>
      <c r="Z16" s="89"/>
      <c r="AA16" s="48"/>
      <c r="AB16" s="48"/>
      <c r="AC16" s="20"/>
      <c r="AD16" s="6"/>
      <c r="AE16" s="6"/>
      <c r="AF16" s="6"/>
      <c r="AG16" s="6"/>
      <c r="AH16" s="6"/>
      <c r="AI16" s="48"/>
      <c r="AJ16" s="6"/>
      <c r="AK16" s="6"/>
      <c r="AL16" s="6"/>
      <c r="AM16" s="6"/>
      <c r="AN16" s="6"/>
      <c r="AO16" s="6"/>
      <c r="AP16" s="6"/>
      <c r="AQ16" s="26"/>
      <c r="AR16" s="26"/>
      <c r="AS16" s="48"/>
      <c r="AT16" s="48"/>
      <c r="AU16" s="48"/>
      <c r="AV16" s="6"/>
      <c r="AW16" s="21"/>
      <c r="AX16" s="21"/>
      <c r="AY16" s="6"/>
      <c r="AZ16" s="6"/>
      <c r="BA16" s="6"/>
    </row>
    <row r="17" spans="1:54" x14ac:dyDescent="0.3">
      <c r="A17" s="128">
        <v>43340</v>
      </c>
      <c r="B17" s="29">
        <v>14</v>
      </c>
      <c r="C17" s="151"/>
      <c r="D17" s="162"/>
      <c r="E17" s="42"/>
      <c r="F17" s="151"/>
      <c r="G17" s="151"/>
      <c r="H17" s="41"/>
      <c r="I17" s="130"/>
      <c r="J17" s="130"/>
      <c r="S17" s="4">
        <f>stableMED[[#This Row],[NH4-N 
(mg L-1)]]*1.288</f>
        <v>0</v>
      </c>
      <c r="T17" s="6">
        <f>stableMED[[#This Row],[NO2-N 
(mg L-1)]]*3.284</f>
        <v>0</v>
      </c>
      <c r="U17" s="6">
        <f>(stableMED[[#This Row],[NO3-N 
(mg L-1)]])*4.426</f>
        <v>0</v>
      </c>
      <c r="V17" s="6"/>
      <c r="W17" s="6"/>
      <c r="X17" s="4"/>
      <c r="Y17" s="4"/>
      <c r="Z17" s="89"/>
      <c r="AA17" s="48"/>
      <c r="AB17" s="48"/>
      <c r="AC17" s="20"/>
      <c r="AD17" s="6"/>
      <c r="AE17" s="6"/>
      <c r="AF17" s="6"/>
      <c r="AG17" s="6"/>
      <c r="AH17" s="6"/>
      <c r="AI17" s="48"/>
      <c r="AJ17" s="6"/>
      <c r="AK17" s="6"/>
      <c r="AL17" s="6"/>
      <c r="AM17" s="6"/>
      <c r="AN17" s="6"/>
      <c r="AO17" s="6"/>
      <c r="AP17" s="6"/>
      <c r="AQ17" s="26"/>
      <c r="AR17" s="26"/>
      <c r="AS17" s="48"/>
      <c r="AT17" s="48"/>
      <c r="AU17" s="48"/>
      <c r="AV17" s="6"/>
      <c r="AW17" s="21"/>
      <c r="AX17" s="21"/>
      <c r="AY17" s="6"/>
      <c r="AZ17" s="6"/>
      <c r="BA17" s="6"/>
    </row>
    <row r="18" spans="1:54" x14ac:dyDescent="0.3">
      <c r="A18" s="128">
        <v>43341</v>
      </c>
      <c r="B18" s="29">
        <v>15</v>
      </c>
      <c r="C18" s="151">
        <v>3.6706330268923422</v>
      </c>
      <c r="D18" s="162">
        <f>stableMED[[#This Row],[Flow 
(L h-1)]]/1000*24</f>
        <v>8.8095192645416209E-2</v>
      </c>
      <c r="E18" s="42">
        <f>IF(IFERROR(Information!$R$47/stableMED[[#This Row],[Flow 
(m3 d-1)]]*24,0)&lt;0,0,IFERROR(Information!$R$47/stableMED[[#This Row],[Flow 
(m3 d-1)]]*24,0))</f>
        <v>326.9190875820002</v>
      </c>
      <c r="F18" s="151">
        <v>6.6422534705615215</v>
      </c>
      <c r="G18" s="151">
        <v>0.75967979860963697</v>
      </c>
      <c r="H18" s="41">
        <v>30.895082075866465</v>
      </c>
      <c r="I18" s="130"/>
      <c r="J18" s="130"/>
      <c r="K18" s="29">
        <v>968</v>
      </c>
      <c r="L18" s="29">
        <f>stableMED[[#This Row],[COD 
(mg L-1)]]*Information!$AK$42</f>
        <v>687.28</v>
      </c>
      <c r="M18" s="29">
        <v>180</v>
      </c>
      <c r="N18" s="29">
        <v>7.5</v>
      </c>
      <c r="O18" s="29">
        <v>262</v>
      </c>
      <c r="Q18" s="29">
        <v>0.3</v>
      </c>
      <c r="R18" s="29">
        <v>2.2999999999999998</v>
      </c>
      <c r="S18" s="4">
        <f>stableMED[[#This Row],[NH4-N 
(mg L-1)]]*1.288</f>
        <v>54.765760000000007</v>
      </c>
      <c r="T18" s="6">
        <f>stableMED[[#This Row],[NO2-N 
(mg L-1)]]*3.284</f>
        <v>3.0606879999999999</v>
      </c>
      <c r="U18" s="6">
        <f>(stableMED[[#This Row],[NO3-N 
(mg L-1)]])*4.426</f>
        <v>6.0547679999999993</v>
      </c>
      <c r="V18" s="6">
        <v>42.52</v>
      </c>
      <c r="W18" s="6">
        <v>0.93200000000000005</v>
      </c>
      <c r="X18" s="4">
        <f>IF(stableMED[[#This Row],[TON 
(mg L-1)]]-stableMED[[#This Row],[NO2-N 
(mg L-1)]]&lt;0,0.192,stableMED[[#This Row],[TON 
(mg L-1)]]-stableMED[[#This Row],[NO2-N 
(mg L-1)]])</f>
        <v>1.3679999999999999</v>
      </c>
      <c r="Y18" s="4">
        <f>SUM(stableMED[[#This Row],[NH4-N 
(mg L-1)]],stableMED[[#This Row],[NO3-N 
(mg L-1)]],stableMED[[#This Row],[NO2-N 
(mg L-1)]])</f>
        <v>44.820000000000007</v>
      </c>
      <c r="Z18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1.1455559463397476E-3</v>
      </c>
      <c r="AA18" s="48">
        <f>IF(IFERROR(stableMED[[#This Row],[NO2-N 
(mg L-1)]]/stableMED[[#This Row],[NH4-N 
(mg L-1)]],0)&lt;0,0,IFERROR(stableMED[[#This Row],[NO2-N 
(mg L-1)]]/stableMED[[#This Row],[NH4-N 
(mg L-1)]],0))</f>
        <v>2.1919096895578551E-2</v>
      </c>
      <c r="AB18" s="48">
        <f>stableMED[[#This Row],[NO2-N 
(mg L-1)]]/(stableMED[[#This Row],[NO3-N 
(mg L-1)]]+stableMED[[#This Row],[NO2-N 
(mg L-1)]])</f>
        <v>0.40521739130434786</v>
      </c>
      <c r="AC18" s="20">
        <f>46/14*stableMED[[#This Row],[NO2-N 
(mg L-1)]]/(EXP(-2300/(stableMED[[#This Row],[Temp. 
(°C)]]+273))*10^(stableMED[[#This Row],[pHreactor]]))</f>
        <v>1.3511614727213955E-3</v>
      </c>
      <c r="AD18" s="6">
        <f>17/14*stableMED[NH4-N 
(mg L-1)]*10^stableMED[[#This Row],[pHreactor]]/(EXP((6344/(273+stableMED[[#This Row],[Temp. 
(°C)]])))+10^stableMED[pHreactor])</f>
        <v>0.19380514255009382</v>
      </c>
      <c r="AE18" s="6">
        <f>Influent[[#This Row],[NH4-N (mg L-1)]]*stableMED[[#This Row],[Flow 
(m3 d-1)]]/(Information!$R$48*Information!$R$49)</f>
        <v>0.22697359321788796</v>
      </c>
      <c r="AF18" s="6">
        <f>(Influent[[#This Row],[NH4-N (mg L-1)]]-stableMED[[#This Row],[NH4-N 
(mg L-1)]])*stableMED[[#This Row],[Flow 
(m3 d-1)]]/(Information!$R$48*Information!$R$49)</f>
        <v>0.21916982740271485</v>
      </c>
      <c r="AG18" s="6">
        <f>Influent[[#This Row],[COD (mg L-1)]]*stableMED[[#This Row],[Flow 
(m3 d-1)]]/(Information!$R$48*Information!$R$49)</f>
        <v>0</v>
      </c>
      <c r="AH18" s="6">
        <f>(Influent[[#This Row],[COD (mg L-1)]]-stableMED[[#This Row],[COD 
(mg L-1)]])*stableMED[[#This Row],[Flow 
(m3 d-1)]]/(Information!$R$48*Information!$R$49)</f>
        <v>-0.17765863850158936</v>
      </c>
      <c r="AI18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1191.8800000000001</v>
      </c>
      <c r="AJ18" s="6">
        <f>IFERROR(IF(Influent[[#This Row],[COD (mg L-1)]]-stableMED[[#This Row],[COD 
(mg L-1)]]&lt;0,0,Influent[[#This Row],[COD (mg L-1)]]-stableMED[[#This Row],[COD 
(mg L-1)]]),0)</f>
        <v>0</v>
      </c>
      <c r="AK18" s="6">
        <f>IFERROR(IF(Influent[[#This Row],[Alkalinity (mg CaCO3 L-1) ]]-stableMED[[#This Row],[Alkalinity 
(mg CaCO3 L-1) ]]&lt;0,0,Influent[[#This Row],[Alkalinity (mg CaCO3 L-1) ]]-stableMED[[#This Row],[Alkalinity 
(mg CaCO3 L-1) ]]),0)</f>
        <v>4464</v>
      </c>
      <c r="AL18" s="6"/>
      <c r="AM18" s="6"/>
      <c r="AN18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8.7667930961085938E-2</v>
      </c>
      <c r="AO18" s="6">
        <f>Influent[[#This Row],[TN (mg L-1)]]/stableMED[[#This Row],[HRT 
(h)]]*24/1000</f>
        <v>9.0804119819262757E-2</v>
      </c>
      <c r="AP18" s="6">
        <f>stableMED[[#This Row],[NRE 
(%)]]*stableMED[[#This Row],[NLR 
(kg N m-3 d-1)]]</f>
        <v>8.7513764373956471E-2</v>
      </c>
      <c r="AQ18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0.96561817740761702</v>
      </c>
      <c r="AR18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0.96376424933300997</v>
      </c>
      <c r="AS18" s="48"/>
      <c r="AT18" s="48"/>
      <c r="AU18" s="48"/>
      <c r="AV18" s="6"/>
      <c r="AW18" s="21"/>
      <c r="AX18" s="21"/>
      <c r="AY18" s="6">
        <f>stableMED[[#This Row],[NH4-N 
(mg L-1)]]-20</f>
        <v>22.520000000000003</v>
      </c>
      <c r="AZ18" s="6">
        <f>stableMED[[#This Row],[Ammonia residual to reach target]]*2.9</f>
        <v>65.308000000000007</v>
      </c>
      <c r="BA18" s="6">
        <f>stableMED[[#This Row],[Alkalinity 
(mg CaCO3 L-1) ]]-stableMED[[#This Row],[Alkalinity need]]-70</f>
        <v>44.691999999999993</v>
      </c>
    </row>
    <row r="19" spans="1:54" x14ac:dyDescent="0.3">
      <c r="A19" s="128">
        <v>43342</v>
      </c>
      <c r="B19" s="29">
        <v>16</v>
      </c>
      <c r="C19" s="151">
        <v>3.3999913224574803</v>
      </c>
      <c r="D19" s="162">
        <f>stableMED[[#This Row],[Flow 
(L h-1)]]/1000*24</f>
        <v>8.1599791738979521E-2</v>
      </c>
      <c r="E19" s="42">
        <f>IF(IFERROR(Information!$R$47/stableMED[[#This Row],[Flow 
(m3 d-1)]]*24,0)&lt;0,0,IFERROR(Information!$R$47/stableMED[[#This Row],[Flow 
(m3 d-1)]]*24,0))</f>
        <v>352.94207725584778</v>
      </c>
      <c r="F19" s="151">
        <v>6.898019221126102</v>
      </c>
      <c r="G19" s="151">
        <v>0.39360812223648617</v>
      </c>
      <c r="H19" s="41">
        <v>29.126135634449113</v>
      </c>
      <c r="I19" s="130"/>
      <c r="J19" s="130"/>
      <c r="K19" s="29">
        <v>862</v>
      </c>
      <c r="L19" s="29">
        <f>stableMED[[#This Row],[COD 
(mg L-1)]]*Information!$AK$42</f>
        <v>612.02</v>
      </c>
      <c r="M19" s="29">
        <v>194</v>
      </c>
      <c r="N19" s="29">
        <v>7.9</v>
      </c>
      <c r="O19" s="29">
        <v>74</v>
      </c>
      <c r="Q19" s="29">
        <v>0.44</v>
      </c>
      <c r="R19" s="29">
        <v>2.8</v>
      </c>
      <c r="S19" s="4">
        <f>stableMED[[#This Row],[NH4-N 
(mg L-1)]]*1.288</f>
        <v>61.991440000000004</v>
      </c>
      <c r="T19" s="6">
        <f>stableMED[[#This Row],[NO2-N 
(mg L-1)]]*3.284</f>
        <v>3.6353879999999998</v>
      </c>
      <c r="U19" s="6">
        <f>(stableMED[[#This Row],[NO3-N 
(mg L-1)]])*4.426</f>
        <v>7.4932179999999997</v>
      </c>
      <c r="V19" s="6">
        <v>48.13</v>
      </c>
      <c r="W19" s="6">
        <v>1.107</v>
      </c>
      <c r="X19" s="4">
        <f>IF(stableMED[[#This Row],[TON 
(mg L-1)]]-stableMED[[#This Row],[NO2-N 
(mg L-1)]]&lt;0,0.192,stableMED[[#This Row],[TON 
(mg L-1)]]-stableMED[[#This Row],[NO2-N 
(mg L-1)]])</f>
        <v>1.6929999999999998</v>
      </c>
      <c r="Y19" s="4">
        <f>SUM(stableMED[[#This Row],[NH4-N 
(mg L-1)]],stableMED[[#This Row],[NO3-N 
(mg L-1)]],stableMED[[#This Row],[NO2-N 
(mg L-1)]])</f>
        <v>50.93</v>
      </c>
      <c r="Z19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1.317028013100267E-3</v>
      </c>
      <c r="AA19" s="48">
        <f>IF(IFERROR(stableMED[[#This Row],[NO2-N 
(mg L-1)]]/stableMED[[#This Row],[NH4-N 
(mg L-1)]],0)&lt;0,0,IFERROR(stableMED[[#This Row],[NO2-N 
(mg L-1)]]/stableMED[[#This Row],[NH4-N 
(mg L-1)]],0))</f>
        <v>2.3000207770621232E-2</v>
      </c>
      <c r="AB19" s="48">
        <f>stableMED[[#This Row],[NO2-N 
(mg L-1)]]/(stableMED[[#This Row],[NO3-N 
(mg L-1)]]+stableMED[[#This Row],[NO2-N 
(mg L-1)]])</f>
        <v>0.39535714285714285</v>
      </c>
      <c r="AC19" s="20">
        <f>46/14*stableMED[[#This Row],[NO2-N 
(mg L-1)]]/(EXP(-2300/(stableMED[[#This Row],[Temp. 
(°C)]]+273))*10^(stableMED[[#This Row],[pHreactor]]))</f>
        <v>9.3093225043923411E-4</v>
      </c>
      <c r="AD19" s="6">
        <f>17/14*stableMED[NH4-N 
(mg L-1)]*10^stableMED[[#This Row],[pHreactor]]/(EXP((6344/(273+stableMED[[#This Row],[Temp. 
(°C)]])))+10^stableMED[pHreactor])</f>
        <v>0.34906224863615226</v>
      </c>
      <c r="AE19" s="6">
        <f>Influent[[#This Row],[NH4-N (mg L-1)]]*stableMED[[#This Row],[Flow 
(m3 d-1)]]/(Information!$R$48*Information!$R$49)</f>
        <v>0.22671142138146474</v>
      </c>
      <c r="AF19" s="6">
        <f>(Influent[[#This Row],[NH4-N (mg L-1)]]-stableMED[[#This Row],[NH4-N 
(mg L-1)]])*stableMED[[#This Row],[Flow 
(m3 d-1)]]/(Information!$R$48*Information!$R$49)</f>
        <v>0.2185293422639708</v>
      </c>
      <c r="AG19" s="6">
        <f>Influent[[#This Row],[COD (mg L-1)]]*stableMED[[#This Row],[Flow 
(m3 d-1)]]/(Information!$R$48*Information!$R$49)</f>
        <v>0.5694985465116279</v>
      </c>
      <c r="AH19" s="6">
        <f>(Influent[[#This Row],[COD (mg L-1)]]-stableMED[[#This Row],[COD 
(mg L-1)]])*stableMED[[#This Row],[Flow 
(m3 d-1)]]/(Information!$R$48*Information!$R$49)</f>
        <v>0.42295892051371048</v>
      </c>
      <c r="AI19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1282.6699999999998</v>
      </c>
      <c r="AJ19" s="6">
        <f>IFERROR(IF(Influent[[#This Row],[COD (mg L-1)]]-stableMED[[#This Row],[COD 
(mg L-1)]]&lt;0,0,Influent[[#This Row],[COD (mg L-1)]]-stableMED[[#This Row],[COD 
(mg L-1)]]),0)</f>
        <v>2488</v>
      </c>
      <c r="AK19" s="6">
        <f>IFERROR(IF(Influent[[#This Row],[Alkalinity (mg CaCO3 L-1) ]]-stableMED[[#This Row],[Alkalinity 
(mg CaCO3 L-1) ]]&lt;0,0,Influent[[#This Row],[Alkalinity (mg CaCO3 L-1) ]]-stableMED[[#This Row],[Alkalinity 
(mg CaCO3 L-1) ]]),0)</f>
        <v>4818</v>
      </c>
      <c r="AL19" s="6">
        <f>Influent[[#This Row],[COD (mg L-1)]]/stableMED[[#This Row],[HRT 
(h)]]*24/1000</f>
        <v>0.22779941860465119</v>
      </c>
      <c r="AM19" s="6">
        <f>IF(((stableMED[[#This Row],[ΔC (mg L-1)]])*24/stableMED[[#This Row],[HRT 
(h)]]/1000) &lt;0,0, (stableMED[[#This Row],[ΔC (mg L-1)]])*24/stableMED[[#This Row],[HRT 
(h)]]/1000)</f>
        <v>0.16918356820548422</v>
      </c>
      <c r="AN19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8.741173690558833E-2</v>
      </c>
      <c r="AO19" s="6">
        <f>Influent[[#This Row],[TN (mg L-1)]]/stableMED[[#This Row],[HRT 
(h)]]*24/1000</f>
        <v>9.0698168517875738E-2</v>
      </c>
      <c r="AP19" s="6">
        <f>stableMED[[#This Row],[NRE 
(%)]]*stableMED[[#This Row],[NLR 
(kg N m-3 d-1)]]</f>
        <v>8.7234937356820544E-2</v>
      </c>
      <c r="AQ19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0.96390971805638859</v>
      </c>
      <c r="AR19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0.96181586444744338</v>
      </c>
      <c r="AS19" s="48"/>
      <c r="AT19" s="48"/>
      <c r="AU19" s="48"/>
      <c r="AV19" s="6"/>
      <c r="AW19" s="21"/>
      <c r="AX19" s="21"/>
      <c r="AY19" s="6">
        <f>stableMED[[#This Row],[NH4-N 
(mg L-1)]]-20</f>
        <v>28.130000000000003</v>
      </c>
      <c r="AZ19" s="6">
        <f>stableMED[[#This Row],[Ammonia residual to reach target]]*2.9</f>
        <v>81.576999999999998</v>
      </c>
      <c r="BA19" s="6">
        <f>stableMED[[#This Row],[Alkalinity 
(mg CaCO3 L-1) ]]-stableMED[[#This Row],[Alkalinity need]]-70</f>
        <v>42.423000000000002</v>
      </c>
    </row>
    <row r="20" spans="1:54" x14ac:dyDescent="0.3">
      <c r="A20" s="128">
        <v>43343</v>
      </c>
      <c r="B20" s="29">
        <v>17</v>
      </c>
      <c r="C20" s="151"/>
      <c r="D20" s="162"/>
      <c r="E20" s="42"/>
      <c r="F20" s="151"/>
      <c r="G20" s="151"/>
      <c r="H20" s="41"/>
      <c r="I20" s="130"/>
      <c r="J20" s="130"/>
      <c r="S20" s="4">
        <f>stableMED[[#This Row],[NH4-N 
(mg L-1)]]*1.288</f>
        <v>0</v>
      </c>
      <c r="T20" s="6">
        <f>stableMED[[#This Row],[NO2-N 
(mg L-1)]]*3.284</f>
        <v>0</v>
      </c>
      <c r="U20" s="6">
        <f>(stableMED[[#This Row],[NO3-N 
(mg L-1)]])*4.426</f>
        <v>0</v>
      </c>
      <c r="V20" s="6"/>
      <c r="W20" s="6"/>
      <c r="X20" s="4"/>
      <c r="Y20" s="4"/>
      <c r="Z20" s="89"/>
      <c r="AA20" s="48"/>
      <c r="AB20" s="48"/>
      <c r="AC20" s="20"/>
      <c r="AD20" s="6"/>
      <c r="AE20" s="6"/>
      <c r="AF20" s="6"/>
      <c r="AG20" s="6"/>
      <c r="AH20" s="6"/>
      <c r="AI20" s="48"/>
      <c r="AJ20" s="6"/>
      <c r="AK20" s="6"/>
      <c r="AL20" s="6"/>
      <c r="AM20" s="6"/>
      <c r="AN20" s="6"/>
      <c r="AO20" s="6"/>
      <c r="AP20" s="6"/>
      <c r="AQ20" s="26"/>
      <c r="AR20" s="26"/>
      <c r="AS20" s="48"/>
      <c r="AT20" s="48"/>
      <c r="AU20" s="48"/>
      <c r="AV20" s="6"/>
      <c r="AW20" s="21"/>
      <c r="AX20" s="21"/>
      <c r="AY20" s="6"/>
      <c r="AZ20" s="6"/>
      <c r="BA20" s="6"/>
      <c r="BB20" s="29" t="s">
        <v>535</v>
      </c>
    </row>
    <row r="21" spans="1:54" x14ac:dyDescent="0.3">
      <c r="A21" s="128">
        <v>43344</v>
      </c>
      <c r="B21" s="29">
        <v>18</v>
      </c>
      <c r="C21" s="151"/>
      <c r="D21" s="162"/>
      <c r="E21" s="42"/>
      <c r="F21" s="151"/>
      <c r="G21" s="151"/>
      <c r="H21" s="41"/>
      <c r="I21" s="130"/>
      <c r="J21" s="130"/>
      <c r="S21" s="4">
        <f>stableMED[[#This Row],[NH4-N 
(mg L-1)]]*1.288</f>
        <v>0</v>
      </c>
      <c r="T21" s="6">
        <f>stableMED[[#This Row],[NO2-N 
(mg L-1)]]*3.284</f>
        <v>0</v>
      </c>
      <c r="U21" s="6">
        <f>(stableMED[[#This Row],[NO3-N 
(mg L-1)]])*4.426</f>
        <v>0</v>
      </c>
      <c r="V21" s="6"/>
      <c r="W21" s="6"/>
      <c r="X21" s="4"/>
      <c r="Y21" s="4"/>
      <c r="Z21" s="89"/>
      <c r="AA21" s="48"/>
      <c r="AB21" s="48"/>
      <c r="AC21" s="20"/>
      <c r="AD21" s="6"/>
      <c r="AE21" s="6"/>
      <c r="AF21" s="6"/>
      <c r="AG21" s="6"/>
      <c r="AH21" s="6"/>
      <c r="AI21" s="48"/>
      <c r="AJ21" s="6"/>
      <c r="AK21" s="6"/>
      <c r="AL21" s="6"/>
      <c r="AM21" s="6"/>
      <c r="AN21" s="6"/>
      <c r="AO21" s="6"/>
      <c r="AP21" s="6"/>
      <c r="AQ21" s="26"/>
      <c r="AR21" s="26"/>
      <c r="AS21" s="48"/>
      <c r="AT21" s="48"/>
      <c r="AU21" s="48"/>
      <c r="AV21" s="6"/>
      <c r="AW21" s="21"/>
      <c r="AX21" s="21"/>
      <c r="AY21" s="6"/>
      <c r="AZ21" s="6"/>
      <c r="BA21" s="6"/>
      <c r="BB21" s="29" t="s">
        <v>535</v>
      </c>
    </row>
    <row r="22" spans="1:54" x14ac:dyDescent="0.3">
      <c r="A22" s="128">
        <v>43345</v>
      </c>
      <c r="B22" s="29">
        <v>19</v>
      </c>
      <c r="C22" s="151"/>
      <c r="D22" s="162"/>
      <c r="E22" s="42"/>
      <c r="F22" s="151"/>
      <c r="G22" s="151"/>
      <c r="H22" s="41"/>
      <c r="I22" s="130"/>
      <c r="J22" s="130"/>
      <c r="S22" s="4">
        <f>stableMED[[#This Row],[NH4-N 
(mg L-1)]]*1.288</f>
        <v>0</v>
      </c>
      <c r="T22" s="6">
        <f>stableMED[[#This Row],[NO2-N 
(mg L-1)]]*3.284</f>
        <v>0</v>
      </c>
      <c r="U22" s="6">
        <f>(stableMED[[#This Row],[NO3-N 
(mg L-1)]])*4.426</f>
        <v>0</v>
      </c>
      <c r="V22" s="6"/>
      <c r="W22" s="6"/>
      <c r="X22" s="4"/>
      <c r="Y22" s="4"/>
      <c r="Z22" s="89"/>
      <c r="AA22" s="48"/>
      <c r="AB22" s="48"/>
      <c r="AC22" s="20"/>
      <c r="AD22" s="6"/>
      <c r="AE22" s="6"/>
      <c r="AF22" s="6"/>
      <c r="AG22" s="6"/>
      <c r="AH22" s="6"/>
      <c r="AI22" s="48"/>
      <c r="AJ22" s="6"/>
      <c r="AK22" s="6"/>
      <c r="AL22" s="6"/>
      <c r="AM22" s="6"/>
      <c r="AN22" s="6"/>
      <c r="AO22" s="6"/>
      <c r="AP22" s="6"/>
      <c r="AQ22" s="26"/>
      <c r="AR22" s="26"/>
      <c r="AS22" s="48"/>
      <c r="AT22" s="48"/>
      <c r="AU22" s="48"/>
      <c r="AV22" s="6"/>
      <c r="AW22" s="21"/>
      <c r="AX22" s="21"/>
      <c r="AY22" s="6"/>
      <c r="AZ22" s="6"/>
      <c r="BA22" s="6"/>
      <c r="BB22" s="29" t="s">
        <v>535</v>
      </c>
    </row>
    <row r="23" spans="1:54" x14ac:dyDescent="0.3">
      <c r="A23" s="128">
        <v>43346</v>
      </c>
      <c r="B23" s="29">
        <v>20</v>
      </c>
      <c r="C23" s="151"/>
      <c r="D23" s="162"/>
      <c r="E23" s="42"/>
      <c r="F23" s="151"/>
      <c r="G23" s="151"/>
      <c r="H23" s="41"/>
      <c r="I23" s="130"/>
      <c r="J23" s="130"/>
      <c r="S23" s="4">
        <f>stableMED[[#This Row],[NH4-N 
(mg L-1)]]*1.288</f>
        <v>0</v>
      </c>
      <c r="T23" s="6">
        <f>stableMED[[#This Row],[NO2-N 
(mg L-1)]]*3.284</f>
        <v>0</v>
      </c>
      <c r="U23" s="6">
        <f>(stableMED[[#This Row],[NO3-N 
(mg L-1)]])*4.426</f>
        <v>0</v>
      </c>
      <c r="V23" s="6"/>
      <c r="W23" s="6"/>
      <c r="X23" s="4"/>
      <c r="Y23" s="4"/>
      <c r="Z23" s="89"/>
      <c r="AA23" s="48"/>
      <c r="AB23" s="48"/>
      <c r="AC23" s="20"/>
      <c r="AD23" s="6"/>
      <c r="AE23" s="6"/>
      <c r="AF23" s="6"/>
      <c r="AG23" s="6"/>
      <c r="AH23" s="6"/>
      <c r="AI23" s="48"/>
      <c r="AJ23" s="6"/>
      <c r="AK23" s="6"/>
      <c r="AL23" s="6"/>
      <c r="AM23" s="6"/>
      <c r="AN23" s="6"/>
      <c r="AO23" s="6"/>
      <c r="AP23" s="6"/>
      <c r="AQ23" s="26"/>
      <c r="AR23" s="26"/>
      <c r="AS23" s="48"/>
      <c r="AT23" s="48"/>
      <c r="AU23" s="48"/>
      <c r="AV23" s="6"/>
      <c r="AW23" s="21"/>
      <c r="AX23" s="21"/>
      <c r="AY23" s="6"/>
      <c r="AZ23" s="6"/>
      <c r="BA23" s="6"/>
      <c r="BB23" s="29" t="s">
        <v>535</v>
      </c>
    </row>
    <row r="24" spans="1:54" x14ac:dyDescent="0.3">
      <c r="A24" s="128">
        <v>43347</v>
      </c>
      <c r="B24" s="29">
        <v>21</v>
      </c>
      <c r="C24" s="151"/>
      <c r="D24" s="162"/>
      <c r="E24" s="42"/>
      <c r="F24" s="151"/>
      <c r="G24" s="151"/>
      <c r="H24" s="41"/>
      <c r="I24" s="130"/>
      <c r="J24" s="130"/>
      <c r="S24" s="4">
        <f>stableMED[[#This Row],[NH4-N 
(mg L-1)]]*1.288</f>
        <v>0</v>
      </c>
      <c r="T24" s="6">
        <f>stableMED[[#This Row],[NO2-N 
(mg L-1)]]*3.284</f>
        <v>0</v>
      </c>
      <c r="U24" s="6">
        <f>(stableMED[[#This Row],[NO3-N 
(mg L-1)]])*4.426</f>
        <v>0</v>
      </c>
      <c r="V24" s="6"/>
      <c r="W24" s="6"/>
      <c r="X24" s="4"/>
      <c r="Y24" s="4"/>
      <c r="Z24" s="89"/>
      <c r="AA24" s="48"/>
      <c r="AB24" s="48"/>
      <c r="AC24" s="20"/>
      <c r="AD24" s="6"/>
      <c r="AE24" s="6"/>
      <c r="AF24" s="6"/>
      <c r="AG24" s="6"/>
      <c r="AH24" s="6"/>
      <c r="AI24" s="48"/>
      <c r="AJ24" s="6"/>
      <c r="AK24" s="6"/>
      <c r="AL24" s="6"/>
      <c r="AM24" s="6"/>
      <c r="AN24" s="6"/>
      <c r="AO24" s="6"/>
      <c r="AP24" s="6"/>
      <c r="AQ24" s="26"/>
      <c r="AR24" s="26"/>
      <c r="AS24" s="48"/>
      <c r="AT24" s="48"/>
      <c r="AU24" s="48"/>
      <c r="AV24" s="6"/>
      <c r="AW24" s="21"/>
      <c r="AX24" s="21"/>
      <c r="AY24" s="6"/>
      <c r="AZ24" s="6"/>
      <c r="BA24" s="6"/>
      <c r="BB24" s="29" t="s">
        <v>535</v>
      </c>
    </row>
    <row r="25" spans="1:54" x14ac:dyDescent="0.3">
      <c r="A25" s="128">
        <v>43348</v>
      </c>
      <c r="B25" s="29">
        <v>22</v>
      </c>
      <c r="C25" s="151"/>
      <c r="D25" s="162"/>
      <c r="E25" s="42"/>
      <c r="F25" s="151"/>
      <c r="G25" s="151"/>
      <c r="H25" s="41"/>
      <c r="I25" s="130"/>
      <c r="J25" s="130"/>
      <c r="S25" s="4">
        <f>stableMED[[#This Row],[NH4-N 
(mg L-1)]]*1.288</f>
        <v>0</v>
      </c>
      <c r="T25" s="6">
        <f>stableMED[[#This Row],[NO2-N 
(mg L-1)]]*3.284</f>
        <v>0</v>
      </c>
      <c r="U25" s="6">
        <f>(stableMED[[#This Row],[NO3-N 
(mg L-1)]])*4.426</f>
        <v>0</v>
      </c>
      <c r="V25" s="6"/>
      <c r="W25" s="6"/>
      <c r="X25" s="4"/>
      <c r="Y25" s="4"/>
      <c r="Z25" s="89"/>
      <c r="AA25" s="48"/>
      <c r="AB25" s="48"/>
      <c r="AC25" s="20"/>
      <c r="AD25" s="6"/>
      <c r="AE25" s="6"/>
      <c r="AF25" s="6"/>
      <c r="AG25" s="6"/>
      <c r="AH25" s="6"/>
      <c r="AI25" s="48"/>
      <c r="AJ25" s="6"/>
      <c r="AK25" s="6"/>
      <c r="AL25" s="6"/>
      <c r="AM25" s="6"/>
      <c r="AN25" s="6"/>
      <c r="AO25" s="6"/>
      <c r="AP25" s="6"/>
      <c r="AQ25" s="26"/>
      <c r="AR25" s="26"/>
      <c r="AS25" s="48"/>
      <c r="AT25" s="48"/>
      <c r="AU25" s="48"/>
      <c r="AV25" s="6"/>
      <c r="AW25" s="21"/>
      <c r="AX25" s="21"/>
      <c r="AY25" s="6"/>
      <c r="AZ25" s="6"/>
      <c r="BA25" s="6"/>
      <c r="BB25" s="29" t="s">
        <v>535</v>
      </c>
    </row>
    <row r="26" spans="1:54" x14ac:dyDescent="0.3">
      <c r="A26" s="128">
        <v>43349</v>
      </c>
      <c r="B26" s="29">
        <v>23</v>
      </c>
      <c r="C26" s="151"/>
      <c r="D26" s="162"/>
      <c r="E26" s="42"/>
      <c r="F26" s="151"/>
      <c r="G26" s="151"/>
      <c r="H26" s="41"/>
      <c r="I26" s="130"/>
      <c r="J26" s="130"/>
      <c r="S26" s="4">
        <f>stableMED[[#This Row],[NH4-N 
(mg L-1)]]*1.288</f>
        <v>0</v>
      </c>
      <c r="T26" s="6">
        <f>stableMED[[#This Row],[NO2-N 
(mg L-1)]]*3.284</f>
        <v>0</v>
      </c>
      <c r="U26" s="6">
        <f>(stableMED[[#This Row],[NO3-N 
(mg L-1)]])*4.426</f>
        <v>0</v>
      </c>
      <c r="V26" s="6"/>
      <c r="W26" s="6"/>
      <c r="X26" s="4"/>
      <c r="Y26" s="4"/>
      <c r="Z26" s="89"/>
      <c r="AA26" s="48"/>
      <c r="AB26" s="48"/>
      <c r="AC26" s="20"/>
      <c r="AD26" s="6"/>
      <c r="AE26" s="6"/>
      <c r="AF26" s="6"/>
      <c r="AG26" s="6"/>
      <c r="AH26" s="6"/>
      <c r="AI26" s="48"/>
      <c r="AJ26" s="6"/>
      <c r="AK26" s="6"/>
      <c r="AL26" s="6"/>
      <c r="AM26" s="6"/>
      <c r="AN26" s="6"/>
      <c r="AO26" s="6"/>
      <c r="AP26" s="6"/>
      <c r="AQ26" s="26"/>
      <c r="AR26" s="26"/>
      <c r="AS26" s="48"/>
      <c r="AT26" s="48"/>
      <c r="AU26" s="48"/>
      <c r="AV26" s="6"/>
      <c r="AW26" s="21"/>
      <c r="AX26" s="21"/>
      <c r="AY26" s="6"/>
      <c r="AZ26" s="6"/>
      <c r="BA26" s="6"/>
      <c r="BB26" s="29" t="s">
        <v>537</v>
      </c>
    </row>
    <row r="27" spans="1:54" x14ac:dyDescent="0.3">
      <c r="A27" s="128">
        <v>43350</v>
      </c>
      <c r="B27" s="29">
        <v>24</v>
      </c>
      <c r="C27" s="151"/>
      <c r="D27" s="162"/>
      <c r="E27" s="42"/>
      <c r="F27" s="151"/>
      <c r="G27" s="151"/>
      <c r="H27" s="41"/>
      <c r="I27" s="130"/>
      <c r="J27" s="130"/>
      <c r="S27" s="4">
        <f>stableMED[[#This Row],[NH4-N 
(mg L-1)]]*1.288</f>
        <v>0</v>
      </c>
      <c r="T27" s="6">
        <f>stableMED[[#This Row],[NO2-N 
(mg L-1)]]*3.284</f>
        <v>0</v>
      </c>
      <c r="U27" s="6">
        <f>(stableMED[[#This Row],[NO3-N 
(mg L-1)]])*4.426</f>
        <v>0</v>
      </c>
      <c r="V27" s="6"/>
      <c r="W27" s="6"/>
      <c r="X27" s="4"/>
      <c r="Y27" s="4"/>
      <c r="Z27" s="89"/>
      <c r="AA27" s="48"/>
      <c r="AB27" s="48"/>
      <c r="AC27" s="20"/>
      <c r="AD27" s="6"/>
      <c r="AE27" s="6"/>
      <c r="AF27" s="6"/>
      <c r="AG27" s="6"/>
      <c r="AH27" s="6"/>
      <c r="AI27" s="48"/>
      <c r="AJ27" s="6"/>
      <c r="AK27" s="6"/>
      <c r="AL27" s="6"/>
      <c r="AM27" s="6"/>
      <c r="AN27" s="6"/>
      <c r="AO27" s="6"/>
      <c r="AP27" s="6"/>
      <c r="AQ27" s="26"/>
      <c r="AR27" s="26"/>
      <c r="AS27" s="48"/>
      <c r="AT27" s="48"/>
      <c r="AU27" s="48"/>
      <c r="AV27" s="6"/>
      <c r="AW27" s="21"/>
      <c r="AX27" s="21"/>
      <c r="AY27" s="6"/>
      <c r="AZ27" s="6"/>
      <c r="BA27" s="6"/>
      <c r="BB27" s="29" t="s">
        <v>535</v>
      </c>
    </row>
    <row r="28" spans="1:54" x14ac:dyDescent="0.3">
      <c r="A28" s="128">
        <v>43351</v>
      </c>
      <c r="B28" s="29">
        <v>25</v>
      </c>
      <c r="C28" s="151"/>
      <c r="D28" s="162"/>
      <c r="E28" s="42"/>
      <c r="F28" s="151"/>
      <c r="G28" s="151"/>
      <c r="H28" s="41"/>
      <c r="I28" s="130"/>
      <c r="J28" s="130"/>
      <c r="S28" s="4">
        <f>stableMED[[#This Row],[NH4-N 
(mg L-1)]]*1.288</f>
        <v>0</v>
      </c>
      <c r="T28" s="6">
        <f>stableMED[[#This Row],[NO2-N 
(mg L-1)]]*3.284</f>
        <v>0</v>
      </c>
      <c r="U28" s="6">
        <f>(stableMED[[#This Row],[NO3-N 
(mg L-1)]])*4.426</f>
        <v>0</v>
      </c>
      <c r="V28" s="6"/>
      <c r="W28" s="6"/>
      <c r="X28" s="4"/>
      <c r="Y28" s="4"/>
      <c r="Z28" s="89"/>
      <c r="AA28" s="48"/>
      <c r="AB28" s="48"/>
      <c r="AC28" s="20"/>
      <c r="AD28" s="6"/>
      <c r="AE28" s="6"/>
      <c r="AF28" s="6"/>
      <c r="AG28" s="6"/>
      <c r="AH28" s="6"/>
      <c r="AI28" s="48"/>
      <c r="AJ28" s="6"/>
      <c r="AK28" s="6"/>
      <c r="AL28" s="6"/>
      <c r="AM28" s="6"/>
      <c r="AN28" s="6"/>
      <c r="AO28" s="6"/>
      <c r="AP28" s="6"/>
      <c r="AQ28" s="26"/>
      <c r="AR28" s="26"/>
      <c r="AS28" s="48"/>
      <c r="AT28" s="48"/>
      <c r="AU28" s="48"/>
      <c r="AV28" s="6"/>
      <c r="AW28" s="21"/>
      <c r="AX28" s="21"/>
      <c r="AY28" s="6"/>
      <c r="AZ28" s="6"/>
      <c r="BA28" s="6"/>
      <c r="BB28" s="29" t="s">
        <v>535</v>
      </c>
    </row>
    <row r="29" spans="1:54" x14ac:dyDescent="0.3">
      <c r="A29" s="128">
        <v>43352</v>
      </c>
      <c r="B29" s="29">
        <v>26</v>
      </c>
      <c r="C29" s="151"/>
      <c r="D29" s="162"/>
      <c r="E29" s="42"/>
      <c r="F29" s="151"/>
      <c r="G29" s="151"/>
      <c r="H29" s="41"/>
      <c r="I29" s="130"/>
      <c r="J29" s="130"/>
      <c r="S29" s="4">
        <f>stableMED[[#This Row],[NH4-N 
(mg L-1)]]*1.288</f>
        <v>0</v>
      </c>
      <c r="T29" s="6">
        <f>stableMED[[#This Row],[NO2-N 
(mg L-1)]]*3.284</f>
        <v>0</v>
      </c>
      <c r="U29" s="6">
        <f>(stableMED[[#This Row],[NO3-N 
(mg L-1)]])*4.426</f>
        <v>0</v>
      </c>
      <c r="V29" s="6"/>
      <c r="W29" s="6"/>
      <c r="X29" s="4"/>
      <c r="Y29" s="4"/>
      <c r="Z29" s="89"/>
      <c r="AA29" s="48"/>
      <c r="AB29" s="48"/>
      <c r="AC29" s="20"/>
      <c r="AD29" s="6"/>
      <c r="AE29" s="6"/>
      <c r="AF29" s="6"/>
      <c r="AG29" s="6"/>
      <c r="AH29" s="6"/>
      <c r="AI29" s="48"/>
      <c r="AJ29" s="6"/>
      <c r="AK29" s="6"/>
      <c r="AL29" s="6"/>
      <c r="AM29" s="6"/>
      <c r="AN29" s="6"/>
      <c r="AO29" s="6"/>
      <c r="AP29" s="6"/>
      <c r="AQ29" s="26"/>
      <c r="AR29" s="26"/>
      <c r="AS29" s="48"/>
      <c r="AT29" s="48"/>
      <c r="AU29" s="48"/>
      <c r="AV29" s="6"/>
      <c r="AW29" s="21"/>
      <c r="AX29" s="21"/>
      <c r="AY29" s="6"/>
      <c r="AZ29" s="6"/>
      <c r="BA29" s="6"/>
      <c r="BB29" s="29" t="s">
        <v>535</v>
      </c>
    </row>
    <row r="30" spans="1:54" x14ac:dyDescent="0.3">
      <c r="A30" s="128">
        <v>43353</v>
      </c>
      <c r="B30" s="29">
        <v>27</v>
      </c>
      <c r="C30" s="151"/>
      <c r="D30" s="162"/>
      <c r="E30" s="42"/>
      <c r="F30" s="151"/>
      <c r="G30" s="151"/>
      <c r="H30" s="41"/>
      <c r="I30" s="130"/>
      <c r="J30" s="130"/>
      <c r="S30" s="4">
        <f>stableMED[[#This Row],[NH4-N 
(mg L-1)]]*1.288</f>
        <v>0</v>
      </c>
      <c r="T30" s="6">
        <f>stableMED[[#This Row],[NO2-N 
(mg L-1)]]*3.284</f>
        <v>0</v>
      </c>
      <c r="U30" s="6">
        <f>(stableMED[[#This Row],[NO3-N 
(mg L-1)]])*4.426</f>
        <v>0</v>
      </c>
      <c r="V30" s="6"/>
      <c r="W30" s="6"/>
      <c r="X30" s="4"/>
      <c r="Y30" s="4"/>
      <c r="Z30" s="89"/>
      <c r="AA30" s="48"/>
      <c r="AB30" s="48"/>
      <c r="AC30" s="20"/>
      <c r="AD30" s="6"/>
      <c r="AE30" s="6"/>
      <c r="AF30" s="6"/>
      <c r="AG30" s="6"/>
      <c r="AH30" s="6"/>
      <c r="AI30" s="48"/>
      <c r="AJ30" s="6"/>
      <c r="AK30" s="6"/>
      <c r="AL30" s="6"/>
      <c r="AM30" s="6"/>
      <c r="AN30" s="6"/>
      <c r="AO30" s="6"/>
      <c r="AP30" s="6"/>
      <c r="AQ30" s="26"/>
      <c r="AR30" s="26"/>
      <c r="AS30" s="48"/>
      <c r="AT30" s="48"/>
      <c r="AU30" s="48"/>
      <c r="AV30" s="6"/>
      <c r="AW30" s="21"/>
      <c r="AX30" s="21"/>
      <c r="AY30" s="6"/>
      <c r="AZ30" s="6"/>
      <c r="BA30" s="6"/>
      <c r="BB30" s="29" t="s">
        <v>535</v>
      </c>
    </row>
    <row r="31" spans="1:54" x14ac:dyDescent="0.3">
      <c r="A31" s="128">
        <v>43354</v>
      </c>
      <c r="B31" s="29">
        <v>28</v>
      </c>
      <c r="C31" s="151"/>
      <c r="D31" s="162"/>
      <c r="E31" s="42"/>
      <c r="F31" s="151"/>
      <c r="G31" s="151"/>
      <c r="H31" s="41"/>
      <c r="I31" s="130"/>
      <c r="J31" s="130"/>
      <c r="S31" s="4"/>
      <c r="T31" s="6"/>
      <c r="U31" s="6"/>
      <c r="X31" s="4"/>
      <c r="Y31" s="4"/>
      <c r="Z31" s="89"/>
      <c r="AA31" s="48"/>
      <c r="AB31" s="48"/>
      <c r="AC31" s="20"/>
      <c r="AD31" s="6"/>
      <c r="AE31" s="6"/>
      <c r="AF31" s="6"/>
      <c r="AG31" s="6"/>
      <c r="AH31" s="6"/>
      <c r="AI31" s="48"/>
      <c r="AJ31" s="6"/>
      <c r="AK31" s="6"/>
      <c r="AL31" s="6"/>
      <c r="AM31" s="6"/>
      <c r="AN31" s="6"/>
      <c r="AO31" s="6"/>
      <c r="AP31" s="6"/>
      <c r="AQ31" s="26"/>
      <c r="AR31" s="26"/>
      <c r="AS31" s="48"/>
      <c r="AT31" s="48"/>
      <c r="AU31" s="48"/>
      <c r="AV31" s="6"/>
      <c r="AW31" s="21"/>
      <c r="AX31" s="21"/>
      <c r="AY31" s="6"/>
      <c r="AZ31" s="6"/>
      <c r="BA31" s="6"/>
      <c r="BB31" s="29" t="s">
        <v>539</v>
      </c>
    </row>
    <row r="32" spans="1:54" x14ac:dyDescent="0.3">
      <c r="A32" s="128">
        <v>43355</v>
      </c>
      <c r="B32" s="29">
        <v>29</v>
      </c>
      <c r="C32" s="151">
        <v>3.8807380246603005</v>
      </c>
      <c r="D32" s="162">
        <f>stableMED[[#This Row],[Flow 
(L h-1)]]/1000*24</f>
        <v>9.3137712591847222E-2</v>
      </c>
      <c r="E32" s="42">
        <f>IF(IFERROR(Information!$R$47/stableMED[[#This Row],[Flow 
(m3 d-1)]]*24,0)&lt;0,0,IFERROR(Information!$R$47/stableMED[[#This Row],[Flow 
(m3 d-1)]]*24,0))</f>
        <v>309.21953308225221</v>
      </c>
      <c r="F32" s="151">
        <v>6.3786664806857205</v>
      </c>
      <c r="G32" s="151">
        <v>0.51188562934812842</v>
      </c>
      <c r="H32" s="41">
        <v>30.485470553646067</v>
      </c>
      <c r="I32" s="130">
        <v>17620</v>
      </c>
      <c r="J32" s="130">
        <v>6720</v>
      </c>
      <c r="K32" s="29">
        <v>1740</v>
      </c>
      <c r="L32" s="29">
        <f>stableMED[[#This Row],[COD 
(mg L-1)]]*Information!$AK$42</f>
        <v>1235.3999999999999</v>
      </c>
      <c r="M32" s="29">
        <v>517</v>
      </c>
      <c r="N32" s="29">
        <v>7.3</v>
      </c>
      <c r="O32" s="29">
        <v>1460</v>
      </c>
      <c r="Q32" s="29">
        <v>2.42</v>
      </c>
      <c r="S32" s="4">
        <f>stableMED[[#This Row],[NH4-N 
(mg L-1)]]*1.288</f>
        <v>26.803279999999997</v>
      </c>
      <c r="T32" s="6">
        <f>stableMED[[#This Row],[NO2-N 
(mg L-1)]]*3.284</f>
        <v>0</v>
      </c>
      <c r="U32" s="6">
        <f>(stableMED[[#This Row],[NO3-N 
(mg L-1)]])*4.426</f>
        <v>0</v>
      </c>
      <c r="V32" s="29">
        <v>20.81</v>
      </c>
      <c r="X32" s="4"/>
      <c r="Y32" s="4"/>
      <c r="Z32" s="89"/>
      <c r="AA32" s="48"/>
      <c r="AB32" s="48"/>
      <c r="AC32" s="20"/>
      <c r="AD32" s="6"/>
      <c r="AE32" s="6">
        <f>Influent[[#This Row],[NH4-N (mg L-1)]]*stableMED[[#This Row],[Flow 
(m3 d-1)]]/(Information!$R$48*Information!$R$49)</f>
        <v>0.22845904751175192</v>
      </c>
      <c r="AF32" s="6">
        <f>(Influent[[#This Row],[NH4-N (mg L-1)]]-stableMED[[#This Row],[NH4-N 
(mg L-1)]])*stableMED[[#This Row],[Flow 
(m3 d-1)]]/(Information!$R$48*Information!$R$49)</f>
        <v>0.22442113959709289</v>
      </c>
      <c r="AG32" s="6">
        <f>Influent[[#This Row],[COD (mg L-1)]]*stableMED[[#This Row],[Flow 
(m3 d-1)]]/(Information!$R$48*Information!$R$49)</f>
        <v>0.51031705024282958</v>
      </c>
      <c r="AH32" s="6">
        <f>(Influent[[#This Row],[COD (mg L-1)]]-stableMED[[#This Row],[COD 
(mg L-1)]])*stableMED[[#This Row],[Flow 
(m3 d-1)]]/(Information!$R$48*Information!$R$49)</f>
        <v>0.17269284209738339</v>
      </c>
      <c r="AI32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1156.5900000000001</v>
      </c>
      <c r="AJ32" s="6">
        <f>IFERROR(IF(Influent[[#This Row],[COD (mg L-1)]]-stableMED[[#This Row],[COD 
(mg L-1)]]&lt;0,0,Influent[[#This Row],[COD (mg L-1)]]-stableMED[[#This Row],[COD 
(mg L-1)]]),0)</f>
        <v>890</v>
      </c>
      <c r="AK32" s="6">
        <f>IFERROR(IF(Influent[[#This Row],[Alkalinity (mg CaCO3 L-1) ]]-stableMED[[#This Row],[Alkalinity 
(mg CaCO3 L-1) ]]&lt;0,0,Influent[[#This Row],[Alkalinity (mg CaCO3 L-1) ]]-stableMED[[#This Row],[Alkalinity 
(mg CaCO3 L-1) ]]),0)</f>
        <v>3780</v>
      </c>
      <c r="AL32" s="6">
        <f>Influent[[#This Row],[COD (mg L-1)]]/stableMED[[#This Row],[HRT 
(h)]]*24/1000</f>
        <v>0.20412682009713182</v>
      </c>
      <c r="AM32" s="6">
        <f>IF(((stableMED[[#This Row],[ΔC (mg L-1)]])*24/stableMED[[#This Row],[HRT 
(h)]]/1000) &lt;0,0, (stableMED[[#This Row],[ΔC (mg L-1)]])*24/stableMED[[#This Row],[HRT 
(h)]]/1000)</f>
        <v>6.9077136838953349E-2</v>
      </c>
      <c r="AN32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8.976845583883715E-2</v>
      </c>
      <c r="AO32" s="6">
        <f>Influent[[#This Row],[TN (mg L-1)]]/stableMED[[#This Row],[HRT 
(h)]]*24/1000</f>
        <v>9.1399141956799407E-2</v>
      </c>
      <c r="AP32" s="6"/>
      <c r="AQ32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0.98232546288432143</v>
      </c>
      <c r="AR32" s="26"/>
      <c r="AS32" s="48"/>
      <c r="AT32" s="48"/>
      <c r="AU32" s="48"/>
      <c r="AV32" s="6"/>
      <c r="AW32" s="21"/>
      <c r="AX32" s="21"/>
      <c r="AY32" s="6">
        <f>stableMED[[#This Row],[NH4-N 
(mg L-1)]]-20</f>
        <v>0.80999999999999872</v>
      </c>
      <c r="AZ32" s="6">
        <f>stableMED[[#This Row],[Ammonia residual to reach target]]*2.9</f>
        <v>2.3489999999999962</v>
      </c>
      <c r="BA32" s="6">
        <f>stableMED[[#This Row],[Alkalinity 
(mg CaCO3 L-1) ]]-stableMED[[#This Row],[Alkalinity need]]-70</f>
        <v>444.65099999999995</v>
      </c>
      <c r="BB32" s="29" t="s">
        <v>543</v>
      </c>
    </row>
    <row r="33" spans="1:54" x14ac:dyDescent="0.3">
      <c r="A33" s="128">
        <v>43356</v>
      </c>
      <c r="B33" s="29">
        <v>30</v>
      </c>
      <c r="C33" s="151">
        <v>9.293366018909003</v>
      </c>
      <c r="D33" s="162">
        <f>stableMED[[#This Row],[Flow 
(L h-1)]]/1000*24</f>
        <v>0.22304078445381609</v>
      </c>
      <c r="E33" s="42">
        <f>IF(IFERROR(Information!$R$47/stableMED[[#This Row],[Flow 
(m3 d-1)]]*24,0)&lt;0,0,IFERROR(Information!$R$47/stableMED[[#This Row],[Flow 
(m3 d-1)]]*24,0))</f>
        <v>129.12436651675904</v>
      </c>
      <c r="F33" s="151">
        <v>6.3551720771802795</v>
      </c>
      <c r="G33" s="151">
        <v>0.78811567128532178</v>
      </c>
      <c r="H33" s="41">
        <v>32.51722166001155</v>
      </c>
      <c r="I33" s="41">
        <f>stableMED[[#This Row],[MLVSS 
(mg L-1)]]/0.47</f>
        <v>13872.340425531916</v>
      </c>
      <c r="J33" s="130">
        <f>3260*2</f>
        <v>6520</v>
      </c>
      <c r="M33" s="29">
        <v>1901</v>
      </c>
      <c r="N33" s="29">
        <v>7.3</v>
      </c>
      <c r="Q33" s="29">
        <v>104.85</v>
      </c>
      <c r="S33" s="4">
        <f>stableMED[[#This Row],[NH4-N 
(mg L-1)]]*1.288</f>
        <v>24.897039999999997</v>
      </c>
      <c r="T33" s="6">
        <f>stableMED[[#This Row],[NO2-N 
(mg L-1)]]*3.284</f>
        <v>0</v>
      </c>
      <c r="U33" s="6">
        <f>(stableMED[[#This Row],[NO3-N 
(mg L-1)]])*4.426</f>
        <v>0</v>
      </c>
      <c r="V33" s="29">
        <v>19.329999999999998</v>
      </c>
      <c r="X33" s="4"/>
      <c r="Y33" s="4"/>
      <c r="Z33" s="89"/>
      <c r="AA33" s="48"/>
      <c r="AB33" s="48"/>
      <c r="AC33" s="20"/>
      <c r="AD33" s="6"/>
      <c r="AE33" s="6">
        <f>Influent[[#This Row],[NH4-N (mg L-1)]]*stableMED[[#This Row],[Flow 
(m3 d-1)]]/(Information!$R$48*Information!$R$49)</f>
        <v>0.62437479598040146</v>
      </c>
      <c r="AF33" s="6">
        <f>(Influent[[#This Row],[NH4-N (mg L-1)]]-stableMED[[#This Row],[NH4-N 
(mg L-1)]])*stableMED[[#This Row],[Flow 
(m3 d-1)]]/(Information!$R$48*Information!$R$49)</f>
        <v>0.61539275772312585</v>
      </c>
      <c r="AG33" s="6">
        <f>Influent[[#This Row],[COD (mg L-1)]]*stableMED[[#This Row],[Flow 
(m3 d-1)]]/(Information!$R$48*Information!$R$49)</f>
        <v>1.3057179256567151</v>
      </c>
      <c r="AH33" s="6">
        <f>(Influent[[#This Row],[COD (mg L-1)]]-stableMED[[#This Row],[COD 
(mg L-1)]])*stableMED[[#This Row],[Flow 
(m3 d-1)]]/(Information!$R$48*Information!$R$49)</f>
        <v>1.3057179256567151</v>
      </c>
      <c r="AI33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1324.3700000000001</v>
      </c>
      <c r="AJ33" s="6">
        <f>IFERROR(IF(Influent[[#This Row],[COD (mg L-1)]]-stableMED[[#This Row],[COD 
(mg L-1)]]&lt;0,0,Influent[[#This Row],[COD (mg L-1)]]-stableMED[[#This Row],[COD 
(mg L-1)]]),0)</f>
        <v>2810</v>
      </c>
      <c r="AK33" s="6">
        <f>IFERROR(IF(Influent[[#This Row],[Alkalinity (mg CaCO3 L-1) ]]-stableMED[[#This Row],[Alkalinity 
(mg CaCO3 L-1) ]]&lt;0,0,Influent[[#This Row],[Alkalinity (mg CaCO3 L-1) ]]-stableMED[[#This Row],[Alkalinity 
(mg CaCO3 L-1) ]]),0)</f>
        <v>2923</v>
      </c>
      <c r="AL33" s="6"/>
      <c r="AM33" s="6"/>
      <c r="AN33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0.24615710308925037</v>
      </c>
      <c r="AO33" s="6">
        <f>Influent[[#This Row],[TN (mg L-1)]]/stableMED[[#This Row],[HRT 
(h)]]*24/1000</f>
        <v>0.25093612363081413</v>
      </c>
      <c r="AP33" s="6"/>
      <c r="AQ33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0.98561434844087226</v>
      </c>
      <c r="AR33" s="26"/>
      <c r="AS33" s="48"/>
      <c r="AT33" s="48"/>
      <c r="AU33" s="48"/>
      <c r="AV33" s="6"/>
      <c r="AW33" s="21"/>
      <c r="AX33" s="21"/>
      <c r="AY33" s="6"/>
      <c r="AZ33" s="6"/>
      <c r="BA33" s="6"/>
    </row>
    <row r="34" spans="1:54" x14ac:dyDescent="0.3">
      <c r="A34" s="128">
        <v>43357</v>
      </c>
      <c r="B34" s="29">
        <v>31</v>
      </c>
      <c r="C34" s="151">
        <v>9.2575169217044468</v>
      </c>
      <c r="D34" s="162">
        <f>stableMED[[#This Row],[Flow 
(L h-1)]]/1000*24</f>
        <v>0.22218040612090673</v>
      </c>
      <c r="E34" s="42">
        <f>IF(IFERROR(Information!$R$47/stableMED[[#This Row],[Flow 
(m3 d-1)]]*24,0)&lt;0,0,IFERROR(Information!$R$47/stableMED[[#This Row],[Flow 
(m3 d-1)]]*24,0))</f>
        <v>129.62439174014085</v>
      </c>
      <c r="F34" s="151">
        <v>6.7381538952526556</v>
      </c>
      <c r="G34" s="151">
        <v>0.67350789719687609</v>
      </c>
      <c r="H34" s="41">
        <v>28.081257666866218</v>
      </c>
      <c r="I34" s="130"/>
      <c r="J34" s="130"/>
      <c r="M34" s="29">
        <v>510</v>
      </c>
      <c r="N34" s="29">
        <v>7.5</v>
      </c>
      <c r="Q34" s="29">
        <v>4.1900000000000004</v>
      </c>
      <c r="R34" s="29">
        <v>0.2</v>
      </c>
      <c r="S34" s="4">
        <f>stableMED[[#This Row],[NH4-N 
(mg L-1)]]*1.288</f>
        <v>86.824079999999995</v>
      </c>
      <c r="T34" s="6">
        <f>stableMED[[#This Row],[NO2-N 
(mg L-1)]]*3.284</f>
        <v>0.39079599999999998</v>
      </c>
      <c r="U34" s="6">
        <f>(stableMED[[#This Row],[NO3-N 
(mg L-1)]])*4.426</f>
        <v>0.3585060000000001</v>
      </c>
      <c r="V34" s="29">
        <v>67.41</v>
      </c>
      <c r="W34" s="29">
        <v>0.11899999999999999</v>
      </c>
      <c r="X34" s="4">
        <f>IF(stableMED[[#This Row],[TON 
(mg L-1)]]-stableMED[[#This Row],[NO2-N 
(mg L-1)]]&lt;0,0.192,stableMED[[#This Row],[TON 
(mg L-1)]]-stableMED[[#This Row],[NO2-N 
(mg L-1)]])</f>
        <v>8.1000000000000016E-2</v>
      </c>
      <c r="Y34" s="4">
        <f>SUM(stableMED[[#This Row],[NH4-N 
(mg L-1)]],stableMED[[#This Row],[NO3-N 
(mg L-1)]],stableMED[[#This Row],[NO2-N 
(mg L-1)]])</f>
        <v>67.61</v>
      </c>
      <c r="Z34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5.826541695739433E-5</v>
      </c>
      <c r="AA34" s="48">
        <f>IF(IFERROR(stableMED[[#This Row],[NO2-N 
(mg L-1)]]/stableMED[[#This Row],[NH4-N 
(mg L-1)]],0)&lt;0,0,IFERROR(stableMED[[#This Row],[NO2-N 
(mg L-1)]]/stableMED[[#This Row],[NH4-N 
(mg L-1)]],0))</f>
        <v>1.7653167185877467E-3</v>
      </c>
      <c r="AB34" s="48">
        <f>stableMED[[#This Row],[NO2-N 
(mg L-1)]]/(stableMED[[#This Row],[NO3-N 
(mg L-1)]]+stableMED[[#This Row],[NO2-N 
(mg L-1)]])</f>
        <v>0.59499999999999997</v>
      </c>
      <c r="AC34" s="20">
        <f>46/14*stableMED[[#This Row],[NO2-N 
(mg L-1)]]/(EXP(-2300/(stableMED[[#This Row],[Temp. 
(°C)]]+273))*10^(stableMED[[#This Row],[pHreactor]]))</f>
        <v>1.4847608264440288E-4</v>
      </c>
      <c r="AD34" s="6">
        <f>17/14*stableMED[NH4-N 
(mg L-1)]*10^stableMED[[#This Row],[pHreactor]]/(EXP((6344/(273+stableMED[[#This Row],[Temp. 
(°C)]])))+10^stableMED[pHreactor])</f>
        <v>0.31522767942423863</v>
      </c>
      <c r="AE34" s="6">
        <f>Influent[[#This Row],[NH4-N (mg L-1)]]*stableMED[[#This Row],[Flow 
(m3 d-1)]]/(Information!$R$48*Information!$R$49)</f>
        <v>0.67468783325382009</v>
      </c>
      <c r="AF34" s="6">
        <f>(Influent[[#This Row],[NH4-N (mg L-1)]]-stableMED[[#This Row],[NH4-N 
(mg L-1)]])*stableMED[[#This Row],[Flow 
(m3 d-1)]]/(Information!$R$48*Information!$R$49)</f>
        <v>0.64348537246921511</v>
      </c>
      <c r="AG34" s="6">
        <f>Influent[[#This Row],[COD (mg L-1)]]*stableMED[[#This Row],[Flow 
(m3 d-1)]]/(Information!$R$48*Information!$R$49)</f>
        <v>1.2752229559647874</v>
      </c>
      <c r="AH34" s="6">
        <f>(Influent[[#This Row],[COD (mg L-1)]]-stableMED[[#This Row],[COD 
(mg L-1)]])*stableMED[[#This Row],[Flow 
(m3 d-1)]]/(Information!$R$48*Information!$R$49)</f>
        <v>1.2752229559647874</v>
      </c>
      <c r="AI34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1389.99</v>
      </c>
      <c r="AJ34" s="6">
        <f>IFERROR(IF(Influent[[#This Row],[COD (mg L-1)]]-stableMED[[#This Row],[COD 
(mg L-1)]]&lt;0,0,Influent[[#This Row],[COD (mg L-1)]]-stableMED[[#This Row],[COD 
(mg L-1)]]),0)</f>
        <v>2755</v>
      </c>
      <c r="AK34" s="6">
        <f>IFERROR(IF(Influent[[#This Row],[Alkalinity (mg CaCO3 L-1) ]]-stableMED[[#This Row],[Alkalinity 
(mg CaCO3 L-1) ]]&lt;0,0,Influent[[#This Row],[Alkalinity (mg CaCO3 L-1) ]]-stableMED[[#This Row],[Alkalinity 
(mg CaCO3 L-1) ]]),0)</f>
        <v>4540</v>
      </c>
      <c r="AL34" s="6"/>
      <c r="AM34" s="6"/>
      <c r="AN34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0.25739414898768609</v>
      </c>
      <c r="AO34" s="6">
        <f>Influent[[#This Row],[TN (mg L-1)]]/stableMED[[#This Row],[HRT 
(h)]]*24/1000</f>
        <v>0.26991216336921486</v>
      </c>
      <c r="AP34" s="6">
        <f>stableMED[[#This Row],[NRE 
(%)]]*stableMED[[#This Row],[NLR 
(kg N m-3 d-1)]]</f>
        <v>0.25739414898768614</v>
      </c>
      <c r="AQ34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0.95375274423710199</v>
      </c>
      <c r="AR34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0.95362189600768288</v>
      </c>
      <c r="AS34" s="48">
        <f>660/30</f>
        <v>22</v>
      </c>
      <c r="AT34" s="48">
        <v>0.13200000000000001</v>
      </c>
      <c r="AU34" s="48">
        <v>3.4000000000000002E-2</v>
      </c>
      <c r="AV34" s="6">
        <f>stableMED[[#This Row],[SAAcarrier
(g N g VSS-1d-1)]]+stableMED[[#This Row],[SAAsuspension
(g N g VSS-1d-1)]]</f>
        <v>0.16600000000000001</v>
      </c>
      <c r="AW34" s="21">
        <f>stableMED[[#This Row],[SAAcarrier
(g N g VSS-1d-1)]]/MAX(stableMED[SAAcombined
(g N g VSS-1d-1)])</f>
        <v>6.4453125E-2</v>
      </c>
      <c r="AX34" s="21">
        <f>stableMED[[#This Row],[SAAsuspension
(g N g VSS-1d-1)]]/MAX(stableMED[SAAcombined
(g N g VSS-1d-1)])</f>
        <v>1.66015625E-2</v>
      </c>
      <c r="AY34" s="6">
        <f>stableMED[[#This Row],[NH4-N 
(mg L-1)]]-20</f>
        <v>47.41</v>
      </c>
      <c r="AZ34" s="6">
        <f>stableMED[[#This Row],[Ammonia residual to reach target]]*2.9</f>
        <v>137.48899999999998</v>
      </c>
      <c r="BA34" s="6">
        <f>stableMED[[#This Row],[Alkalinity 
(mg CaCO3 L-1) ]]-stableMED[[#This Row],[Alkalinity need]]-70</f>
        <v>302.51100000000002</v>
      </c>
    </row>
    <row r="35" spans="1:54" x14ac:dyDescent="0.3">
      <c r="A35" s="128">
        <v>43358</v>
      </c>
      <c r="B35" s="29">
        <v>32</v>
      </c>
      <c r="C35" s="151">
        <v>14.434018135732845</v>
      </c>
      <c r="D35" s="162">
        <f>stableMED[[#This Row],[Flow 
(L h-1)]]/1000*24</f>
        <v>0.34641643525758825</v>
      </c>
      <c r="E35" s="42">
        <f>IF(IFERROR(Information!$R$47/stableMED[[#This Row],[Flow 
(m3 d-1)]]*24,0)&lt;0,0,IFERROR(Information!$R$47/stableMED[[#This Row],[Flow 
(m3 d-1)]]*24,0))</f>
        <v>83.136933092059849</v>
      </c>
      <c r="F35" s="151">
        <v>6.7457239673353655</v>
      </c>
      <c r="G35" s="151">
        <v>0.98758070041573909</v>
      </c>
      <c r="H35" s="41">
        <v>28.092086186884014</v>
      </c>
      <c r="I35" s="130"/>
      <c r="J35" s="130"/>
      <c r="M35" s="29">
        <v>497</v>
      </c>
      <c r="N35" s="29">
        <v>7.4</v>
      </c>
      <c r="Q35" s="29">
        <v>2.96</v>
      </c>
      <c r="R35" s="29">
        <v>0.2</v>
      </c>
      <c r="S35" s="4">
        <f>stableMED[[#This Row],[NH4-N 
(mg L-1)]]*1.288</f>
        <v>129.92056000000002</v>
      </c>
      <c r="T35" s="6">
        <f>stableMED[[#This Row],[NO2-N 
(mg L-1)]]*3.284</f>
        <v>2.6272E-2</v>
      </c>
      <c r="U35" s="6">
        <f>(stableMED[[#This Row],[NO3-N 
(mg L-1)]])*4.426</f>
        <v>0.8497920000000001</v>
      </c>
      <c r="V35" s="29">
        <v>100.87</v>
      </c>
      <c r="W35" s="29">
        <v>8.0000000000000002E-3</v>
      </c>
      <c r="X35" s="4">
        <f>IF(stableMED[[#This Row],[TON 
(mg L-1)]]-stableMED[[#This Row],[NO2-N 
(mg L-1)]]&lt;0,0.192,stableMED[[#This Row],[TON 
(mg L-1)]]-stableMED[[#This Row],[NO2-N 
(mg L-1)]])</f>
        <v>0.192</v>
      </c>
      <c r="Y35" s="4">
        <f>SUM(stableMED[[#This Row],[NH4-N 
(mg L-1)]],stableMED[[#This Row],[NO3-N 
(mg L-1)]],stableMED[[#This Row],[NO2-N 
(mg L-1)]])</f>
        <v>101.07</v>
      </c>
      <c r="Z35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1.374540924808316E-4</v>
      </c>
      <c r="AA35" s="48">
        <f>IF(IFERROR(stableMED[[#This Row],[NO2-N 
(mg L-1)]]/stableMED[[#This Row],[NH4-N 
(mg L-1)]],0)&lt;0,0,IFERROR(stableMED[[#This Row],[NO2-N 
(mg L-1)]]/stableMED[[#This Row],[NH4-N 
(mg L-1)]],0))</f>
        <v>7.9310002974125108E-5</v>
      </c>
      <c r="AB35" s="48">
        <f>stableMED[[#This Row],[NO2-N 
(mg L-1)]]/(stableMED[[#This Row],[NO3-N 
(mg L-1)]]+stableMED[[#This Row],[NO2-N 
(mg L-1)]])</f>
        <v>0.04</v>
      </c>
      <c r="AC35" s="20">
        <f>46/14*stableMED[[#This Row],[NO2-N 
(mg L-1)]]/(EXP(-2300/(stableMED[[#This Row],[Temp. 
(°C)]]+273))*10^(stableMED[[#This Row],[pHreactor]]))</f>
        <v>9.8064120657756398E-6</v>
      </c>
      <c r="AD35" s="6">
        <f>17/14*stableMED[NH4-N 
(mg L-1)]*10^stableMED[[#This Row],[pHreactor]]/(EXP((6344/(273+stableMED[[#This Row],[Temp. 
(°C)]])))+10^stableMED[pHreactor])</f>
        <v>0.48031983080454432</v>
      </c>
      <c r="AE35" s="6">
        <f>Influent[[#This Row],[NH4-N (mg L-1)]]*stableMED[[#This Row],[Flow 
(m3 d-1)]]/(Information!$R$48*Information!$R$49)</f>
        <v>1.0808914480943541</v>
      </c>
      <c r="AF35" s="6">
        <f>(Influent[[#This Row],[NH4-N (mg L-1)]]-stableMED[[#This Row],[NH4-N 
(mg L-1)]])*stableMED[[#This Row],[Flow 
(m3 d-1)]]/(Information!$R$48*Information!$R$49)</f>
        <v>1.0080934776267854</v>
      </c>
      <c r="AG35" s="6">
        <f>Influent[[#This Row],[COD (mg L-1)]]*stableMED[[#This Row],[Flow 
(m3 d-1)]]/(Information!$R$48*Information!$R$49)</f>
        <v>2.035196557138331</v>
      </c>
      <c r="AH35" s="6">
        <f>(Influent[[#This Row],[COD (mg L-1)]]-stableMED[[#This Row],[COD 
(mg L-1)]])*stableMED[[#This Row],[Flow 
(m3 d-1)]]/(Information!$R$48*Information!$R$49)</f>
        <v>2.035196557138331</v>
      </c>
      <c r="AI35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1396.63</v>
      </c>
      <c r="AJ35" s="6">
        <f>IFERROR(IF(Influent[[#This Row],[COD (mg L-1)]]-stableMED[[#This Row],[COD 
(mg L-1)]]&lt;0,0,Influent[[#This Row],[COD (mg L-1)]]-stableMED[[#This Row],[COD 
(mg L-1)]]),0)</f>
        <v>2820</v>
      </c>
      <c r="AK35" s="6">
        <f>IFERROR(IF(Influent[[#This Row],[Alkalinity (mg CaCO3 L-1) ]]-stableMED[[#This Row],[Alkalinity 
(mg CaCO3 L-1) ]]&lt;0,0,Influent[[#This Row],[Alkalinity (mg CaCO3 L-1) ]]-stableMED[[#This Row],[Alkalinity 
(mg CaCO3 L-1) ]]),0)</f>
        <v>4239</v>
      </c>
      <c r="AL35" s="6"/>
      <c r="AM35" s="6"/>
      <c r="AN35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0.40323739105071416</v>
      </c>
      <c r="AO35" s="6">
        <f>Influent[[#This Row],[TN (mg L-1)]]/stableMED[[#This Row],[HRT 
(h)]]*24/1000</f>
        <v>0.43241431531028468</v>
      </c>
      <c r="AP35" s="6">
        <f>stableMED[[#This Row],[NRE 
(%)]]*stableMED[[#This Row],[NLR 
(kg N m-3 d-1)]]</f>
        <v>0.40323739105071432</v>
      </c>
      <c r="AQ35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0.93265006343059353</v>
      </c>
      <c r="AR35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0.93252553575005015</v>
      </c>
      <c r="AS35" s="48"/>
      <c r="AT35" s="48"/>
      <c r="AU35" s="48"/>
      <c r="AV35" s="6"/>
      <c r="AW35" s="21"/>
      <c r="AX35" s="21"/>
      <c r="AY35" s="6">
        <f>stableMED[[#This Row],[NH4-N 
(mg L-1)]]-20</f>
        <v>80.87</v>
      </c>
      <c r="AZ35" s="6">
        <f>stableMED[[#This Row],[Ammonia residual to reach target]]*2.9</f>
        <v>234.523</v>
      </c>
      <c r="BA35" s="6">
        <f>stableMED[[#This Row],[Alkalinity 
(mg CaCO3 L-1) ]]-stableMED[[#This Row],[Alkalinity need]]-70</f>
        <v>192.47699999999998</v>
      </c>
    </row>
    <row r="36" spans="1:54" x14ac:dyDescent="0.3">
      <c r="A36" s="128">
        <v>43359</v>
      </c>
      <c r="B36" s="29">
        <v>33</v>
      </c>
      <c r="C36" s="151"/>
      <c r="D36" s="162"/>
      <c r="E36" s="42"/>
      <c r="F36" s="151"/>
      <c r="G36" s="151"/>
      <c r="H36" s="41"/>
      <c r="I36" s="130"/>
      <c r="J36" s="130"/>
      <c r="S36" s="4"/>
      <c r="T36" s="6"/>
      <c r="U36" s="6"/>
      <c r="X36" s="4"/>
      <c r="Y36" s="4"/>
      <c r="Z36" s="89"/>
      <c r="AA36" s="48"/>
      <c r="AB36" s="48"/>
      <c r="AC36" s="20"/>
      <c r="AD36" s="6"/>
      <c r="AE36" s="6"/>
      <c r="AF36" s="6"/>
      <c r="AG36" s="6"/>
      <c r="AH36" s="6"/>
      <c r="AI36" s="48"/>
      <c r="AJ36" s="6"/>
      <c r="AK36" s="6"/>
      <c r="AL36" s="6"/>
      <c r="AM36" s="6"/>
      <c r="AN36" s="6"/>
      <c r="AO36" s="6"/>
      <c r="AP36" s="6"/>
      <c r="AQ36" s="26"/>
      <c r="AR36" s="26"/>
      <c r="AS36" s="48"/>
      <c r="AT36" s="48"/>
      <c r="AU36" s="48"/>
      <c r="AV36" s="6"/>
      <c r="AW36" s="21"/>
      <c r="AX36" s="21"/>
      <c r="AY36" s="6"/>
      <c r="AZ36" s="6"/>
      <c r="BA36" s="6"/>
    </row>
    <row r="37" spans="1:54" x14ac:dyDescent="0.3">
      <c r="A37" s="128">
        <v>43360</v>
      </c>
      <c r="B37" s="29">
        <v>34</v>
      </c>
      <c r="C37" s="151">
        <v>7.6592112124607574</v>
      </c>
      <c r="D37" s="162">
        <f>stableMED[[#This Row],[Flow 
(L h-1)]]/1000*24</f>
        <v>0.18382106909905818</v>
      </c>
      <c r="E37" s="42">
        <f>IF(IFERROR(Information!$R$47/stableMED[[#This Row],[Flow 
(m3 d-1)]]*24,0)&lt;0,0,IFERROR(Information!$R$47/stableMED[[#This Row],[Flow 
(m3 d-1)]]*24,0))</f>
        <v>156.67409694195689</v>
      </c>
      <c r="F37" s="151">
        <v>6.5494141821975473</v>
      </c>
      <c r="G37" s="151">
        <v>0.69430970165753103</v>
      </c>
      <c r="H37" s="41">
        <v>28.303015354398802</v>
      </c>
      <c r="I37" s="130">
        <v>6380</v>
      </c>
      <c r="J37" s="130">
        <v>4930</v>
      </c>
      <c r="M37" s="29">
        <v>492</v>
      </c>
      <c r="N37" s="29">
        <v>7.4</v>
      </c>
      <c r="Q37" s="29">
        <v>8.0299999999999994</v>
      </c>
      <c r="R37" s="29">
        <v>0.2</v>
      </c>
      <c r="S37" s="4">
        <f>stableMED[[#This Row],[NH4-N 
(mg L-1)]]*1.288</f>
        <v>112.04312</v>
      </c>
      <c r="T37" s="6">
        <f>stableMED[[#This Row],[NO2-N 
(mg L-1)]]*3.284</f>
        <v>0.32511600000000002</v>
      </c>
      <c r="U37" s="6">
        <f>(stableMED[[#This Row],[NO3-N 
(mg L-1)]])*4.426</f>
        <v>0.44702600000000003</v>
      </c>
      <c r="V37" s="29">
        <v>86.99</v>
      </c>
      <c r="W37" s="29">
        <v>9.9000000000000005E-2</v>
      </c>
      <c r="X37" s="4">
        <f>IF(stableMED[[#This Row],[TON 
(mg L-1)]]-stableMED[[#This Row],[NO2-N 
(mg L-1)]]&lt;0,0.192,stableMED[[#This Row],[TON 
(mg L-1)]]-stableMED[[#This Row],[NO2-N 
(mg L-1)]])</f>
        <v>0.10100000000000001</v>
      </c>
      <c r="Y37" s="4">
        <f>SUM(stableMED[[#This Row],[NH4-N 
(mg L-1)]],stableMED[[#This Row],[NO3-N 
(mg L-1)]],stableMED[[#This Row],[NO2-N 
(mg L-1)]])</f>
        <v>87.19</v>
      </c>
      <c r="Z37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7.1407866177416727E-5</v>
      </c>
      <c r="AA37" s="48">
        <f>IF(IFERROR(stableMED[[#This Row],[NO2-N 
(mg L-1)]]/stableMED[[#This Row],[NH4-N 
(mg L-1)]],0)&lt;0,0,IFERROR(stableMED[[#This Row],[NO2-N 
(mg L-1)]]/stableMED[[#This Row],[NH4-N 
(mg L-1)]],0))</f>
        <v>1.1380618461892173E-3</v>
      </c>
      <c r="AB37" s="48">
        <f>stableMED[[#This Row],[NO2-N 
(mg L-1)]]/(stableMED[[#This Row],[NO3-N 
(mg L-1)]]+stableMED[[#This Row],[NO2-N 
(mg L-1)]])</f>
        <v>0.495</v>
      </c>
      <c r="AC37" s="20">
        <f>46/14*stableMED[[#This Row],[NO2-N 
(mg L-1)]]/(EXP(-2300/(stableMED[[#This Row],[Temp. 
(°C)]]+273))*10^(stableMED[[#This Row],[pHreactor]]))</f>
        <v>1.8968923421854093E-4</v>
      </c>
      <c r="AD37" s="6">
        <f>17/14*stableMED[NH4-N 
(mg L-1)]*10^stableMED[[#This Row],[pHreactor]]/(EXP((6344/(273+stableMED[[#This Row],[Temp. 
(°C)]])))+10^stableMED[pHreactor])</f>
        <v>0.26787834688969381</v>
      </c>
      <c r="AE37" s="6">
        <f>Influent[[#This Row],[NH4-N (mg L-1)]]*stableMED[[#This Row],[Flow 
(m3 d-1)]]/(Information!$R$48*Information!$R$49)</f>
        <v>0.57497698571942912</v>
      </c>
      <c r="AF37" s="6">
        <f>(Influent[[#This Row],[NH4-N (mg L-1)]]-stableMED[[#This Row],[NH4-N 
(mg L-1)]])*stableMED[[#This Row],[Flow 
(m3 d-1)]]/(Information!$R$48*Information!$R$49)</f>
        <v>0.54166324655083109</v>
      </c>
      <c r="AG37" s="6">
        <f>Influent[[#This Row],[COD (mg L-1)]]*stableMED[[#This Row],[Flow 
(m3 d-1)]]/(Information!$R$48*Information!$R$49)</f>
        <v>1.0933524005787731</v>
      </c>
      <c r="AH37" s="6">
        <f>(Influent[[#This Row],[COD (mg L-1)]]-stableMED[[#This Row],[COD 
(mg L-1)]])*stableMED[[#This Row],[Flow 
(m3 d-1)]]/(Information!$R$48*Information!$R$49)</f>
        <v>1.0933524005787731</v>
      </c>
      <c r="AI37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1414.21</v>
      </c>
      <c r="AJ37" s="6">
        <f>IFERROR(IF(Influent[[#This Row],[COD (mg L-1)]]-stableMED[[#This Row],[COD 
(mg L-1)]]&lt;0,0,Influent[[#This Row],[COD (mg L-1)]]-stableMED[[#This Row],[COD 
(mg L-1)]]),0)</f>
        <v>2855</v>
      </c>
      <c r="AK37" s="6">
        <f>IFERROR(IF(Influent[[#This Row],[Alkalinity (mg CaCO3 L-1) ]]-stableMED[[#This Row],[Alkalinity 
(mg CaCO3 L-1) ]]&lt;0,0,Influent[[#This Row],[Alkalinity (mg CaCO3 L-1) ]]-stableMED[[#This Row],[Alkalinity 
(mg CaCO3 L-1) ]]),0)</f>
        <v>4634</v>
      </c>
      <c r="AL37" s="6"/>
      <c r="AM37" s="6"/>
      <c r="AN37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0.2166652986203324</v>
      </c>
      <c r="AO37" s="6">
        <f>Influent[[#This Row],[TN (mg L-1)]]/stableMED[[#This Row],[HRT 
(h)]]*24/1000</f>
        <v>0.2300214311326215</v>
      </c>
      <c r="AP37" s="6">
        <f>stableMED[[#This Row],[NRE 
(%)]]*stableMED[[#This Row],[NLR 
(kg N m-3 d-1)]]</f>
        <v>0.2166652986203324</v>
      </c>
      <c r="AQ37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0.94206074330624745</v>
      </c>
      <c r="AR37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0.9419352690463505</v>
      </c>
      <c r="AS37" s="48"/>
      <c r="AT37" s="48"/>
      <c r="AU37" s="48"/>
      <c r="AV37" s="6"/>
      <c r="AW37" s="21"/>
      <c r="AX37" s="21"/>
      <c r="AY37" s="6">
        <f>stableMED[[#This Row],[NH4-N 
(mg L-1)]]-20</f>
        <v>66.989999999999995</v>
      </c>
      <c r="AZ37" s="6">
        <f>stableMED[[#This Row],[Ammonia residual to reach target]]*2.9</f>
        <v>194.27099999999999</v>
      </c>
      <c r="BA37" s="6">
        <f>stableMED[[#This Row],[Alkalinity 
(mg CaCO3 L-1) ]]-stableMED[[#This Row],[Alkalinity need]]-70</f>
        <v>227.72900000000004</v>
      </c>
      <c r="BB37" s="29" t="s">
        <v>542</v>
      </c>
    </row>
    <row r="38" spans="1:54" x14ac:dyDescent="0.3">
      <c r="A38" s="128">
        <v>43361</v>
      </c>
      <c r="B38" s="29">
        <v>35</v>
      </c>
      <c r="C38" s="151">
        <v>23.350887278060622</v>
      </c>
      <c r="D38" s="162">
        <f>stableMED[[#This Row],[Flow 
(L h-1)]]/1000*24</f>
        <v>0.56042129467345492</v>
      </c>
      <c r="E38" s="42">
        <f>IF(IFERROR(Information!$R$47/stableMED[[#This Row],[Flow 
(m3 d-1)]]*24,0)&lt;0,0,IFERROR(Information!$R$47/stableMED[[#This Row],[Flow 
(m3 d-1)]]*24,0))</f>
        <v>51.389910186730361</v>
      </c>
      <c r="F38" s="151">
        <v>6.8861673951604141</v>
      </c>
      <c r="G38" s="151">
        <v>1.2784940126619997</v>
      </c>
      <c r="H38" s="41">
        <v>28.03328929928929</v>
      </c>
      <c r="I38" s="130"/>
      <c r="J38" s="130"/>
      <c r="K38" s="29">
        <v>1970</v>
      </c>
      <c r="L38" s="29">
        <f>stableMED[[#This Row],[COD 
(mg L-1)]]*Information!$AK$42</f>
        <v>1398.6999999999998</v>
      </c>
      <c r="M38" s="29">
        <v>900</v>
      </c>
      <c r="N38" s="29">
        <v>7.9</v>
      </c>
      <c r="O38" s="29">
        <v>1320</v>
      </c>
      <c r="P38" s="29">
        <v>200</v>
      </c>
      <c r="Q38" s="29">
        <v>5.44</v>
      </c>
      <c r="R38" s="29">
        <v>10.1</v>
      </c>
      <c r="S38" s="4">
        <f>stableMED[[#This Row],[NH4-N 
(mg L-1)]]*1.288</f>
        <v>323.1592</v>
      </c>
      <c r="T38" s="6">
        <f>stableMED[[#This Row],[NO2-N 
(mg L-1)]]*3.284</f>
        <v>31.211135999999996</v>
      </c>
      <c r="U38" s="6">
        <f>(stableMED[[#This Row],[NO3-N 
(mg L-1)]])*4.426</f>
        <v>2.6378960000000005</v>
      </c>
      <c r="V38" s="29">
        <v>250.9</v>
      </c>
      <c r="W38" s="29">
        <v>9.5039999999999996</v>
      </c>
      <c r="X38" s="4">
        <f>IF(stableMED[[#This Row],[TON 
(mg L-1)]]-stableMED[[#This Row],[NO2-N 
(mg L-1)]]&lt;0,0.192,stableMED[[#This Row],[TON 
(mg L-1)]]-stableMED[[#This Row],[NO2-N 
(mg L-1)]])</f>
        <v>0.59600000000000009</v>
      </c>
      <c r="Y38" s="4">
        <f>SUM(stableMED[[#This Row],[NH4-N 
(mg L-1)]],stableMED[[#This Row],[NO3-N 
(mg L-1)]],stableMED[[#This Row],[NO2-N 
(mg L-1)]])</f>
        <v>261</v>
      </c>
      <c r="Z38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5.8419917663203309E-4</v>
      </c>
      <c r="AA38" s="48">
        <f>IF(IFERROR(stableMED[[#This Row],[NO2-N 
(mg L-1)]]/stableMED[[#This Row],[NH4-N 
(mg L-1)]],0)&lt;0,0,IFERROR(stableMED[[#This Row],[NO2-N 
(mg L-1)]]/stableMED[[#This Row],[NH4-N 
(mg L-1)]],0))</f>
        <v>3.7879633320047824E-2</v>
      </c>
      <c r="AB38" s="48">
        <f>stableMED[[#This Row],[NO2-N 
(mg L-1)]]/(stableMED[[#This Row],[NO3-N 
(mg L-1)]]+stableMED[[#This Row],[NO2-N 
(mg L-1)]])</f>
        <v>0.94099009900990094</v>
      </c>
      <c r="AC38" s="20">
        <f>46/14*stableMED[[#This Row],[NO2-N 
(mg L-1)]]/(EXP(-2300/(stableMED[[#This Row],[Temp. 
(°C)]]+273))*10^(stableMED[[#This Row],[pHreactor]]))</f>
        <v>8.4436673975110017E-3</v>
      </c>
      <c r="AD38" s="6">
        <f>17/14*stableMED[NH4-N 
(mg L-1)]*10^stableMED[[#This Row],[pHreactor]]/(EXP((6344/(273+stableMED[[#This Row],[Temp. 
(°C)]])))+10^stableMED[pHreactor])</f>
        <v>1.6416676483746517</v>
      </c>
      <c r="AE38" s="6">
        <f>Influent[[#This Row],[NH4-N (mg L-1)]]*stableMED[[#This Row],[Flow 
(m3 d-1)]]/(Information!$R$48*Information!$R$49)</f>
        <v>1.4840656409571429</v>
      </c>
      <c r="AF38" s="6">
        <f>(Influent[[#This Row],[NH4-N (mg L-1)]]-stableMED[[#This Row],[NH4-N 
(mg L-1)]])*stableMED[[#This Row],[Flow 
(m3 d-1)]]/(Information!$R$48*Information!$R$49)</f>
        <v>1.1911287600538722</v>
      </c>
      <c r="AG38" s="6">
        <f>Influent[[#This Row],[COD (mg L-1)]]*stableMED[[#This Row],[Flow 
(m3 d-1)]]/(Information!$R$48*Information!$R$49)</f>
        <v>3.2632864971089717</v>
      </c>
      <c r="AH38" s="6">
        <f>(Influent[[#This Row],[COD (mg L-1)]]-stableMED[[#This Row],[COD 
(mg L-1)]])*stableMED[[#This Row],[Flow 
(m3 d-1)]]/(Information!$R$48*Information!$R$49)</f>
        <v>0.96322410022000071</v>
      </c>
      <c r="AI38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1010.0999999999999</v>
      </c>
      <c r="AJ38" s="6">
        <f>IFERROR(IF(Influent[[#This Row],[COD (mg L-1)]]-stableMED[[#This Row],[COD 
(mg L-1)]]&lt;0,0,Influent[[#This Row],[COD (mg L-1)]]-stableMED[[#This Row],[COD 
(mg L-1)]]),0)</f>
        <v>825</v>
      </c>
      <c r="AK38" s="6">
        <f>IFERROR(IF(Influent[[#This Row],[Alkalinity (mg CaCO3 L-1) ]]-stableMED[[#This Row],[Alkalinity 
(mg CaCO3 L-1) ]]&lt;0,0,Influent[[#This Row],[Alkalinity (mg CaCO3 L-1) ]]-stableMED[[#This Row],[Alkalinity 
(mg CaCO3 L-1) ]]),0)</f>
        <v>3751</v>
      </c>
      <c r="AL38" s="6">
        <f>Influent[[#This Row],[COD (mg L-1)]]/stableMED[[#This Row],[HRT 
(h)]]*24/1000</f>
        <v>1.3053145988435888</v>
      </c>
      <c r="AM38" s="6">
        <f>IF(((stableMED[[#This Row],[ΔC (mg L-1)]])*24/stableMED[[#This Row],[HRT 
(h)]]/1000) &lt;0,0, (stableMED[[#This Row],[ΔC (mg L-1)]])*24/stableMED[[#This Row],[HRT 
(h)]]/1000)</f>
        <v>0.38528964008800026</v>
      </c>
      <c r="AN38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0.4764515040215489</v>
      </c>
      <c r="AO38" s="6">
        <f>Influent[[#This Row],[TN (mg L-1)]]/stableMED[[#This Row],[HRT 
(h)]]*24/1000</f>
        <v>0.59675247317164382</v>
      </c>
      <c r="AP38" s="6">
        <f>stableMED[[#This Row],[NRE 
(%)]]*stableMED[[#This Row],[NLR 
(kg N m-3 d-1)]]</f>
        <v>0.47486084158016739</v>
      </c>
      <c r="AQ38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0.80261191094327744</v>
      </c>
      <c r="AR38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0.79574172362681306</v>
      </c>
      <c r="AS38" s="48"/>
      <c r="AT38" s="48"/>
      <c r="AU38" s="48"/>
      <c r="AV38" s="6"/>
      <c r="AW38" s="21"/>
      <c r="AX38" s="21"/>
      <c r="AY38" s="6">
        <f>stableMED[[#This Row],[NH4-N 
(mg L-1)]]-20</f>
        <v>230.9</v>
      </c>
      <c r="AZ38" s="6">
        <f>stableMED[[#This Row],[Ammonia residual to reach target]]*2.9</f>
        <v>669.61</v>
      </c>
      <c r="BA38" s="6">
        <f>stableMED[[#This Row],[Alkalinity 
(mg CaCO3 L-1) ]]-stableMED[[#This Row],[Alkalinity need]]-70</f>
        <v>160.38999999999999</v>
      </c>
    </row>
    <row r="39" spans="1:54" x14ac:dyDescent="0.3">
      <c r="A39" s="128">
        <v>43362</v>
      </c>
      <c r="B39" s="29">
        <v>36</v>
      </c>
      <c r="C39" s="151">
        <v>3.1378753030519442</v>
      </c>
      <c r="D39" s="162">
        <f>stableMED[[#This Row],[Flow 
(L h-1)]]/1000*24</f>
        <v>7.5309007273246659E-2</v>
      </c>
      <c r="E39" s="42">
        <f>IF(IFERROR(Information!$R$47/stableMED[[#This Row],[Flow 
(m3 d-1)]]*24,0)&lt;0,0,IFERROR(Information!$R$47/stableMED[[#This Row],[Flow 
(m3 d-1)]]*24,0))</f>
        <v>382.42437449087356</v>
      </c>
      <c r="F39" s="151">
        <v>7.4289829544787684</v>
      </c>
      <c r="G39" s="151">
        <v>0.62792172844378491</v>
      </c>
      <c r="H39" s="41">
        <v>28.803811582746047</v>
      </c>
      <c r="I39" s="130"/>
      <c r="J39" s="130"/>
      <c r="K39" s="29">
        <v>1556</v>
      </c>
      <c r="L39" s="29">
        <f>stableMED[[#This Row],[COD 
(mg L-1)]]*Information!$AK$42</f>
        <v>1104.76</v>
      </c>
      <c r="M39" s="29">
        <v>909</v>
      </c>
      <c r="N39" s="29">
        <v>7.9</v>
      </c>
      <c r="O39" s="29">
        <v>532</v>
      </c>
      <c r="P39" s="29">
        <v>124</v>
      </c>
      <c r="Q39" s="29">
        <v>6.38</v>
      </c>
      <c r="R39" s="29">
        <v>14.6</v>
      </c>
      <c r="S39" s="4">
        <f>stableMED[[#This Row],[NH4-N 
(mg L-1)]]*1.288</f>
        <v>300.77376000000004</v>
      </c>
      <c r="T39" s="6">
        <f>stableMED[[#This Row],[NO2-N 
(mg L-1)]]*3.284</f>
        <v>71.837499999999991</v>
      </c>
      <c r="U39" s="6">
        <f>(stableMED[[#This Row],[NO3-N 
(mg L-1)]])*4.426</f>
        <v>0.8497920000000001</v>
      </c>
      <c r="V39" s="29">
        <v>233.52</v>
      </c>
      <c r="W39" s="29">
        <v>21.875</v>
      </c>
      <c r="X39" s="4">
        <f>IF(stableMED[[#This Row],[TON 
(mg L-1)]]-stableMED[[#This Row],[NO2-N 
(mg L-1)]]&lt;0,0.192,stableMED[[#This Row],[TON 
(mg L-1)]]-stableMED[[#This Row],[NO2-N 
(mg L-1)]])</f>
        <v>0.192</v>
      </c>
      <c r="Y39" s="4">
        <f>SUM(stableMED[[#This Row],[NH4-N 
(mg L-1)]],stableMED[[#This Row],[NO3-N 
(mg L-1)]],stableMED[[#This Row],[NO2-N 
(mg L-1)]])</f>
        <v>255.58700000000002</v>
      </c>
      <c r="Z39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1.8935284719619717E-4</v>
      </c>
      <c r="AA39" s="48">
        <f>IF(IFERROR(stableMED[[#This Row],[NO2-N 
(mg L-1)]]/stableMED[[#This Row],[NH4-N 
(mg L-1)]],0)&lt;0,0,IFERROR(stableMED[[#This Row],[NO2-N 
(mg L-1)]]/stableMED[[#This Row],[NH4-N 
(mg L-1)]],0))</f>
        <v>9.367505995203837E-2</v>
      </c>
      <c r="AB39" s="48">
        <f>stableMED[[#This Row],[NO2-N 
(mg L-1)]]/(stableMED[[#This Row],[NO3-N 
(mg L-1)]]+stableMED[[#This Row],[NO2-N 
(mg L-1)]])</f>
        <v>0.99129922508723434</v>
      </c>
      <c r="AC39" s="20">
        <f>46/14*stableMED[[#This Row],[NO2-N 
(mg L-1)]]/(EXP(-2300/(stableMED[[#This Row],[Temp. 
(°C)]]+273))*10^(stableMED[[#This Row],[pHreactor]]))</f>
        <v>5.4611705001779941E-3</v>
      </c>
      <c r="AD39" s="6">
        <f>17/14*stableMED[NH4-N 
(mg L-1)]*10^stableMED[[#This Row],[pHreactor]]/(EXP((6344/(273+stableMED[[#This Row],[Temp. 
(°C)]])))+10^stableMED[pHreactor])</f>
        <v>5.5469897242550994</v>
      </c>
      <c r="AE39" s="6">
        <f>Influent[[#This Row],[NH4-N (mg L-1)]]*stableMED[[#This Row],[Flow 
(m3 d-1)]]/(Information!$R$48*Information!$R$49)</f>
        <v>0.19572497202786501</v>
      </c>
      <c r="AF39" s="6">
        <f>(Influent[[#This Row],[NH4-N (mg L-1)]]-stableMED[[#This Row],[NH4-N 
(mg L-1)]])*stableMED[[#This Row],[Flow 
(m3 d-1)]]/(Information!$R$48*Information!$R$49)</f>
        <v>0.15908713998943053</v>
      </c>
      <c r="AG39" s="6">
        <f>Influent[[#This Row],[COD (mg L-1)]]*stableMED[[#This Row],[Flow 
(m3 d-1)]]/(Information!$R$48*Information!$R$49)</f>
        <v>0.43930254242727218</v>
      </c>
      <c r="AH39" s="6">
        <f>(Influent[[#This Row],[COD (mg L-1)]]-stableMED[[#This Row],[COD 
(mg L-1)]])*stableMED[[#This Row],[Flow 
(m3 d-1)]]/(Information!$R$48*Information!$R$49)</f>
        <v>0.19517584384983092</v>
      </c>
      <c r="AI39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991.91300000000001</v>
      </c>
      <c r="AJ39" s="6">
        <f>IFERROR(IF(Influent[[#This Row],[COD (mg L-1)]]-stableMED[[#This Row],[COD 
(mg L-1)]]&lt;0,0,Influent[[#This Row],[COD (mg L-1)]]-stableMED[[#This Row],[COD 
(mg L-1)]]),0)</f>
        <v>1244</v>
      </c>
      <c r="AK39" s="6">
        <f>IFERROR(IF(Influent[[#This Row],[Alkalinity (mg CaCO3 L-1) ]]-stableMED[[#This Row],[Alkalinity 
(mg CaCO3 L-1) ]]&lt;0,0,Influent[[#This Row],[Alkalinity (mg CaCO3 L-1) ]]-stableMED[[#This Row],[Alkalinity 
(mg CaCO3 L-1) ]]),0)</f>
        <v>3611</v>
      </c>
      <c r="AL39" s="6">
        <f>Influent[[#This Row],[COD (mg L-1)]]/stableMED[[#This Row],[HRT 
(h)]]*24/1000</f>
        <v>0.17572101697090886</v>
      </c>
      <c r="AM39" s="6">
        <f>IF(((stableMED[[#This Row],[ΔC (mg L-1)]])*24/stableMED[[#This Row],[HRT 
(h)]]/1000) &lt;0,0, (stableMED[[#This Row],[ΔC (mg L-1)]])*24/stableMED[[#This Row],[HRT 
(h)]]/1000)</f>
        <v>7.8070337539932366E-2</v>
      </c>
      <c r="AN39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6.3634855995772205E-2</v>
      </c>
      <c r="AO39" s="6">
        <f>Influent[[#This Row],[TN (mg L-1)]]/stableMED[[#This Row],[HRT 
(h)]]*24/1000</f>
        <v>7.8302540312358213E-2</v>
      </c>
      <c r="AP39" s="6">
        <f>stableMED[[#This Row],[NRE 
(%)]]*stableMED[[#This Row],[NLR 
(kg N m-3 d-1)]]</f>
        <v>6.2262537610735469E-2</v>
      </c>
      <c r="AQ39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0.81280961923847694</v>
      </c>
      <c r="AR39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0.79515348240763006</v>
      </c>
      <c r="AS39" s="48"/>
      <c r="AT39" s="48"/>
      <c r="AU39" s="48"/>
      <c r="AV39" s="6"/>
      <c r="AW39" s="21"/>
      <c r="AX39" s="21"/>
      <c r="AY39" s="6">
        <f>stableMED[[#This Row],[NH4-N 
(mg L-1)]]-20</f>
        <v>213.52</v>
      </c>
      <c r="AZ39" s="6">
        <f>stableMED[[#This Row],[Ammonia residual to reach target]]*2.9</f>
        <v>619.20799999999997</v>
      </c>
      <c r="BA39" s="6">
        <f>stableMED[[#This Row],[Alkalinity 
(mg CaCO3 L-1) ]]-stableMED[[#This Row],[Alkalinity need]]-70</f>
        <v>219.79200000000003</v>
      </c>
    </row>
    <row r="40" spans="1:54" x14ac:dyDescent="0.3">
      <c r="A40" s="128">
        <v>43363</v>
      </c>
      <c r="B40" s="29">
        <v>37</v>
      </c>
      <c r="C40" s="42">
        <v>11.914222491197146</v>
      </c>
      <c r="D40" s="28">
        <f>stableMED[[#This Row],[Flow 
(L h-1)]]/1000*24</f>
        <v>0.28594133978873149</v>
      </c>
      <c r="E40" s="42">
        <f>IF(IFERROR(Information!$R$47/stableMED[[#This Row],[Flow 
(m3 d-1)]]*24,0)&lt;0,0,IFERROR(Information!$R$47/stableMED[[#This Row],[Flow 
(m3 d-1)]]*24,0))</f>
        <v>100.71995893031402</v>
      </c>
      <c r="F40" s="42">
        <v>8.2946048665071519</v>
      </c>
      <c r="G40" s="42">
        <v>1.0936228732750757</v>
      </c>
      <c r="H40" s="41">
        <v>26.533379329984612</v>
      </c>
      <c r="I40" s="152"/>
      <c r="J40" s="152"/>
      <c r="K40" s="29">
        <v>2035</v>
      </c>
      <c r="L40" s="29">
        <f>stableMED[[#This Row],[COD 
(mg L-1)]]*Information!$AK$42</f>
        <v>1444.85</v>
      </c>
      <c r="M40" s="29">
        <v>3231</v>
      </c>
      <c r="N40" s="29">
        <v>8.4</v>
      </c>
      <c r="O40" s="29">
        <v>296</v>
      </c>
      <c r="Q40" s="29">
        <v>8.07</v>
      </c>
      <c r="S40" s="4">
        <f>stableMED[[#This Row],[NH4-N 
(mg L-1)]]*1.288</f>
        <v>1117.03088</v>
      </c>
      <c r="T40" s="6">
        <f>stableMED[[#This Row],[NO2-N 
(mg L-1)]]*3.284</f>
        <v>0</v>
      </c>
      <c r="U40" s="6">
        <f>(stableMED[[#This Row],[NO3-N 
(mg L-1)]])*4.426</f>
        <v>0</v>
      </c>
      <c r="V40" s="29">
        <v>867.26</v>
      </c>
      <c r="X40" s="4"/>
      <c r="Y40" s="4"/>
      <c r="Z40" s="89"/>
      <c r="AA40" s="48"/>
      <c r="AB40" s="48"/>
      <c r="AC40" s="20"/>
      <c r="AD40" s="6"/>
      <c r="AE40" s="6">
        <f>Influent[[#This Row],[NH4-N (mg L-1)]]*stableMED[[#This Row],[Flow 
(m3 d-1)]]/(Information!$R$48*Information!$R$49)</f>
        <v>0.8879074311564672</v>
      </c>
      <c r="AF40" s="6">
        <f>(Influent[[#This Row],[NH4-N (mg L-1)]]-stableMED[[#This Row],[NH4-N 
(mg L-1)]])*stableMED[[#This Row],[Flow 
(m3 d-1)]]/(Information!$R$48*Information!$R$49)</f>
        <v>0.37127100127068541</v>
      </c>
      <c r="AG40" s="6">
        <f>Influent[[#This Row],[COD (mg L-1)]]*stableMED[[#This Row],[Flow 
(m3 d-1)]]/(Information!$R$48*Information!$R$49)</f>
        <v>1.7424550393375824</v>
      </c>
      <c r="AH40" s="6">
        <f>(Influent[[#This Row],[COD (mg L-1)]]-stableMED[[#This Row],[COD 
(mg L-1)]])*stableMED[[#This Row],[Flow 
(m3 d-1)]]/(Information!$R$48*Information!$R$49)</f>
        <v>0.53018290085827291</v>
      </c>
      <c r="AI40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623.24</v>
      </c>
      <c r="AJ40" s="6">
        <f>IFERROR(IF(Influent[[#This Row],[COD (mg L-1)]]-stableMED[[#This Row],[COD 
(mg L-1)]]&lt;0,0,Influent[[#This Row],[COD (mg L-1)]]-stableMED[[#This Row],[COD 
(mg L-1)]]),0)</f>
        <v>890</v>
      </c>
      <c r="AK40" s="6">
        <f>IFERROR(IF(Influent[[#This Row],[Alkalinity (mg CaCO3 L-1) ]]-stableMED[[#This Row],[Alkalinity 
(mg CaCO3 L-1) ]]&lt;0,0,Influent[[#This Row],[Alkalinity (mg CaCO3 L-1) ]]-stableMED[[#This Row],[Alkalinity 
(mg CaCO3 L-1) ]]),0)</f>
        <v>2294</v>
      </c>
      <c r="AL40" s="6">
        <f>Influent[[#This Row],[COD (mg L-1)]]/stableMED[[#This Row],[HRT 
(h)]]*24/1000</f>
        <v>0.69698201573503293</v>
      </c>
      <c r="AM40" s="6">
        <f>IF(((stableMED[[#This Row],[ΔC (mg L-1)]])*24/stableMED[[#This Row],[HRT 
(h)]]/1000) &lt;0,0, (stableMED[[#This Row],[ΔC (mg L-1)]])*24/stableMED[[#This Row],[HRT 
(h)]]/1000)</f>
        <v>0.2120731603433092</v>
      </c>
      <c r="AN40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0.14850840050827419</v>
      </c>
      <c r="AO40" s="6"/>
      <c r="AP40" s="6"/>
      <c r="AQ40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0.41814156323381418</v>
      </c>
      <c r="AR40" s="26"/>
      <c r="AS40" s="48"/>
      <c r="AT40" s="48"/>
      <c r="AU40" s="48"/>
      <c r="AV40" s="6"/>
      <c r="AW40" s="21"/>
      <c r="AX40" s="21"/>
      <c r="AY40" s="6">
        <f>stableMED[[#This Row],[NH4-N 
(mg L-1)]]-20</f>
        <v>847.26</v>
      </c>
      <c r="AZ40" s="6">
        <f>stableMED[[#This Row],[Ammonia residual to reach target]]*2.9</f>
        <v>2457.0540000000001</v>
      </c>
      <c r="BA40" s="6">
        <f>stableMED[[#This Row],[Alkalinity 
(mg CaCO3 L-1) ]]-stableMED[[#This Row],[Alkalinity need]]-70</f>
        <v>703.94599999999991</v>
      </c>
      <c r="BB40" s="29" t="s">
        <v>544</v>
      </c>
    </row>
    <row r="41" spans="1:54" x14ac:dyDescent="0.3">
      <c r="A41" s="128">
        <v>43364</v>
      </c>
      <c r="B41" s="29">
        <v>38</v>
      </c>
      <c r="C41" s="42">
        <v>87.926685618427385</v>
      </c>
      <c r="D41" s="28">
        <f>stableMED[[#This Row],[Flow 
(L h-1)]]/1000*24</f>
        <v>2.1102404548422573</v>
      </c>
      <c r="E41" s="42">
        <f>IF(IFERROR(Information!$R$47/stableMED[[#This Row],[Flow 
(m3 d-1)]]*24,0)&lt;0,0,IFERROR(Information!$R$47/stableMED[[#This Row],[Flow 
(m3 d-1)]]*24,0))</f>
        <v>13.647733808682398</v>
      </c>
      <c r="F41" s="42">
        <v>7.641298160500015</v>
      </c>
      <c r="G41" s="42">
        <v>0.76170296868757426</v>
      </c>
      <c r="H41" s="41">
        <v>29.878323457341192</v>
      </c>
      <c r="I41" s="41">
        <f>stableMED[[#This Row],[MLVSS 
(mg L-1)]]/0.42</f>
        <v>9142.8571428571431</v>
      </c>
      <c r="J41" s="130">
        <f>1920*2</f>
        <v>3840</v>
      </c>
      <c r="K41" s="29">
        <v>2285</v>
      </c>
      <c r="L41" s="29">
        <f>stableMED[[#This Row],[COD 
(mg L-1)]]*Information!$AK$42</f>
        <v>1622.35</v>
      </c>
      <c r="M41" s="29">
        <v>3994</v>
      </c>
      <c r="N41" s="29">
        <v>8.5</v>
      </c>
      <c r="O41" s="29">
        <v>210</v>
      </c>
      <c r="Q41" s="29">
        <v>10.210000000000001</v>
      </c>
      <c r="S41" s="4">
        <f>stableMED[[#This Row],[NH4-N 
(mg L-1)]]*1.288</f>
        <v>1370.1743999999999</v>
      </c>
      <c r="T41" s="6">
        <f>stableMED[[#This Row],[NO2-N 
(mg L-1)]]*3.284</f>
        <v>0</v>
      </c>
      <c r="U41" s="6">
        <f>(stableMED[[#This Row],[NO3-N 
(mg L-1)]])*4.426</f>
        <v>0</v>
      </c>
      <c r="V41" s="29">
        <v>1063.8</v>
      </c>
      <c r="X41" s="4"/>
      <c r="Y41" s="4"/>
      <c r="Z41" s="89"/>
      <c r="AA41" s="48"/>
      <c r="AB41" s="48"/>
      <c r="AC41" s="20"/>
      <c r="AD41" s="6"/>
      <c r="AE41" s="6">
        <f>Influent[[#This Row],[NH4-N (mg L-1)]]*stableMED[[#This Row],[Flow 
(m3 d-1)]]/(Information!$R$48*Information!$R$49)</f>
        <v>5.9460421149461524</v>
      </c>
      <c r="AF41" s="6">
        <f>(Influent[[#This Row],[NH4-N (mg L-1)]]-stableMED[[#This Row],[NH4-N 
(mg L-1)]])*stableMED[[#This Row],[Flow 
(m3 d-1)]]/(Information!$R$48*Information!$R$49)</f>
        <v>1.2692217069019995</v>
      </c>
      <c r="AG41" s="6">
        <f>Influent[[#This Row],[COD (mg L-1)]]*stableMED[[#This Row],[Flow 
(m3 d-1)]]/(Information!$R$48*Information!$R$49)</f>
        <v>12.661442729053544</v>
      </c>
      <c r="AH41" s="6">
        <f>(Influent[[#This Row],[COD (mg L-1)]]-stableMED[[#This Row],[COD 
(mg L-1)]])*stableMED[[#This Row],[Flow 
(m3 d-1)]]/(Information!$R$48*Information!$R$49)</f>
        <v>2.6158188971482148</v>
      </c>
      <c r="AI41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288.70000000000005</v>
      </c>
      <c r="AJ41" s="6">
        <f>IFERROR(IF(Influent[[#This Row],[COD (mg L-1)]]-stableMED[[#This Row],[COD 
(mg L-1)]]&lt;0,0,Influent[[#This Row],[COD (mg L-1)]]-stableMED[[#This Row],[COD 
(mg L-1)]]),0)</f>
        <v>595</v>
      </c>
      <c r="AK41" s="6">
        <f>IFERROR(IF(Influent[[#This Row],[Alkalinity (mg CaCO3 L-1) ]]-stableMED[[#This Row],[Alkalinity 
(mg CaCO3 L-1) ]]&lt;0,0,Influent[[#This Row],[Alkalinity (mg CaCO3 L-1) ]]-stableMED[[#This Row],[Alkalinity 
(mg CaCO3 L-1) ]]),0)</f>
        <v>1192</v>
      </c>
      <c r="AL41" s="6">
        <f>Influent[[#This Row],[COD (mg L-1)]]/stableMED[[#This Row],[HRT 
(h)]]*24/1000</f>
        <v>5.0645770916214179</v>
      </c>
      <c r="AM41" s="6">
        <f>IF(((stableMED[[#This Row],[ΔC (mg L-1)]])*24/stableMED[[#This Row],[HRT 
(h)]]/1000) &lt;0,0, (stableMED[[#This Row],[ΔC (mg L-1)]])*24/stableMED[[#This Row],[HRT 
(h)]]/1000)</f>
        <v>1.046327558859286</v>
      </c>
      <c r="AN41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0.50768868276079993</v>
      </c>
      <c r="AO41" s="6"/>
      <c r="AP41" s="6"/>
      <c r="AQ41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0.21345656192236603</v>
      </c>
      <c r="AR41" s="26"/>
      <c r="AS41" s="48">
        <f>160/30</f>
        <v>5.333333333333333</v>
      </c>
      <c r="AT41" s="48">
        <v>0.432</v>
      </c>
      <c r="AU41" s="48">
        <v>3.5999999999999997E-2</v>
      </c>
      <c r="AV41" s="6">
        <f>stableMED[[#This Row],[SAAcarrier
(g N g VSS-1d-1)]]+stableMED[[#This Row],[SAAsuspension
(g N g VSS-1d-1)]]</f>
        <v>0.46799999999999997</v>
      </c>
      <c r="AW41" s="21">
        <f>stableMED[[#This Row],[SAAcarrier
(g N g VSS-1d-1)]]/MAX(stableMED[SAAcombined
(g N g VSS-1d-1)])</f>
        <v>0.2109375</v>
      </c>
      <c r="AX41" s="21">
        <f>stableMED[[#This Row],[SAAsuspension
(g N g VSS-1d-1)]]/MAX(stableMED[SAAcombined
(g N g VSS-1d-1)])</f>
        <v>1.7578125E-2</v>
      </c>
      <c r="AY41" s="6">
        <f>stableMED[[#This Row],[NH4-N 
(mg L-1)]]-20</f>
        <v>1043.8</v>
      </c>
      <c r="AZ41" s="6">
        <f>stableMED[[#This Row],[Ammonia residual to reach target]]*2.9</f>
        <v>3027.02</v>
      </c>
      <c r="BA41" s="6">
        <f>stableMED[[#This Row],[Alkalinity 
(mg CaCO3 L-1) ]]-stableMED[[#This Row],[Alkalinity need]]-70</f>
        <v>896.98</v>
      </c>
    </row>
    <row r="42" spans="1:54" x14ac:dyDescent="0.3">
      <c r="A42" s="128">
        <v>43365</v>
      </c>
      <c r="B42" s="29">
        <v>39</v>
      </c>
      <c r="C42" s="42"/>
      <c r="D42" s="28"/>
      <c r="E42" s="42"/>
      <c r="F42" s="42"/>
      <c r="G42" s="42"/>
      <c r="H42" s="41"/>
      <c r="I42" s="130"/>
      <c r="J42" s="130"/>
      <c r="S42" s="4"/>
      <c r="T42" s="6"/>
      <c r="U42" s="6"/>
      <c r="X42" s="4"/>
      <c r="Y42" s="4"/>
      <c r="Z42" s="89"/>
      <c r="AA42" s="48"/>
      <c r="AB42" s="48"/>
      <c r="AC42" s="20"/>
      <c r="AD42" s="6"/>
      <c r="AE42" s="6"/>
      <c r="AF42" s="6"/>
      <c r="AG42" s="6"/>
      <c r="AH42" s="6"/>
      <c r="AI42" s="48"/>
      <c r="AJ42" s="6"/>
      <c r="AK42" s="6"/>
      <c r="AL42" s="6"/>
      <c r="AM42" s="6"/>
      <c r="AN42" s="6"/>
      <c r="AO42" s="6"/>
      <c r="AP42" s="6"/>
      <c r="AQ42" s="26"/>
      <c r="AR42" s="26"/>
      <c r="AS42" s="48"/>
      <c r="AT42" s="48"/>
      <c r="AU42" s="48"/>
      <c r="AV42" s="6"/>
      <c r="AW42" s="21"/>
      <c r="AX42" s="21"/>
      <c r="AY42" s="6"/>
      <c r="AZ42" s="6"/>
      <c r="BA42" s="6"/>
    </row>
    <row r="43" spans="1:54" x14ac:dyDescent="0.3">
      <c r="A43" s="128">
        <v>43366</v>
      </c>
      <c r="B43" s="29">
        <v>40</v>
      </c>
      <c r="C43" s="42"/>
      <c r="D43" s="28"/>
      <c r="E43" s="42"/>
      <c r="F43" s="42"/>
      <c r="G43" s="42"/>
      <c r="H43" s="41"/>
      <c r="I43" s="130"/>
      <c r="J43" s="130"/>
      <c r="S43" s="4"/>
      <c r="T43" s="6"/>
      <c r="U43" s="6"/>
      <c r="X43" s="4"/>
      <c r="Y43" s="4"/>
      <c r="Z43" s="89"/>
      <c r="AA43" s="48"/>
      <c r="AB43" s="48"/>
      <c r="AC43" s="20"/>
      <c r="AD43" s="6"/>
      <c r="AE43" s="6"/>
      <c r="AF43" s="6"/>
      <c r="AG43" s="6"/>
      <c r="AH43" s="6"/>
      <c r="AI43" s="48"/>
      <c r="AJ43" s="6"/>
      <c r="AK43" s="6"/>
      <c r="AL43" s="6"/>
      <c r="AM43" s="6"/>
      <c r="AN43" s="6"/>
      <c r="AO43" s="6"/>
      <c r="AP43" s="6"/>
      <c r="AQ43" s="26"/>
      <c r="AR43" s="26"/>
      <c r="AS43" s="48"/>
      <c r="AT43" s="48"/>
      <c r="AU43" s="48"/>
      <c r="AV43" s="6"/>
      <c r="AW43" s="21"/>
      <c r="AX43" s="21"/>
      <c r="AY43" s="6"/>
      <c r="AZ43" s="6"/>
      <c r="BA43" s="6"/>
    </row>
    <row r="44" spans="1:54" x14ac:dyDescent="0.3">
      <c r="A44" s="128">
        <v>43367</v>
      </c>
      <c r="B44" s="29">
        <v>41</v>
      </c>
      <c r="C44" s="42">
        <v>7.6042932138307275</v>
      </c>
      <c r="D44" s="28">
        <f>stableMED[[#This Row],[Flow 
(L h-1)]]/1000*24</f>
        <v>0.18250303713193744</v>
      </c>
      <c r="E44" s="42">
        <f>IF(IFERROR(Information!$R$47/stableMED[[#This Row],[Flow 
(m3 d-1)]]*24,0)&lt;0,0,IFERROR(Information!$R$47/stableMED[[#This Row],[Flow 
(m3 d-1)]]*24,0))</f>
        <v>157.80559300599219</v>
      </c>
      <c r="F44" s="42">
        <v>7.5788563915690963</v>
      </c>
      <c r="G44" s="42">
        <v>0.85797943474827687</v>
      </c>
      <c r="H44" s="41">
        <v>30.001857889977149</v>
      </c>
      <c r="I44" s="29">
        <v>740</v>
      </c>
      <c r="J44" s="130">
        <v>222</v>
      </c>
      <c r="K44" s="29">
        <v>2100</v>
      </c>
      <c r="L44" s="29">
        <f>stableMED[[#This Row],[COD 
(mg L-1)]]*Information!$AK$42</f>
        <v>1491</v>
      </c>
      <c r="M44" s="29">
        <v>3151</v>
      </c>
      <c r="N44" s="29">
        <v>8.4</v>
      </c>
      <c r="O44" s="29">
        <v>310</v>
      </c>
      <c r="Q44" s="29">
        <v>11.86</v>
      </c>
      <c r="R44" s="29">
        <v>9.6</v>
      </c>
      <c r="S44" s="4">
        <f>stableMED[[#This Row],[NH4-N 
(mg L-1)]]*1.288</f>
        <v>1028.9188000000001</v>
      </c>
      <c r="T44" s="6">
        <f>stableMED[[#This Row],[NO2-N 
(mg L-1)]]*3.284</f>
        <v>0.78159199999999995</v>
      </c>
      <c r="U44" s="6">
        <f>(stableMED[[#This Row],[NO3-N 
(mg L-1)]])*4.426</f>
        <v>41.436212000000005</v>
      </c>
      <c r="V44" s="29">
        <v>798.85</v>
      </c>
      <c r="W44" s="29">
        <v>0.23799999999999999</v>
      </c>
      <c r="X44" s="4">
        <f>IF(stableMED[[#This Row],[TON 
(mg L-1)]]-stableMED[[#This Row],[NO2-N 
(mg L-1)]]&lt;0,0.192,stableMED[[#This Row],[TON 
(mg L-1)]]-stableMED[[#This Row],[NO2-N 
(mg L-1)]])</f>
        <v>9.3620000000000001</v>
      </c>
      <c r="Y44" s="4">
        <f>SUM(stableMED[[#This Row],[NH4-N 
(mg L-1)]],stableMED[[#This Row],[NO3-N 
(mg L-1)]],stableMED[[#This Row],[NO2-N 
(mg L-1)]])</f>
        <v>808.45</v>
      </c>
      <c r="Z44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1.6539174984542E-2</v>
      </c>
      <c r="AA44" s="48">
        <f>IF(IFERROR(stableMED[[#This Row],[NO2-N 
(mg L-1)]]/stableMED[[#This Row],[NH4-N 
(mg L-1)]],0)&lt;0,0,IFERROR(stableMED[[#This Row],[NO2-N 
(mg L-1)]]/stableMED[[#This Row],[NH4-N 
(mg L-1)]],0))</f>
        <v>2.9792827189084305E-4</v>
      </c>
      <c r="AB44" s="48">
        <f>stableMED[[#This Row],[NO2-N 
(mg L-1)]]/(stableMED[[#This Row],[NO3-N 
(mg L-1)]]+stableMED[[#This Row],[NO2-N 
(mg L-1)]])</f>
        <v>2.4791666666666667E-2</v>
      </c>
      <c r="AC44" s="20">
        <f>46/14*stableMED[[#This Row],[NO2-N 
(mg L-1)]]/(EXP(-2300/(stableMED[[#This Row],[Temp. 
(°C)]]+273))*10^(stableMED[[#This Row],[pHreactor]]))</f>
        <v>4.0827701227136084E-5</v>
      </c>
      <c r="AD44" s="6">
        <f>17/14*stableMED[NH4-N 
(mg L-1)]*10^stableMED[[#This Row],[pHreactor]]/(EXP((6344/(273+stableMED[[#This Row],[Temp. 
(°C)]])))+10^stableMED[pHreactor])</f>
        <v>28.817074208431645</v>
      </c>
      <c r="AE44" s="6">
        <f>Influent[[#This Row],[NH4-N (mg L-1)]]*stableMED[[#This Row],[Flow 
(m3 d-1)]]/(Information!$R$48*Information!$R$49)</f>
        <v>0.51895499037787796</v>
      </c>
      <c r="AF44" s="6">
        <f>(Influent[[#This Row],[NH4-N (mg L-1)]]-stableMED[[#This Row],[NH4-N 
(mg L-1)]])*stableMED[[#This Row],[Flow 
(m3 d-1)]]/(Information!$R$48*Information!$R$49)</f>
        <v>0.21522050868444417</v>
      </c>
      <c r="AG44" s="6">
        <f>Influent[[#This Row],[COD (mg L-1)]]*stableMED[[#This Row],[Flow 
(m3 d-1)]]/(Information!$R$48*Information!$R$49)</f>
        <v>1.0646010499363017</v>
      </c>
      <c r="AH44" s="6">
        <f>(Influent[[#This Row],[COD (mg L-1)]]-stableMED[[#This Row],[COD 
(mg L-1)]])*stableMED[[#This Row],[Flow 
(m3 d-1)]]/(Information!$R$48*Information!$R$49)</f>
        <v>0.26615026248407542</v>
      </c>
      <c r="AI44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556.45000000000005</v>
      </c>
      <c r="AJ44" s="6">
        <f>IFERROR(IF(Influent[[#This Row],[COD (mg L-1)]]-stableMED[[#This Row],[COD 
(mg L-1)]]&lt;0,0,Influent[[#This Row],[COD (mg L-1)]]-stableMED[[#This Row],[COD 
(mg L-1)]]),0)</f>
        <v>700</v>
      </c>
      <c r="AK44" s="6">
        <f>IFERROR(IF(Influent[[#This Row],[Alkalinity (mg CaCO3 L-1) ]]-stableMED[[#This Row],[Alkalinity 
(mg CaCO3 L-1) ]]&lt;0,0,Influent[[#This Row],[Alkalinity (mg CaCO3 L-1) ]]-stableMED[[#This Row],[Alkalinity 
(mg CaCO3 L-1) ]]),0)</f>
        <v>2527</v>
      </c>
      <c r="AL44" s="6">
        <f>Influent[[#This Row],[COD (mg L-1)]]/stableMED[[#This Row],[HRT 
(h)]]*24/1000</f>
        <v>0.42584041997452066</v>
      </c>
      <c r="AM44" s="6">
        <f>IF(((stableMED[[#This Row],[ΔC (mg L-1)]])*24/stableMED[[#This Row],[HRT 
(h)]]/1000) &lt;0,0, (stableMED[[#This Row],[ΔC (mg L-1)]])*24/stableMED[[#This Row],[HRT 
(h)]]/1000)</f>
        <v>0.10646010499363016</v>
      </c>
      <c r="AN44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8.6088203473777672E-2</v>
      </c>
      <c r="AO44" s="6">
        <f>Influent[[#This Row],[TN (mg L-1)]]/stableMED[[#This Row],[HRT 
(h)]]*24/1000</f>
        <v>0.21311989872705556</v>
      </c>
      <c r="AP44" s="6">
        <f>stableMED[[#This Row],[NRE 
(%)]]*stableMED[[#This Row],[NLR 
(kg N m-3 d-1)]]</f>
        <v>9.0166081752626526E-2</v>
      </c>
      <c r="AQ44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0.41471902703494762</v>
      </c>
      <c r="AR44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0.42307678584299152</v>
      </c>
      <c r="AS44" s="48"/>
      <c r="AT44" s="48"/>
      <c r="AU44" s="48"/>
      <c r="AV44" s="6"/>
      <c r="AW44" s="21"/>
      <c r="AX44" s="21"/>
      <c r="AY44" s="6">
        <f>stableMED[[#This Row],[NH4-N 
(mg L-1)]]-20</f>
        <v>778.85</v>
      </c>
      <c r="AZ44" s="6">
        <f>stableMED[[#This Row],[Ammonia residual to reach target]]*2.9</f>
        <v>2258.665</v>
      </c>
      <c r="BA44" s="6">
        <f>stableMED[[#This Row],[Alkalinity 
(mg CaCO3 L-1) ]]-stableMED[[#This Row],[Alkalinity need]]-70</f>
        <v>822.33500000000004</v>
      </c>
      <c r="BB44" s="29" t="s">
        <v>548</v>
      </c>
    </row>
    <row r="45" spans="1:54" x14ac:dyDescent="0.3">
      <c r="A45" s="128">
        <v>43368</v>
      </c>
      <c r="B45" s="29">
        <v>42</v>
      </c>
      <c r="C45" s="42">
        <v>29.240422152347424</v>
      </c>
      <c r="D45" s="28">
        <f>stableMED[[#This Row],[Flow 
(L h-1)]]/1000*24</f>
        <v>0.70177013165633817</v>
      </c>
      <c r="E45" s="42">
        <f>IF(IFERROR(Information!$R$47/stableMED[[#This Row],[Flow 
(m3 d-1)]]*24,0)&lt;0,0,IFERROR(Information!$R$47/stableMED[[#This Row],[Flow 
(m3 d-1)]]*24,0))</f>
        <v>41.039079181135008</v>
      </c>
      <c r="F45" s="42">
        <v>7.7121315475802836</v>
      </c>
      <c r="G45" s="42">
        <v>1.2032818468090396</v>
      </c>
      <c r="H45" s="41">
        <v>28.856715225834105</v>
      </c>
      <c r="I45" s="130"/>
      <c r="J45" s="130"/>
      <c r="K45" s="29">
        <v>1960</v>
      </c>
      <c r="L45" s="29">
        <f>stableMED[[#This Row],[COD 
(mg L-1)]]*Information!$AK$42</f>
        <v>1391.6</v>
      </c>
      <c r="M45" s="29">
        <v>2324</v>
      </c>
      <c r="N45" s="29">
        <v>8.3000000000000007</v>
      </c>
      <c r="O45" s="29">
        <v>580</v>
      </c>
      <c r="Q45" s="29">
        <v>18.850000000000001</v>
      </c>
      <c r="R45" s="29">
        <v>0.2</v>
      </c>
      <c r="S45" s="4">
        <f>stableMED[[#This Row],[NH4-N 
(mg L-1)]]*1.288</f>
        <v>951.53575999999998</v>
      </c>
      <c r="T45" s="6">
        <f>stableMED[[#This Row],[NO2-N 
(mg L-1)]]*3.284</f>
        <v>4.4301159999999999</v>
      </c>
      <c r="U45" s="6">
        <f>(stableMED[[#This Row],[NO3-N 
(mg L-1)]])*4.426</f>
        <v>0.8497920000000001</v>
      </c>
      <c r="V45" s="29">
        <v>738.77</v>
      </c>
      <c r="W45" s="29">
        <v>1.349</v>
      </c>
      <c r="X45" s="4">
        <f>IF(stableMED[[#This Row],[TON 
(mg L-1)]]-stableMED[[#This Row],[NO2-N 
(mg L-1)]]&lt;0,0.192,stableMED[[#This Row],[TON 
(mg L-1)]]-stableMED[[#This Row],[NO2-N 
(mg L-1)]])</f>
        <v>0.192</v>
      </c>
      <c r="Y45" s="4">
        <f>SUM(stableMED[[#This Row],[NH4-N 
(mg L-1)]],stableMED[[#This Row],[NO3-N 
(mg L-1)]],stableMED[[#This Row],[NO2-N 
(mg L-1)]])</f>
        <v>740.31100000000004</v>
      </c>
      <c r="Z45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4.1154909652112409E-4</v>
      </c>
      <c r="AA45" s="48">
        <f>IF(IFERROR(stableMED[[#This Row],[NO2-N 
(mg L-1)]]/stableMED[[#This Row],[NH4-N 
(mg L-1)]],0)&lt;0,0,IFERROR(stableMED[[#This Row],[NO2-N 
(mg L-1)]]/stableMED[[#This Row],[NH4-N 
(mg L-1)]],0))</f>
        <v>1.8260080945355116E-3</v>
      </c>
      <c r="AB45" s="48">
        <f>stableMED[[#This Row],[NO2-N 
(mg L-1)]]/(stableMED[[#This Row],[NO3-N 
(mg L-1)]]+stableMED[[#This Row],[NO2-N 
(mg L-1)]])</f>
        <v>0.87540558079169373</v>
      </c>
      <c r="AC45" s="20">
        <f>46/14*stableMED[[#This Row],[NO2-N 
(mg L-1)]]/(EXP(-2300/(stableMED[[#This Row],[Temp. 
(°C)]]+273))*10^(stableMED[[#This Row],[pHreactor]]))</f>
        <v>1.75235047849169E-4</v>
      </c>
      <c r="AD45" s="6">
        <f>17/14*stableMED[NH4-N 
(mg L-1)]*10^stableMED[[#This Row],[pHreactor]]/(EXP((6344/(273+stableMED[[#This Row],[Temp. 
(°C)]])))+10^stableMED[pHreactor])</f>
        <v>33.204052604545467</v>
      </c>
      <c r="AE45" s="6">
        <f>Influent[[#This Row],[NH4-N (mg L-1)]]*stableMED[[#This Row],[Flow 
(m3 d-1)]]/(Information!$R$48*Information!$R$49)</f>
        <v>1.7621740410112174</v>
      </c>
      <c r="AF45" s="6">
        <f>(Influent[[#This Row],[NH4-N (mg L-1)]]-stableMED[[#This Row],[NH4-N 
(mg L-1)]])*stableMED[[#This Row],[Flow 
(m3 d-1)]]/(Information!$R$48*Information!$R$49)</f>
        <v>0.68207670733673209</v>
      </c>
      <c r="AG45" s="6">
        <f>Influent[[#This Row],[COD (mg L-1)]]*stableMED[[#This Row],[Flow 
(m3 d-1)]]/(Information!$R$48*Information!$R$49)</f>
        <v>3.3553384419818668</v>
      </c>
      <c r="AH45" s="6">
        <f>(Influent[[#This Row],[COD (mg L-1)]]-stableMED[[#This Row],[COD 
(mg L-1)]])*stableMED[[#This Row],[Flow 
(m3 d-1)]]/(Information!$R$48*Information!$R$49)</f>
        <v>0.48977707105181939</v>
      </c>
      <c r="AI45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464.98899999999992</v>
      </c>
      <c r="AJ45" s="6">
        <f>IFERROR(IF(Influent[[#This Row],[COD (mg L-1)]]-stableMED[[#This Row],[COD 
(mg L-1)]]&lt;0,0,Influent[[#This Row],[COD (mg L-1)]]-stableMED[[#This Row],[COD 
(mg L-1)]]),0)</f>
        <v>335</v>
      </c>
      <c r="AK45" s="6">
        <f>IFERROR(IF(Influent[[#This Row],[Alkalinity (mg CaCO3 L-1) ]]-stableMED[[#This Row],[Alkalinity 
(mg CaCO3 L-1) ]]&lt;0,0,Influent[[#This Row],[Alkalinity (mg CaCO3 L-1) ]]-stableMED[[#This Row],[Alkalinity 
(mg CaCO3 L-1) ]]),0)</f>
        <v>2099</v>
      </c>
      <c r="AL45" s="6">
        <f>Influent[[#This Row],[COD (mg L-1)]]/stableMED[[#This Row],[HRT 
(h)]]*24/1000</f>
        <v>1.3421353767927466</v>
      </c>
      <c r="AM45" s="6">
        <f>IF(((stableMED[[#This Row],[ΔC (mg L-1)]])*24/stableMED[[#This Row],[HRT 
(h)]]/1000) &lt;0,0, (stableMED[[#This Row],[ΔC (mg L-1)]])*24/stableMED[[#This Row],[HRT 
(h)]]/1000)</f>
        <v>0.19591082842072774</v>
      </c>
      <c r="AN45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0.27283068293469287</v>
      </c>
      <c r="AO45" s="6">
        <f>Influent[[#This Row],[TN (mg L-1)]]/stableMED[[#This Row],[HRT 
(h)]]*24/1000</f>
        <v>0.70498657809309639</v>
      </c>
      <c r="AP45" s="6">
        <f>stableMED[[#This Row],[NRE 
(%)]]*stableMED[[#This Row],[NLR 
(kg N m-3 d-1)]]</f>
        <v>0.2720464548125669</v>
      </c>
      <c r="AQ45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0.38706546088110844</v>
      </c>
      <c r="AR45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0.3858888428038158</v>
      </c>
      <c r="AS45" s="48"/>
      <c r="AT45" s="48"/>
      <c r="AU45" s="48"/>
      <c r="AV45" s="6"/>
      <c r="AW45" s="21"/>
      <c r="AX45" s="21"/>
      <c r="AY45" s="6">
        <f>stableMED[[#This Row],[NH4-N 
(mg L-1)]]-20</f>
        <v>718.77</v>
      </c>
      <c r="AZ45" s="6">
        <f>stableMED[[#This Row],[Ammonia residual to reach target]]*2.9</f>
        <v>2084.433</v>
      </c>
      <c r="BA45" s="6">
        <f>stableMED[[#This Row],[Alkalinity 
(mg CaCO3 L-1) ]]-stableMED[[#This Row],[Alkalinity need]]-70</f>
        <v>169.56700000000001</v>
      </c>
    </row>
    <row r="46" spans="1:54" x14ac:dyDescent="0.3">
      <c r="A46" s="128">
        <v>43369</v>
      </c>
      <c r="B46" s="29">
        <v>43</v>
      </c>
      <c r="C46" s="42"/>
      <c r="D46" s="28"/>
      <c r="E46" s="42"/>
      <c r="F46" s="42"/>
      <c r="G46" s="42"/>
      <c r="H46" s="41"/>
      <c r="I46" s="130"/>
      <c r="J46" s="130"/>
      <c r="S46" s="4"/>
      <c r="T46" s="6"/>
      <c r="U46" s="6"/>
      <c r="X46" s="4"/>
      <c r="Y46" s="4"/>
      <c r="Z46" s="89"/>
      <c r="AA46" s="48"/>
      <c r="AB46" s="48"/>
      <c r="AC46" s="20"/>
      <c r="AD46" s="6"/>
      <c r="AE46" s="6"/>
      <c r="AF46" s="6"/>
      <c r="AG46" s="6"/>
      <c r="AH46" s="6"/>
      <c r="AI46" s="48"/>
      <c r="AJ46" s="6"/>
      <c r="AK46" s="6"/>
      <c r="AL46" s="6"/>
      <c r="AM46" s="6"/>
      <c r="AN46" s="6"/>
      <c r="AO46" s="6"/>
      <c r="AP46" s="6"/>
      <c r="AQ46" s="26"/>
      <c r="AR46" s="26"/>
      <c r="AS46" s="48"/>
      <c r="AT46" s="48"/>
      <c r="AU46" s="48"/>
      <c r="AV46" s="6"/>
      <c r="AW46" s="21"/>
      <c r="AX46" s="21"/>
      <c r="AY46" s="6"/>
      <c r="AZ46" s="6"/>
      <c r="BA46" s="6"/>
    </row>
    <row r="47" spans="1:54" x14ac:dyDescent="0.3">
      <c r="A47" s="128">
        <v>43370</v>
      </c>
      <c r="B47" s="29">
        <v>44</v>
      </c>
      <c r="C47" s="42">
        <v>5.508959563975945</v>
      </c>
      <c r="D47" s="28">
        <f>stableMED[[#This Row],[Flow 
(L h-1)]]/1000*24</f>
        <v>0.13221502953542269</v>
      </c>
      <c r="E47" s="42">
        <f>IF(IFERROR(Information!$R$47/stableMED[[#This Row],[Flow 
(m3 d-1)]]*24,0)&lt;0,0,IFERROR(Information!$R$47/stableMED[[#This Row],[Flow 
(m3 d-1)]]*24,0))</f>
        <v>217.82697550495936</v>
      </c>
      <c r="F47" s="42">
        <v>8.5212951618447477</v>
      </c>
      <c r="G47" s="42">
        <v>2.4593396381304027</v>
      </c>
      <c r="H47" s="41">
        <v>20.258395487961774</v>
      </c>
      <c r="I47" s="29">
        <v>6980</v>
      </c>
      <c r="J47" s="130">
        <v>2410</v>
      </c>
      <c r="K47" s="29">
        <v>1920</v>
      </c>
      <c r="L47" s="29">
        <f>stableMED[[#This Row],[COD 
(mg L-1)]]*Information!$AK$42</f>
        <v>1363.1999999999998</v>
      </c>
      <c r="M47" s="29">
        <v>2702</v>
      </c>
      <c r="N47" s="29">
        <v>8.4</v>
      </c>
      <c r="O47" s="29">
        <v>420</v>
      </c>
      <c r="Q47" s="29">
        <v>18.940000000000001</v>
      </c>
      <c r="R47" s="29">
        <v>0.2</v>
      </c>
      <c r="S47" s="4">
        <f>stableMED[[#This Row],[NH4-N 
(mg L-1)]]*1.288</f>
        <v>1040.56232</v>
      </c>
      <c r="T47" s="6">
        <f>stableMED[[#This Row],[NO2-N 
(mg L-1)]]*3.284</f>
        <v>5.18872</v>
      </c>
      <c r="U47" s="6">
        <f>(stableMED[[#This Row],[NO3-N 
(mg L-1)]])*4.426</f>
        <v>0.8497920000000001</v>
      </c>
      <c r="V47" s="29">
        <v>807.89</v>
      </c>
      <c r="W47" s="29">
        <v>1.58</v>
      </c>
      <c r="X47" s="4">
        <f>IF(stableMED[[#This Row],[TON 
(mg L-1)]]-stableMED[[#This Row],[NO2-N 
(mg L-1)]]&lt;0,0.192,stableMED[[#This Row],[TON 
(mg L-1)]]-stableMED[[#This Row],[NO2-N 
(mg L-1)]])</f>
        <v>0.192</v>
      </c>
      <c r="Y47" s="4">
        <f>SUM(stableMED[[#This Row],[NH4-N 
(mg L-1)]],stableMED[[#This Row],[NO3-N 
(mg L-1)]],stableMED[[#This Row],[NO2-N 
(mg L-1)]])</f>
        <v>809.66200000000003</v>
      </c>
      <c r="Z47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2.914787994716947E-4</v>
      </c>
      <c r="AA47" s="48">
        <f>IF(IFERROR(stableMED[[#This Row],[NO2-N 
(mg L-1)]]/stableMED[[#This Row],[NH4-N 
(mg L-1)]],0)&lt;0,0,IFERROR(stableMED[[#This Row],[NO2-N 
(mg L-1)]]/stableMED[[#This Row],[NH4-N 
(mg L-1)]],0))</f>
        <v>1.9557117924469919E-3</v>
      </c>
      <c r="AB47" s="48">
        <f>stableMED[[#This Row],[NO2-N 
(mg L-1)]]/(stableMED[[#This Row],[NO3-N 
(mg L-1)]]+stableMED[[#This Row],[NO2-N 
(mg L-1)]])</f>
        <v>0.8916478555304741</v>
      </c>
      <c r="AC47" s="20">
        <f>46/14*stableMED[[#This Row],[NO2-N 
(mg L-1)]]/(EXP(-2300/(stableMED[[#This Row],[Temp. 
(°C)]]+273))*10^(stableMED[[#This Row],[pHreactor]]))</f>
        <v>3.9822217232439786E-5</v>
      </c>
      <c r="AD47" s="6">
        <f>17/14*stableMED[NH4-N 
(mg L-1)]*10^stableMED[[#This Row],[pHreactor]]/(EXP((6344/(273+stableMED[[#This Row],[Temp. 
(°C)]])))+10^stableMED[pHreactor])</f>
        <v>115.73004005055498</v>
      </c>
      <c r="AE47" s="6">
        <f>Influent[[#This Row],[NH4-N (mg L-1)]]*stableMED[[#This Row],[Flow 
(m3 d-1)]]/(Information!$R$48*Information!$R$49)</f>
        <v>0.40397200482635603</v>
      </c>
      <c r="AF47" s="6">
        <f>(Influent[[#This Row],[NH4-N (mg L-1)]]-stableMED[[#This Row],[NH4-N 
(mg L-1)]])*stableMED[[#This Row],[Flow 
(m3 d-1)]]/(Information!$R$48*Information!$R$49)</f>
        <v>0.18144033771932971</v>
      </c>
      <c r="AG47" s="6">
        <f>Influent[[#This Row],[COD (mg L-1)]]*stableMED[[#This Row],[Flow 
(m3 d-1)]]/(Information!$R$48*Information!$R$49)</f>
        <v>0.77400881873862037</v>
      </c>
      <c r="AH47" s="6">
        <f>(Influent[[#This Row],[COD (mg L-1)]]-stableMED[[#This Row],[COD 
(mg L-1)]])*stableMED[[#This Row],[Flow 
(m3 d-1)]]/(Information!$R$48*Information!$R$49)</f>
        <v>0.24514870059692959</v>
      </c>
      <c r="AI47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656.93799999999987</v>
      </c>
      <c r="AJ47" s="6">
        <f>IFERROR(IF(Influent[[#This Row],[COD (mg L-1)]]-stableMED[[#This Row],[COD 
(mg L-1)]]&lt;0,0,Influent[[#This Row],[COD (mg L-1)]]-stableMED[[#This Row],[COD 
(mg L-1)]]),0)</f>
        <v>890</v>
      </c>
      <c r="AK47" s="6">
        <f>IFERROR(IF(Influent[[#This Row],[Alkalinity (mg CaCO3 L-1) ]]-stableMED[[#This Row],[Alkalinity 
(mg CaCO3 L-1) ]]&lt;0,0,Influent[[#This Row],[Alkalinity (mg CaCO3 L-1) ]]-stableMED[[#This Row],[Alkalinity 
(mg CaCO3 L-1) ]]),0)</f>
        <v>2545</v>
      </c>
      <c r="AL47" s="6">
        <f>Influent[[#This Row],[COD (mg L-1)]]/stableMED[[#This Row],[HRT 
(h)]]*24/1000</f>
        <v>0.30960352749544817</v>
      </c>
      <c r="AM47" s="6">
        <f>IF(((stableMED[[#This Row],[ΔC (mg L-1)]])*24/stableMED[[#This Row],[HRT 
(h)]]/1000) &lt;0,0, (stableMED[[#This Row],[ΔC (mg L-1)]])*24/stableMED[[#This Row],[HRT 
(h)]]/1000)</f>
        <v>9.805948023877184E-2</v>
      </c>
      <c r="AN47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7.2576135087731905E-2</v>
      </c>
      <c r="AO47" s="6">
        <f>Influent[[#This Row],[TN (mg L-1)]]/stableMED[[#This Row],[HRT 
(h)]]*24/1000</f>
        <v>0.16161083776879834</v>
      </c>
      <c r="AP47" s="6">
        <f>stableMED[[#This Row],[NRE 
(%)]]*stableMED[[#This Row],[NLR 
(kg N m-3 d-1)]]</f>
        <v>7.2402933399040484E-2</v>
      </c>
      <c r="AQ47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0.44914087003954722</v>
      </c>
      <c r="AR47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0.44800790837196613</v>
      </c>
      <c r="AS47" s="48"/>
      <c r="AT47" s="48"/>
      <c r="AU47" s="48"/>
      <c r="AV47" s="6"/>
      <c r="AW47" s="21"/>
      <c r="AX47" s="21"/>
      <c r="AY47" s="6">
        <f>stableMED[[#This Row],[NH4-N 
(mg L-1)]]-20</f>
        <v>787.89</v>
      </c>
      <c r="AZ47" s="6">
        <f>stableMED[[#This Row],[Ammonia residual to reach target]]*2.9</f>
        <v>2284.8809999999999</v>
      </c>
      <c r="BA47" s="6">
        <f>stableMED[[#This Row],[Alkalinity 
(mg CaCO3 L-1) ]]-stableMED[[#This Row],[Alkalinity need]]-70</f>
        <v>347.11900000000014</v>
      </c>
    </row>
    <row r="48" spans="1:54" x14ac:dyDescent="0.3">
      <c r="A48" s="128">
        <v>43371</v>
      </c>
      <c r="B48" s="29">
        <v>45</v>
      </c>
      <c r="C48" s="42">
        <v>6.2556946374442335</v>
      </c>
      <c r="D48" s="28">
        <f>stableMED[[#This Row],[Flow 
(L h-1)]]/1000*24</f>
        <v>0.15013667129866159</v>
      </c>
      <c r="E48" s="42">
        <f>IF(IFERROR(Information!$R$47/stableMED[[#This Row],[Flow 
(m3 d-1)]]*24,0)&lt;0,0,IFERROR(Information!$R$47/stableMED[[#This Row],[Flow 
(m3 d-1)]]*24,0))</f>
        <v>191.82521998712207</v>
      </c>
      <c r="F48" s="42">
        <v>7.5708413688476943</v>
      </c>
      <c r="G48" s="42">
        <v>0.88628427488280026</v>
      </c>
      <c r="H48" s="41">
        <v>30.103749801201442</v>
      </c>
      <c r="I48" s="41">
        <f>stableMED[[#This Row],[MLVSS 
(mg L-1)]]/0.6</f>
        <v>1366.6666666666667</v>
      </c>
      <c r="J48" s="130">
        <f>410*2</f>
        <v>820</v>
      </c>
      <c r="K48" s="29">
        <v>1950</v>
      </c>
      <c r="L48" s="29">
        <f>stableMED[[#This Row],[COD 
(mg L-1)]]*Information!$AK$42</f>
        <v>1384.5</v>
      </c>
      <c r="M48" s="29">
        <v>1837</v>
      </c>
      <c r="N48" s="29">
        <v>8.1999999999999993</v>
      </c>
      <c r="O48" s="29">
        <v>456</v>
      </c>
      <c r="P48" s="29">
        <v>165</v>
      </c>
      <c r="Q48" s="29">
        <v>6.63</v>
      </c>
      <c r="S48" s="4">
        <f>stableMED[[#This Row],[NH4-N 
(mg L-1)]]*1.288</f>
        <v>690.81880000000001</v>
      </c>
      <c r="T48" s="6">
        <f>stableMED[[#This Row],[NO2-N 
(mg L-1)]]*3.284</f>
        <v>0</v>
      </c>
      <c r="U48" s="6">
        <f>(stableMED[[#This Row],[NO3-N 
(mg L-1)]])*4.426</f>
        <v>0</v>
      </c>
      <c r="V48" s="6">
        <v>536.35</v>
      </c>
      <c r="W48" s="6"/>
      <c r="X48" s="4"/>
      <c r="Y48" s="4"/>
      <c r="Z48" s="89"/>
      <c r="AA48" s="48"/>
      <c r="AB48" s="48"/>
      <c r="AC48" s="20"/>
      <c r="AD48" s="6"/>
      <c r="AE48" s="6">
        <f>Influent[[#This Row],[NH4-N (mg L-1)]]*stableMED[[#This Row],[Flow 
(m3 d-1)]]/(Information!$R$48*Information!$R$49)</f>
        <v>0.39698638169221107</v>
      </c>
      <c r="AF48" s="6">
        <f>(Influent[[#This Row],[NH4-N (mg L-1)]]-stableMED[[#This Row],[NH4-N 
(mg L-1)]])*stableMED[[#This Row],[Flow 
(m3 d-1)]]/(Information!$R$48*Information!$R$49)</f>
        <v>0.22922429075255032</v>
      </c>
      <c r="AG48" s="6">
        <f>Influent[[#This Row],[COD (mg L-1)]]*stableMED[[#This Row],[Flow 
(m3 d-1)]]/(Information!$R$48*Information!$R$49)</f>
        <v>0.81636815018647235</v>
      </c>
      <c r="AH48" s="6">
        <f>(Influent[[#This Row],[COD (mg L-1)]]-stableMED[[#This Row],[COD 
(mg L-1)]])*stableMED[[#This Row],[Flow 
(m3 d-1)]]/(Information!$R$48*Information!$R$49)</f>
        <v>0.20643792303565969</v>
      </c>
      <c r="AI48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732.85</v>
      </c>
      <c r="AJ48" s="6">
        <f>IFERROR(IF(Influent[[#This Row],[COD (mg L-1)]]-stableMED[[#This Row],[COD 
(mg L-1)]]&lt;0,0,Influent[[#This Row],[COD (mg L-1)]]-stableMED[[#This Row],[COD 
(mg L-1)]]),0)</f>
        <v>660</v>
      </c>
      <c r="AK48" s="6">
        <f>IFERROR(IF(Influent[[#This Row],[Alkalinity (mg CaCO3 L-1) ]]-stableMED[[#This Row],[Alkalinity 
(mg CaCO3 L-1) ]]&lt;0,0,Influent[[#This Row],[Alkalinity (mg CaCO3 L-1) ]]-stableMED[[#This Row],[Alkalinity 
(mg CaCO3 L-1) ]]),0)</f>
        <v>2789</v>
      </c>
      <c r="AL48" s="6">
        <f>Influent[[#This Row],[COD (mg L-1)]]/stableMED[[#This Row],[HRT 
(h)]]*24/1000</f>
        <v>0.32654726007458895</v>
      </c>
      <c r="AM48" s="6">
        <f>IF(((stableMED[[#This Row],[ΔC (mg L-1)]])*24/stableMED[[#This Row],[HRT 
(h)]]/1000) &lt;0,0, (stableMED[[#This Row],[ΔC (mg L-1)]])*24/stableMED[[#This Row],[HRT 
(h)]]/1000)</f>
        <v>8.2575169214263888E-2</v>
      </c>
      <c r="AN48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9.1689716301020144E-2</v>
      </c>
      <c r="AO48" s="6">
        <f>Influent[[#This Row],[TN (mg L-1)]]/stableMED[[#This Row],[HRT 
(h)]]*24/1000</f>
        <v>0.15881957545543424</v>
      </c>
      <c r="AP48" s="6"/>
      <c r="AQ48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0.57741096753860699</v>
      </c>
      <c r="AR48" s="26"/>
      <c r="AS48" s="48">
        <f>110/30</f>
        <v>3.6666666666666665</v>
      </c>
      <c r="AT48" s="48">
        <v>0.56699999999999995</v>
      </c>
      <c r="AU48" s="48">
        <v>0.16900000000000001</v>
      </c>
      <c r="AV48" s="6">
        <f>stableMED[[#This Row],[SAAcarrier
(g N g VSS-1d-1)]]+stableMED[[#This Row],[SAAsuspension
(g N g VSS-1d-1)]]</f>
        <v>0.73599999999999999</v>
      </c>
      <c r="AW48" s="21">
        <f>stableMED[[#This Row],[SAAcarrier
(g N g VSS-1d-1)]]/MAX(stableMED[SAAcombined
(g N g VSS-1d-1)])</f>
        <v>0.27685546874999994</v>
      </c>
      <c r="AX48" s="21">
        <f>stableMED[[#This Row],[SAAsuspension
(g N g VSS-1d-1)]]/MAX(stableMED[SAAcombined
(g N g VSS-1d-1)])</f>
        <v>8.251953125E-2</v>
      </c>
      <c r="AY48" s="6">
        <f>stableMED[[#This Row],[NH4-N 
(mg L-1)]]-20</f>
        <v>516.35</v>
      </c>
      <c r="AZ48" s="6">
        <f>stableMED[[#This Row],[Ammonia residual to reach target]]*2.9</f>
        <v>1497.415</v>
      </c>
      <c r="BA48" s="6">
        <f>stableMED[[#This Row],[Alkalinity 
(mg CaCO3 L-1) ]]-stableMED[[#This Row],[Alkalinity need]]-70</f>
        <v>269.58500000000004</v>
      </c>
    </row>
    <row r="49" spans="1:54" x14ac:dyDescent="0.3">
      <c r="A49" s="128">
        <v>43372</v>
      </c>
      <c r="B49" s="29">
        <v>46</v>
      </c>
      <c r="C49" s="42">
        <v>27.304462427068444</v>
      </c>
      <c r="D49" s="28">
        <f>stableMED[[#This Row],[Flow 
(L h-1)]]/1000*24</f>
        <v>0.65530709824964273</v>
      </c>
      <c r="E49" s="42">
        <f>IF(IFERROR(Information!$R$47/stableMED[[#This Row],[Flow 
(m3 d-1)]]*24,0)&lt;0,0,IFERROR(Information!$R$47/stableMED[[#This Row],[Flow 
(m3 d-1)]]*24,0))</f>
        <v>43.948860125163009</v>
      </c>
      <c r="F49" s="42">
        <v>7.3374633118742993</v>
      </c>
      <c r="G49" s="42">
        <v>0.91132289045016746</v>
      </c>
      <c r="H49" s="41">
        <v>29.907519083973103</v>
      </c>
      <c r="I49" s="130"/>
      <c r="J49" s="130"/>
      <c r="K49" s="29">
        <v>1490</v>
      </c>
      <c r="L49" s="29">
        <f>stableMED[[#This Row],[COD 
(mg L-1)]]*Information!$AK$42</f>
        <v>1057.8999999999999</v>
      </c>
      <c r="M49" s="29">
        <v>1221</v>
      </c>
      <c r="N49" s="29">
        <v>8.1</v>
      </c>
      <c r="O49" s="29">
        <v>166</v>
      </c>
      <c r="P49" s="29">
        <v>63</v>
      </c>
      <c r="Q49" s="29">
        <v>4.8</v>
      </c>
      <c r="R49" s="29">
        <v>195.6</v>
      </c>
      <c r="S49" s="4">
        <f>stableMED[[#This Row],[NH4-N 
(mg L-1)]]*1.288</f>
        <v>593.53616</v>
      </c>
      <c r="T49" s="6">
        <f>stableMED[[#This Row],[NO2-N 
(mg L-1)]]*3.284</f>
        <v>614.20651999999995</v>
      </c>
      <c r="U49" s="6">
        <f>(stableMED[[#This Row],[NO3-N 
(mg L-1)]])*4.426</f>
        <v>37.930819999999969</v>
      </c>
      <c r="V49" s="6">
        <v>460.82</v>
      </c>
      <c r="W49" s="6">
        <v>187.03</v>
      </c>
      <c r="X49" s="4">
        <f>IF(stableMED[[#This Row],[TON 
(mg L-1)]]-stableMED[[#This Row],[NO2-N 
(mg L-1)]]&lt;0,0.192,stableMED[[#This Row],[TON 
(mg L-1)]]-stableMED[[#This Row],[NO2-N 
(mg L-1)]])</f>
        <v>8.5699999999999932</v>
      </c>
      <c r="Y49" s="4">
        <f>SUM(stableMED[[#This Row],[NH4-N 
(mg L-1)]],stableMED[[#This Row],[NO3-N 
(mg L-1)]],stableMED[[#This Row],[NO2-N 
(mg L-1)]])</f>
        <v>656.42</v>
      </c>
      <c r="Z49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1.0119497449461544E-2</v>
      </c>
      <c r="AA49" s="48">
        <f>IF(IFERROR(stableMED[[#This Row],[NO2-N 
(mg L-1)]]/stableMED[[#This Row],[NH4-N 
(mg L-1)]],0)&lt;0,0,IFERROR(stableMED[[#This Row],[NO2-N 
(mg L-1)]]/stableMED[[#This Row],[NH4-N 
(mg L-1)]],0))</f>
        <v>0.40586346078729224</v>
      </c>
      <c r="AB49" s="48">
        <f>stableMED[[#This Row],[NO2-N 
(mg L-1)]]/(stableMED[[#This Row],[NO3-N 
(mg L-1)]]+stableMED[[#This Row],[NO2-N 
(mg L-1)]])</f>
        <v>0.9561860940695297</v>
      </c>
      <c r="AC49" s="20">
        <f>46/14*stableMED[[#This Row],[NO2-N 
(mg L-1)]]/(EXP(-2300/(stableMED[[#This Row],[Temp. 
(°C)]]+273))*10^(stableMED[[#This Row],[pHreactor]]))</f>
        <v>5.6067221313188392E-2</v>
      </c>
      <c r="AD49" s="6">
        <f>17/14*stableMED[NH4-N 
(mg L-1)]*10^stableMED[[#This Row],[pHreactor]]/(EXP((6344/(273+stableMED[[#This Row],[Temp. 
(°C)]])))+10^stableMED[pHreactor])</f>
        <v>9.5956887375873894</v>
      </c>
      <c r="AE49" s="6">
        <f>Influent[[#This Row],[NH4-N (mg L-1)]]*stableMED[[#This Row],[Flow 
(m3 d-1)]]/(Information!$R$48*Information!$R$49)</f>
        <v>1.7853022757938706</v>
      </c>
      <c r="AF49" s="6">
        <f>(Influent[[#This Row],[NH4-N (mg L-1)]]-stableMED[[#This Row],[NH4-N 
(mg L-1)]])*stableMED[[#This Row],[Flow 
(m3 d-1)]]/(Information!$R$48*Information!$R$49)</f>
        <v>1.1561801570117864</v>
      </c>
      <c r="AG49" s="6">
        <f>Influent[[#This Row],[COD (mg L-1)]]*stableMED[[#This Row],[Flow 
(m3 d-1)]]/(Information!$R$48*Information!$R$49)</f>
        <v>3.9727992831384591</v>
      </c>
      <c r="AH49" s="6">
        <f>(Influent[[#This Row],[COD (mg L-1)]]-stableMED[[#This Row],[COD 
(mg L-1)]])*stableMED[[#This Row],[Flow 
(m3 d-1)]]/(Information!$R$48*Information!$R$49)</f>
        <v>1.9386168323218598</v>
      </c>
      <c r="AI49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651.28</v>
      </c>
      <c r="AJ49" s="6">
        <f>IFERROR(IF(Influent[[#This Row],[COD (mg L-1)]]-stableMED[[#This Row],[COD 
(mg L-1)]]&lt;0,0,Influent[[#This Row],[COD (mg L-1)]]-stableMED[[#This Row],[COD 
(mg L-1)]]),0)</f>
        <v>1420</v>
      </c>
      <c r="AK49" s="6">
        <f>IFERROR(IF(Influent[[#This Row],[Alkalinity (mg CaCO3 L-1) ]]-stableMED[[#This Row],[Alkalinity 
(mg CaCO3 L-1) ]]&lt;0,0,Influent[[#This Row],[Alkalinity (mg CaCO3 L-1) ]]-stableMED[[#This Row],[Alkalinity 
(mg CaCO3 L-1) ]]),0)</f>
        <v>3747</v>
      </c>
      <c r="AL49" s="6">
        <f>Influent[[#This Row],[COD (mg L-1)]]/stableMED[[#This Row],[HRT 
(h)]]*24/1000</f>
        <v>1.5891197132553834</v>
      </c>
      <c r="AM49" s="6">
        <f>IF(((stableMED[[#This Row],[ΔC (mg L-1)]])*24/stableMED[[#This Row],[HRT 
(h)]]/1000) &lt;0,0, (stableMED[[#This Row],[ΔC (mg L-1)]])*24/stableMED[[#This Row],[HRT 
(h)]]/1000)</f>
        <v>0.77544673292874378</v>
      </c>
      <c r="AN49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0.46247206280471453</v>
      </c>
      <c r="AO49" s="6">
        <f>Influent[[#This Row],[TN (mg L-1)]]/stableMED[[#This Row],[HRT 
(h)]]*24/1000</f>
        <v>0.71444856386667288</v>
      </c>
      <c r="AP49" s="6">
        <f>stableMED[[#This Row],[NRE 
(%)]]*stableMED[[#This Row],[NLR 
(kg N m-3 d-1)]]</f>
        <v>0.35598465933914752</v>
      </c>
      <c r="AQ49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0.64761030817465781</v>
      </c>
      <c r="AR49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0.49826492394710692</v>
      </c>
      <c r="AS49" s="48"/>
      <c r="AT49" s="48"/>
      <c r="AU49" s="48"/>
      <c r="AV49" s="6"/>
      <c r="AW49" s="21"/>
      <c r="AX49" s="21"/>
      <c r="AY49" s="6">
        <f>stableMED[[#This Row],[NH4-N 
(mg L-1)]]-20</f>
        <v>440.82</v>
      </c>
      <c r="AZ49" s="6">
        <f>stableMED[[#This Row],[Ammonia residual to reach target]]*2.9</f>
        <v>1278.3779999999999</v>
      </c>
      <c r="BA49" s="6">
        <f>stableMED[[#This Row],[Alkalinity 
(mg CaCO3 L-1) ]]-stableMED[[#This Row],[Alkalinity need]]-70</f>
        <v>-127.37799999999993</v>
      </c>
    </row>
    <row r="50" spans="1:54" x14ac:dyDescent="0.3">
      <c r="A50" s="128">
        <v>43373</v>
      </c>
      <c r="B50" s="29">
        <v>47</v>
      </c>
      <c r="C50" s="42"/>
      <c r="D50" s="28"/>
      <c r="E50" s="42"/>
      <c r="F50" s="42"/>
      <c r="G50" s="42"/>
      <c r="H50" s="41"/>
      <c r="I50" s="130"/>
      <c r="J50" s="130"/>
      <c r="S50" s="4"/>
      <c r="T50" s="6"/>
      <c r="U50" s="6"/>
      <c r="V50" s="6"/>
      <c r="W50" s="6"/>
      <c r="X50" s="4"/>
      <c r="Y50" s="4"/>
      <c r="Z50" s="89"/>
      <c r="AA50" s="48"/>
      <c r="AB50" s="48"/>
      <c r="AC50" s="20"/>
      <c r="AD50" s="6"/>
      <c r="AE50" s="6"/>
      <c r="AF50" s="6"/>
      <c r="AG50" s="6"/>
      <c r="AH50" s="6"/>
      <c r="AI50" s="48"/>
      <c r="AJ50" s="6"/>
      <c r="AK50" s="6"/>
      <c r="AL50" s="6"/>
      <c r="AM50" s="6"/>
      <c r="AN50" s="6"/>
      <c r="AO50" s="6"/>
      <c r="AP50" s="6"/>
      <c r="AQ50" s="26"/>
      <c r="AR50" s="26"/>
      <c r="AS50" s="48"/>
      <c r="AT50" s="48"/>
      <c r="AU50" s="48"/>
      <c r="AV50" s="6"/>
      <c r="AW50" s="21"/>
      <c r="AX50" s="21"/>
      <c r="AY50" s="6"/>
      <c r="AZ50" s="6"/>
      <c r="BA50" s="6"/>
    </row>
    <row r="51" spans="1:54" x14ac:dyDescent="0.3">
      <c r="A51" s="128">
        <v>43374</v>
      </c>
      <c r="B51" s="29">
        <v>48</v>
      </c>
      <c r="C51" s="42">
        <v>6.5846494286890369</v>
      </c>
      <c r="D51" s="28">
        <f>stableMED[[#This Row],[Flow 
(L h-1)]]/1000*24</f>
        <v>0.15803158628853689</v>
      </c>
      <c r="E51" s="42">
        <f>IF(IFERROR(Information!$R$47/stableMED[[#This Row],[Flow 
(m3 d-1)]]*24,0)&lt;0,0,IFERROR(Information!$R$47/stableMED[[#This Row],[Flow 
(m3 d-1)]]*24,0))</f>
        <v>182.24204841819687</v>
      </c>
      <c r="F51" s="42">
        <v>7.4423096273475871</v>
      </c>
      <c r="G51" s="42">
        <v>0.40535057256181223</v>
      </c>
      <c r="H51" s="41">
        <v>30.821603820705448</v>
      </c>
      <c r="I51" s="130"/>
      <c r="J51" s="130"/>
      <c r="K51" s="29">
        <v>1510</v>
      </c>
      <c r="L51" s="29">
        <f>stableMED[[#This Row],[COD 
(mg L-1)]]*Information!$AK$42</f>
        <v>1072.0999999999999</v>
      </c>
      <c r="M51" s="29">
        <v>1361</v>
      </c>
      <c r="N51" s="29">
        <v>8.1999999999999993</v>
      </c>
      <c r="O51" s="29">
        <v>190</v>
      </c>
      <c r="P51" s="29">
        <v>63</v>
      </c>
      <c r="Q51" s="29">
        <v>5.97</v>
      </c>
      <c r="R51" s="29">
        <v>154.69999999999999</v>
      </c>
      <c r="S51" s="4">
        <f>stableMED[[#This Row],[NH4-N 
(mg L-1)]]*1.288</f>
        <v>602.87415999999996</v>
      </c>
      <c r="T51" s="6">
        <f>stableMED[[#This Row],[NO2-N 
(mg L-1)]]*3.284</f>
        <v>488.72487999999993</v>
      </c>
      <c r="U51" s="6">
        <f>(stableMED[[#This Row],[NO3-N 
(mg L-1)]])*4.426</f>
        <v>26.024879999999982</v>
      </c>
      <c r="V51" s="6">
        <v>468.07</v>
      </c>
      <c r="W51" s="6">
        <v>148.82</v>
      </c>
      <c r="X51" s="4">
        <f>IF(stableMED[[#This Row],[TON 
(mg L-1)]]-stableMED[[#This Row],[NO2-N 
(mg L-1)]]&lt;0,0.192,stableMED[[#This Row],[TON 
(mg L-1)]]-stableMED[[#This Row],[NO2-N 
(mg L-1)]])</f>
        <v>5.8799999999999955</v>
      </c>
      <c r="Y51" s="4">
        <f>SUM(stableMED[[#This Row],[NH4-N 
(mg L-1)]],stableMED[[#This Row],[NO3-N 
(mg L-1)]],stableMED[[#This Row],[NO2-N 
(mg L-1)]])</f>
        <v>622.77</v>
      </c>
      <c r="Z51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6.6566288929392125E-3</v>
      </c>
      <c r="AA51" s="48">
        <f>IF(IFERROR(stableMED[[#This Row],[NO2-N 
(mg L-1)]]/stableMED[[#This Row],[NH4-N 
(mg L-1)]],0)&lt;0,0,IFERROR(stableMED[[#This Row],[NO2-N 
(mg L-1)]]/stableMED[[#This Row],[NH4-N 
(mg L-1)]],0))</f>
        <v>0.3179438972803213</v>
      </c>
      <c r="AB51" s="48">
        <f>stableMED[[#This Row],[NO2-N 
(mg L-1)]]/(stableMED[[#This Row],[NO3-N 
(mg L-1)]]+stableMED[[#This Row],[NO2-N 
(mg L-1)]])</f>
        <v>0.96199095022624437</v>
      </c>
      <c r="AC51" s="20">
        <f>46/14*stableMED[[#This Row],[NO2-N 
(mg L-1)]]/(EXP(-2300/(stableMED[[#This Row],[Temp. 
(°C)]]+273))*10^(stableMED[[#This Row],[pHreactor]]))</f>
        <v>3.4252432079930999E-2</v>
      </c>
      <c r="AD51" s="6">
        <f>17/14*stableMED[NH4-N 
(mg L-1)]*10^stableMED[[#This Row],[pHreactor]]/(EXP((6344/(273+stableMED[[#This Row],[Temp. 
(°C)]])))+10^stableMED[pHreactor])</f>
        <v>13.134859715659374</v>
      </c>
      <c r="AE51" s="6">
        <f>Influent[[#This Row],[NH4-N (mg L-1)]]*stableMED[[#This Row],[Flow 
(m3 d-1)]]/(Information!$R$48*Information!$R$49)</f>
        <v>0.44492476189651831</v>
      </c>
      <c r="AF51" s="6">
        <f>(Influent[[#This Row],[NH4-N (mg L-1)]]-stableMED[[#This Row],[NH4-N 
(mg L-1)]])*stableMED[[#This Row],[Flow 
(m3 d-1)]]/(Information!$R$48*Information!$R$49)</f>
        <v>0.29082091899219442</v>
      </c>
      <c r="AG51" s="6">
        <f>Influent[[#This Row],[COD (mg L-1)]]*stableMED[[#This Row],[Flow 
(m3 d-1)]]/(Information!$R$48*Information!$R$49)</f>
        <v>0.97452811544597751</v>
      </c>
      <c r="AH51" s="6">
        <f>(Influent[[#This Row],[COD (mg L-1)]]-stableMED[[#This Row],[COD 
(mg L-1)]])*stableMED[[#This Row],[Flow 
(m3 d-1)]]/(Information!$R$48*Information!$R$49)</f>
        <v>0.47738708357995524</v>
      </c>
      <c r="AI51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728.63000000000011</v>
      </c>
      <c r="AJ51" s="6">
        <f>IFERROR(IF(Influent[[#This Row],[COD (mg L-1)]]-stableMED[[#This Row],[COD 
(mg L-1)]]&lt;0,0,Influent[[#This Row],[COD (mg L-1)]]-stableMED[[#This Row],[COD 
(mg L-1)]]),0)</f>
        <v>1450</v>
      </c>
      <c r="AK51" s="6">
        <f>IFERROR(IF(Influent[[#This Row],[Alkalinity (mg CaCO3 L-1) ]]-stableMED[[#This Row],[Alkalinity 
(mg CaCO3 L-1) ]]&lt;0,0,Influent[[#This Row],[Alkalinity (mg CaCO3 L-1) ]]-stableMED[[#This Row],[Alkalinity 
(mg CaCO3 L-1) ]]),0)</f>
        <v>3615</v>
      </c>
      <c r="AL51" s="6">
        <f>Influent[[#This Row],[COD (mg L-1)]]/stableMED[[#This Row],[HRT 
(h)]]*24/1000</f>
        <v>0.38981124617839102</v>
      </c>
      <c r="AM51" s="6">
        <f>IF(((stableMED[[#This Row],[ΔC (mg L-1)]])*24/stableMED[[#This Row],[HRT 
(h)]]/1000) &lt;0,0, (stableMED[[#This Row],[ΔC (mg L-1)]])*24/stableMED[[#This Row],[HRT 
(h)]]/1000)</f>
        <v>0.19095483343198211</v>
      </c>
      <c r="AN51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0.11632836759687777</v>
      </c>
      <c r="AO51" s="6">
        <f>Influent[[#This Row],[TN (mg L-1)]]/stableMED[[#This Row],[HRT 
(h)]]*24/1000</f>
        <v>0.17877678769959887</v>
      </c>
      <c r="AP51" s="6">
        <f>stableMED[[#This Row],[NRE 
(%)]]*stableMED[[#This Row],[NLR 
(kg N m-3 d-1)]]</f>
        <v>9.6762345205505432E-2</v>
      </c>
      <c r="AQ51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0.65364066893591832</v>
      </c>
      <c r="AR51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0.54124669343593168</v>
      </c>
      <c r="AS51" s="48"/>
      <c r="AT51" s="48"/>
      <c r="AU51" s="48"/>
      <c r="AV51" s="6"/>
      <c r="AW51" s="21"/>
      <c r="AX51" s="21"/>
      <c r="AY51" s="6">
        <f>stableMED[[#This Row],[NH4-N 
(mg L-1)]]-20</f>
        <v>448.07</v>
      </c>
      <c r="AZ51" s="6">
        <f>stableMED[[#This Row],[Ammonia residual to reach target]]*2.9</f>
        <v>1299.403</v>
      </c>
      <c r="BA51" s="6">
        <f>stableMED[[#This Row],[Alkalinity 
(mg CaCO3 L-1) ]]-stableMED[[#This Row],[Alkalinity need]]-70</f>
        <v>-8.40300000000002</v>
      </c>
    </row>
    <row r="52" spans="1:54" x14ac:dyDescent="0.3">
      <c r="A52" s="128">
        <v>43375</v>
      </c>
      <c r="B52" s="29">
        <v>49</v>
      </c>
      <c r="C52" s="42">
        <v>3.2879642486903289</v>
      </c>
      <c r="D52" s="28">
        <f>stableMED[[#This Row],[Flow 
(L h-1)]]/1000*24</f>
        <v>7.8911141968567883E-2</v>
      </c>
      <c r="E52" s="42">
        <f>IF(IFERROR(Information!$R$47/stableMED[[#This Row],[Flow 
(m3 d-1)]]*24,0)&lt;0,0,IFERROR(Information!$R$47/stableMED[[#This Row],[Flow 
(m3 d-1)]]*24,0))</f>
        <v>364.96747203926793</v>
      </c>
      <c r="F52" s="42">
        <v>7.3725459018708603</v>
      </c>
      <c r="G52" s="42">
        <v>1.1796342397379569</v>
      </c>
      <c r="H52" s="41">
        <v>29.957416071655103</v>
      </c>
      <c r="I52" s="130">
        <v>1515</v>
      </c>
      <c r="J52" s="130">
        <v>473</v>
      </c>
      <c r="K52" s="29">
        <v>1450</v>
      </c>
      <c r="L52" s="29">
        <f>stableMED[[#This Row],[COD 
(mg L-1)]]*Information!$AK$42</f>
        <v>1029.5</v>
      </c>
      <c r="M52" s="29">
        <v>1427</v>
      </c>
      <c r="N52" s="29">
        <v>8.1999999999999993</v>
      </c>
      <c r="O52" s="29">
        <v>138</v>
      </c>
      <c r="P52" s="29">
        <v>49</v>
      </c>
      <c r="Q52" s="29">
        <v>5.03</v>
      </c>
      <c r="R52" s="29">
        <v>134.19999999999999</v>
      </c>
      <c r="S52" s="4">
        <f>stableMED[[#This Row],[NH4-N 
(mg L-1)]]*1.288</f>
        <v>605.01224000000002</v>
      </c>
      <c r="T52" s="6">
        <f>stableMED[[#This Row],[NO2-N 
(mg L-1)]]*3.284</f>
        <v>431.68179999999995</v>
      </c>
      <c r="U52" s="6">
        <f>(stableMED[[#This Row],[NO3-N 
(mg L-1)]])*4.426</f>
        <v>12.1715</v>
      </c>
      <c r="V52" s="6">
        <v>469.73</v>
      </c>
      <c r="W52" s="6">
        <v>131.44999999999999</v>
      </c>
      <c r="X52" s="4">
        <f>IF(stableMED[[#This Row],[TON 
(mg L-1)]]-stableMED[[#This Row],[NO2-N 
(mg L-1)]]&lt;0,0.192,stableMED[[#This Row],[TON 
(mg L-1)]]-stableMED[[#This Row],[NO2-N 
(mg L-1)]])</f>
        <v>2.75</v>
      </c>
      <c r="Y52" s="4">
        <f>SUM(stableMED[[#This Row],[NH4-N 
(mg L-1)]],stableMED[[#This Row],[NO3-N 
(mg L-1)]],stableMED[[#This Row],[NO2-N 
(mg L-1)]])</f>
        <v>603.93000000000006</v>
      </c>
      <c r="Z52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3.1000935664603699E-3</v>
      </c>
      <c r="AA52" s="48">
        <f>IF(IFERROR(stableMED[[#This Row],[NO2-N 
(mg L-1)]]/stableMED[[#This Row],[NH4-N 
(mg L-1)]],0)&lt;0,0,IFERROR(stableMED[[#This Row],[NO2-N 
(mg L-1)]]/stableMED[[#This Row],[NH4-N 
(mg L-1)]],0))</f>
        <v>0.27984161113831346</v>
      </c>
      <c r="AB52" s="48">
        <f>stableMED[[#This Row],[NO2-N 
(mg L-1)]]/(stableMED[[#This Row],[NO3-N 
(mg L-1)]]+stableMED[[#This Row],[NO2-N 
(mg L-1)]])</f>
        <v>0.97950819672131151</v>
      </c>
      <c r="AC52" s="20">
        <f>46/14*stableMED[[#This Row],[NO2-N 
(mg L-1)]]/(EXP(-2300/(stableMED[[#This Row],[Temp. 
(°C)]]+273))*10^(stableMED[[#This Row],[pHreactor]]))</f>
        <v>3.6302174564494159E-2</v>
      </c>
      <c r="AD52" s="6">
        <f>17/14*stableMED[NH4-N 
(mg L-1)]*10^stableMED[[#This Row],[pHreactor]]/(EXP((6344/(273+stableMED[[#This Row],[Temp. 
(°C)]])))+10^stableMED[pHreactor])</f>
        <v>10.624776417060492</v>
      </c>
      <c r="AE52" s="6">
        <f>Influent[[#This Row],[NH4-N (mg L-1)]]*stableMED[[#This Row],[Flow 
(m3 d-1)]]/(Information!$R$48*Information!$R$49)</f>
        <v>0.22305549463115187</v>
      </c>
      <c r="AF52" s="6">
        <f>(Influent[[#This Row],[NH4-N (mg L-1)]]-stableMED[[#This Row],[NH4-N 
(mg L-1)]])*stableMED[[#This Row],[Flow 
(m3 d-1)]]/(Information!$R$48*Information!$R$49)</f>
        <v>0.14583272230428648</v>
      </c>
      <c r="AG52" s="6">
        <f>Influent[[#This Row],[COD (mg L-1)]]*stableMED[[#This Row],[Flow 
(m3 d-1)]]/(Information!$R$48*Information!$R$49)</f>
        <v>0.48168676243313313</v>
      </c>
      <c r="AH52" s="6">
        <f>(Influent[[#This Row],[COD (mg L-1)]]-stableMED[[#This Row],[COD 
(mg L-1)]])*stableMED[[#This Row],[Flow 
(m3 d-1)]]/(Information!$R$48*Information!$R$49)</f>
        <v>0.24330935440308429</v>
      </c>
      <c r="AI52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752.86999999999989</v>
      </c>
      <c r="AJ52" s="6">
        <f>IFERROR(IF(Influent[[#This Row],[COD (mg L-1)]]-stableMED[[#This Row],[COD 
(mg L-1)]]&lt;0,0,Influent[[#This Row],[COD (mg L-1)]]-stableMED[[#This Row],[COD 
(mg L-1)]]),0)</f>
        <v>1480</v>
      </c>
      <c r="AK52" s="6">
        <f>IFERROR(IF(Influent[[#This Row],[Alkalinity (mg CaCO3 L-1) ]]-stableMED[[#This Row],[Alkalinity 
(mg CaCO3 L-1) ]]&lt;0,0,Influent[[#This Row],[Alkalinity (mg CaCO3 L-1) ]]-stableMED[[#This Row],[Alkalinity 
(mg CaCO3 L-1) ]]),0)</f>
        <v>3646</v>
      </c>
      <c r="AL52" s="6">
        <f>Influent[[#This Row],[COD (mg L-1)]]/stableMED[[#This Row],[HRT 
(h)]]*24/1000</f>
        <v>0.19267470497325323</v>
      </c>
      <c r="AM52" s="6">
        <f>IF(((stableMED[[#This Row],[ΔC (mg L-1)]])*24/stableMED[[#This Row],[HRT 
(h)]]/1000) &lt;0,0, (stableMED[[#This Row],[ΔC (mg L-1)]])*24/stableMED[[#This Row],[HRT 
(h)]]/1000)</f>
        <v>9.732374176123372E-2</v>
      </c>
      <c r="AN52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5.8333088921714592E-2</v>
      </c>
      <c r="AO52" s="6">
        <f>Influent[[#This Row],[TN (mg L-1)]]/stableMED[[#This Row],[HRT 
(h)]]*24/1000</f>
        <v>8.92353497094555E-2</v>
      </c>
      <c r="AP52" s="6">
        <f>stableMED[[#This Row],[NRE 
(%)]]*stableMED[[#This Row],[NLR 
(kg N m-3 d-1)]]</f>
        <v>4.9521344735224501E-2</v>
      </c>
      <c r="AQ52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0.65379569575471697</v>
      </c>
      <c r="AR52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0.55495210022107588</v>
      </c>
      <c r="AS52" s="48"/>
      <c r="AT52" s="48"/>
      <c r="AU52" s="48"/>
      <c r="AV52" s="6"/>
      <c r="AW52" s="21"/>
      <c r="AX52" s="21"/>
      <c r="AY52" s="6">
        <f>stableMED[[#This Row],[NH4-N 
(mg L-1)]]-20</f>
        <v>449.73</v>
      </c>
      <c r="AZ52" s="6">
        <f>stableMED[[#This Row],[Ammonia residual to reach target]]*2.9</f>
        <v>1304.2170000000001</v>
      </c>
      <c r="BA52" s="6">
        <f>stableMED[[#This Row],[Alkalinity 
(mg CaCO3 L-1) ]]-stableMED[[#This Row],[Alkalinity need]]-70</f>
        <v>52.782999999999902</v>
      </c>
      <c r="BB52" s="29" t="s">
        <v>551</v>
      </c>
    </row>
    <row r="53" spans="1:54" x14ac:dyDescent="0.3">
      <c r="A53" s="128">
        <v>43376</v>
      </c>
      <c r="B53" s="29">
        <v>50</v>
      </c>
      <c r="C53" s="42"/>
      <c r="D53" s="28"/>
      <c r="E53" s="42"/>
      <c r="F53" s="42"/>
      <c r="G53" s="42"/>
      <c r="H53" s="41"/>
      <c r="I53" s="130">
        <v>1085</v>
      </c>
      <c r="J53" s="41">
        <f>stableMED[[#This Row],[MLSS 
(mg L-1)]]*0.46</f>
        <v>499.1</v>
      </c>
      <c r="S53" s="4"/>
      <c r="T53" s="6"/>
      <c r="U53" s="6"/>
      <c r="V53" s="6"/>
      <c r="W53" s="6"/>
      <c r="X53" s="4"/>
      <c r="Y53" s="4"/>
      <c r="Z53" s="89"/>
      <c r="AA53" s="48"/>
      <c r="AB53" s="48"/>
      <c r="AC53" s="20"/>
      <c r="AD53" s="6"/>
      <c r="AE53" s="6"/>
      <c r="AF53" s="6"/>
      <c r="AG53" s="6"/>
      <c r="AH53" s="6"/>
      <c r="AI53" s="48"/>
      <c r="AJ53" s="6"/>
      <c r="AK53" s="6"/>
      <c r="AL53" s="6"/>
      <c r="AM53" s="6"/>
      <c r="AN53" s="6"/>
      <c r="AO53" s="6"/>
      <c r="AP53" s="6"/>
      <c r="AQ53" s="26"/>
      <c r="AR53" s="26"/>
      <c r="AS53" s="48"/>
      <c r="AT53" s="48"/>
      <c r="AU53" s="48"/>
      <c r="AV53" s="6"/>
      <c r="AW53" s="21"/>
      <c r="AX53" s="21"/>
      <c r="AY53" s="6"/>
      <c r="AZ53" s="6"/>
      <c r="BA53" s="6"/>
    </row>
    <row r="54" spans="1:54" x14ac:dyDescent="0.3">
      <c r="A54" s="128">
        <v>43377</v>
      </c>
      <c r="B54" s="29">
        <v>51</v>
      </c>
      <c r="C54" s="42"/>
      <c r="D54" s="28"/>
      <c r="E54" s="42"/>
      <c r="F54" s="42"/>
      <c r="G54" s="42"/>
      <c r="H54" s="41"/>
      <c r="I54" s="41">
        <f>stableMED[[#This Row],[MLVSS 
(mg L-1)]]/0.29</f>
        <v>841.37931034482767</v>
      </c>
      <c r="J54" s="130">
        <f>122*2</f>
        <v>244</v>
      </c>
      <c r="S54" s="4"/>
      <c r="T54" s="6"/>
      <c r="U54" s="6"/>
      <c r="V54" s="6"/>
      <c r="W54" s="6"/>
      <c r="X54" s="4"/>
      <c r="Y54" s="4"/>
      <c r="Z54" s="89"/>
      <c r="AA54" s="48"/>
      <c r="AB54" s="48"/>
      <c r="AC54" s="20"/>
      <c r="AD54" s="6"/>
      <c r="AE54" s="6"/>
      <c r="AF54" s="6"/>
      <c r="AG54" s="6"/>
      <c r="AH54" s="6"/>
      <c r="AI54" s="48"/>
      <c r="AJ54" s="6"/>
      <c r="AK54" s="6"/>
      <c r="AL54" s="6"/>
      <c r="AM54" s="6"/>
      <c r="AN54" s="6"/>
      <c r="AO54" s="6"/>
      <c r="AP54" s="6"/>
      <c r="AQ54" s="26"/>
      <c r="AR54" s="26"/>
      <c r="AS54" s="48">
        <f>77/30</f>
        <v>2.5666666666666669</v>
      </c>
      <c r="AT54" s="48">
        <v>0.93899999999999995</v>
      </c>
      <c r="AU54" s="48">
        <v>0.27500000000000002</v>
      </c>
      <c r="AV54" s="6">
        <f>stableMED[[#This Row],[SAAcarrier
(g N g VSS-1d-1)]]+stableMED[[#This Row],[SAAsuspension
(g N g VSS-1d-1)]]</f>
        <v>1.214</v>
      </c>
      <c r="AW54" s="21">
        <f>stableMED[[#This Row],[SAAcarrier
(g N g VSS-1d-1)]]/MAX(stableMED[SAAcombined
(g N g VSS-1d-1)])</f>
        <v>0.45849609374999994</v>
      </c>
      <c r="AX54" s="21">
        <f>stableMED[[#This Row],[SAAsuspension
(g N g VSS-1d-1)]]/MAX(stableMED[SAAcombined
(g N g VSS-1d-1)])</f>
        <v>0.13427734375</v>
      </c>
      <c r="AY54" s="6"/>
      <c r="AZ54" s="6"/>
      <c r="BA54" s="6"/>
      <c r="BB54" s="29" t="s">
        <v>552</v>
      </c>
    </row>
    <row r="55" spans="1:54" x14ac:dyDescent="0.3">
      <c r="A55" s="128">
        <v>43378</v>
      </c>
      <c r="B55" s="29">
        <v>52</v>
      </c>
      <c r="C55" s="42">
        <v>10.94869402976799</v>
      </c>
      <c r="D55" s="28">
        <f>stableMED[[#This Row],[Flow 
(L h-1)]]/1000*24</f>
        <v>0.26276865671443178</v>
      </c>
      <c r="E55" s="42">
        <f>IF(IFERROR(Information!$R$47/stableMED[[#This Row],[Flow 
(m3 d-1)]]*24,0)&lt;0,0,IFERROR(Information!$R$47/stableMED[[#This Row],[Flow 
(m3 d-1)]]*24,0))</f>
        <v>109.60211297688704</v>
      </c>
      <c r="F55" s="42">
        <v>6.7863970494692376</v>
      </c>
      <c r="G55" s="42">
        <v>0.54771607038679737</v>
      </c>
      <c r="H55" s="41">
        <v>30.842287856065248</v>
      </c>
      <c r="I55" s="130"/>
      <c r="J55" s="130"/>
      <c r="K55" s="29">
        <v>820</v>
      </c>
      <c r="L55" s="29">
        <f>stableMED[[#This Row],[COD 
(mg L-1)]]*Information!$AK$42</f>
        <v>582.19999999999993</v>
      </c>
      <c r="M55" s="29">
        <v>556</v>
      </c>
      <c r="N55" s="29">
        <v>7.9</v>
      </c>
      <c r="O55" s="29">
        <v>160</v>
      </c>
      <c r="Q55" s="29">
        <v>2.0099999999999998</v>
      </c>
      <c r="R55" s="29">
        <v>64</v>
      </c>
      <c r="S55" s="4">
        <f>stableMED[[#This Row],[NH4-N 
(mg L-1)]]*1.288</f>
        <v>189.31023999999999</v>
      </c>
      <c r="T55" s="6">
        <f>stableMED[[#This Row],[NO2-N 
(mg L-1)]]*3.284</f>
        <v>159.90781199999998</v>
      </c>
      <c r="U55" s="6">
        <f>(stableMED[[#This Row],[NO3-N 
(mg L-1)]])*4.426</f>
        <v>67.748782000000006</v>
      </c>
      <c r="V55" s="6">
        <v>146.97999999999999</v>
      </c>
      <c r="W55" s="6">
        <v>48.692999999999998</v>
      </c>
      <c r="X55" s="4">
        <f>IF(stableMED[[#This Row],[TON 
(mg L-1)]]-stableMED[[#This Row],[NO2-N 
(mg L-1)]]&lt;0,0.192,stableMED[[#This Row],[TON 
(mg L-1)]]-stableMED[[#This Row],[NO2-N 
(mg L-1)]])</f>
        <v>15.307000000000002</v>
      </c>
      <c r="Y55" s="4">
        <f>SUM(stableMED[[#This Row],[NH4-N 
(mg L-1)]],stableMED[[#This Row],[NO3-N 
(mg L-1)]],stableMED[[#This Row],[NO2-N 
(mg L-1)]])</f>
        <v>210.97999999999996</v>
      </c>
      <c r="Z55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1.7567598586053348E-2</v>
      </c>
      <c r="AA55" s="48">
        <f>IF(IFERROR(stableMED[[#This Row],[NO2-N 
(mg L-1)]]/stableMED[[#This Row],[NH4-N 
(mg L-1)]],0)&lt;0,0,IFERROR(stableMED[[#This Row],[NO2-N 
(mg L-1)]]/stableMED[[#This Row],[NH4-N 
(mg L-1)]],0))</f>
        <v>0.33128997142468364</v>
      </c>
      <c r="AB55" s="48">
        <f>stableMED[[#This Row],[NO2-N 
(mg L-1)]]/(stableMED[[#This Row],[NO3-N 
(mg L-1)]]+stableMED[[#This Row],[NO2-N 
(mg L-1)]])</f>
        <v>0.76082812499999997</v>
      </c>
      <c r="AC55" s="20">
        <f>46/14*stableMED[[#This Row],[NO2-N 
(mg L-1)]]/(EXP(-2300/(stableMED[[#This Row],[Temp. 
(°C)]]+273))*10^(stableMED[[#This Row],[pHreactor]]))</f>
        <v>5.0720720412374631E-2</v>
      </c>
      <c r="AD55" s="6">
        <f>17/14*stableMED[NH4-N 
(mg L-1)]*10^stableMED[[#This Row],[pHreactor]]/(EXP((6344/(273+stableMED[[#This Row],[Temp. 
(°C)]])))+10^stableMED[pHreactor])</f>
        <v>0.92889278052650381</v>
      </c>
      <c r="AE55" s="6">
        <f>Influent[[#This Row],[NH4-N (mg L-1)]]*stableMED[[#This Row],[Flow 
(m3 d-1)]]/(Information!$R$48*Information!$R$49)</f>
        <v>0.55745275652563719</v>
      </c>
      <c r="AF55" s="6">
        <f>(Influent[[#This Row],[NH4-N (mg L-1)]]-stableMED[[#This Row],[NH4-N 
(mg L-1)]])*stableMED[[#This Row],[Flow 
(m3 d-1)]]/(Information!$R$48*Information!$R$49)</f>
        <v>0.47699080410087225</v>
      </c>
      <c r="AG55" s="6">
        <f>Influent[[#This Row],[COD (mg L-1)]]*stableMED[[#This Row],[Flow 
(m3 d-1)]]/(Information!$R$48*Information!$R$49)</f>
        <v>0.9935939832014451</v>
      </c>
      <c r="AH55" s="6">
        <f>(Influent[[#This Row],[COD (mg L-1)]]-stableMED[[#This Row],[COD 
(mg L-1)]])*stableMED[[#This Row],[Flow 
(m3 d-1)]]/(Information!$R$48*Information!$R$49)</f>
        <v>0.54469752798095761</v>
      </c>
      <c r="AI55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807.31999999999994</v>
      </c>
      <c r="AJ55" s="6">
        <f>IFERROR(IF(Influent[[#This Row],[COD (mg L-1)]]-stableMED[[#This Row],[COD 
(mg L-1)]]&lt;0,0,Influent[[#This Row],[COD (mg L-1)]]-stableMED[[#This Row],[COD 
(mg L-1)]]),0)</f>
        <v>995</v>
      </c>
      <c r="AK55" s="6">
        <f>IFERROR(IF(Influent[[#This Row],[Alkalinity (mg CaCO3 L-1) ]]-stableMED[[#This Row],[Alkalinity 
(mg CaCO3 L-1) ]]&lt;0,0,Influent[[#This Row],[Alkalinity (mg CaCO3 L-1) ]]-stableMED[[#This Row],[Alkalinity 
(mg CaCO3 L-1) ]]),0)</f>
        <v>3351</v>
      </c>
      <c r="AL55" s="6">
        <f>Influent[[#This Row],[COD (mg L-1)]]/stableMED[[#This Row],[HRT 
(h)]]*24/1000</f>
        <v>0.39743759328057804</v>
      </c>
      <c r="AM55" s="6">
        <f>IF(((stableMED[[#This Row],[ΔC (mg L-1)]])*24/stableMED[[#This Row],[HRT 
(h)]]/1000) &lt;0,0, (stableMED[[#This Row],[ΔC (mg L-1)]])*24/stableMED[[#This Row],[HRT 
(h)]]/1000)</f>
        <v>0.21787901119238301</v>
      </c>
      <c r="AN55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0.19079632164034888</v>
      </c>
      <c r="AO55" s="6">
        <f>Influent[[#This Row],[TN (mg L-1)]]/stableMED[[#This Row],[HRT 
(h)]]*24/1000</f>
        <v>0.22498471361770248</v>
      </c>
      <c r="AP55" s="6">
        <f>stableMED[[#This Row],[NRE 
(%)]]*stableMED[[#This Row],[NLR 
(kg N m-3 d-1)]]</f>
        <v>0.17878560428969345</v>
      </c>
      <c r="AQ55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0.85566139644505546</v>
      </c>
      <c r="AR55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0.79465667429071973</v>
      </c>
      <c r="AS55" s="48"/>
      <c r="AT55" s="48"/>
      <c r="AU55" s="48"/>
      <c r="AV55" s="6"/>
      <c r="AW55" s="21"/>
      <c r="AX55" s="21"/>
      <c r="AY55" s="6">
        <f>stableMED[[#This Row],[NH4-N 
(mg L-1)]]-20</f>
        <v>126.97999999999999</v>
      </c>
      <c r="AZ55" s="6">
        <f>stableMED[[#This Row],[Ammonia residual to reach target]]*2.9</f>
        <v>368.24199999999996</v>
      </c>
      <c r="BA55" s="6">
        <f>stableMED[[#This Row],[Alkalinity 
(mg CaCO3 L-1) ]]-stableMED[[#This Row],[Alkalinity need]]-70</f>
        <v>117.75800000000004</v>
      </c>
    </row>
    <row r="56" spans="1:54" x14ac:dyDescent="0.3">
      <c r="A56" s="128">
        <v>43379</v>
      </c>
      <c r="B56" s="29">
        <v>53</v>
      </c>
      <c r="C56" s="42">
        <v>12.712393700600664</v>
      </c>
      <c r="D56" s="28">
        <f>stableMED[[#This Row],[Flow 
(L h-1)]]/1000*24</f>
        <v>0.30509744881441597</v>
      </c>
      <c r="E56" s="42">
        <f>IF(IFERROR(Information!$R$47/stableMED[[#This Row],[Flow 
(m3 d-1)]]*24,0)&lt;0,0,IFERROR(Information!$R$47/stableMED[[#This Row],[Flow 
(m3 d-1)]]*24,0))</f>
        <v>94.396069557167621</v>
      </c>
      <c r="F56" s="42">
        <v>6.8037625062552562</v>
      </c>
      <c r="G56" s="42">
        <v>0.62387669181107896</v>
      </c>
      <c r="H56" s="41">
        <v>30.837813503499746</v>
      </c>
      <c r="I56" s="130"/>
      <c r="J56" s="130"/>
      <c r="K56" s="29">
        <v>900</v>
      </c>
      <c r="L56" s="29">
        <f>stableMED[[#This Row],[COD 
(mg L-1)]]*Information!$AK$42</f>
        <v>639</v>
      </c>
      <c r="M56" s="29">
        <v>686</v>
      </c>
      <c r="N56" s="29">
        <v>8.1</v>
      </c>
      <c r="O56" s="29">
        <v>120</v>
      </c>
      <c r="Q56" s="29">
        <v>2.87</v>
      </c>
      <c r="R56" s="29">
        <v>63.4</v>
      </c>
      <c r="S56" s="4">
        <f>stableMED[[#This Row],[NH4-N 
(mg L-1)]]*1.288</f>
        <v>236.63136</v>
      </c>
      <c r="T56" s="6">
        <f>stableMED[[#This Row],[NO2-N 
(mg L-1)]]*3.284</f>
        <v>149.91788400000002</v>
      </c>
      <c r="U56" s="6">
        <f>(stableMED[[#This Row],[NO3-N 
(mg L-1)]])*4.426</f>
        <v>78.557073999999986</v>
      </c>
      <c r="V56" s="6">
        <v>183.72</v>
      </c>
      <c r="W56" s="6">
        <v>45.651000000000003</v>
      </c>
      <c r="X56" s="4">
        <f>IF(stableMED[[#This Row],[TON 
(mg L-1)]]-stableMED[[#This Row],[NO2-N 
(mg L-1)]]&lt;0,0.192,stableMED[[#This Row],[TON 
(mg L-1)]]-stableMED[[#This Row],[NO2-N 
(mg L-1)]])</f>
        <v>17.748999999999995</v>
      </c>
      <c r="Y56" s="4">
        <f>SUM(stableMED[[#This Row],[NH4-N 
(mg L-1)]],stableMED[[#This Row],[NO3-N 
(mg L-1)]],stableMED[[#This Row],[NO2-N 
(mg L-1)]])</f>
        <v>247.12</v>
      </c>
      <c r="Z56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1.7438935722847763E-2</v>
      </c>
      <c r="AA56" s="48">
        <f>IF(IFERROR(stableMED[[#This Row],[NO2-N 
(mg L-1)]]/stableMED[[#This Row],[NH4-N 
(mg L-1)]],0)&lt;0,0,IFERROR(stableMED[[#This Row],[NO2-N 
(mg L-1)]]/stableMED[[#This Row],[NH4-N 
(mg L-1)]],0))</f>
        <v>0.248481384715872</v>
      </c>
      <c r="AB56" s="48">
        <f>stableMED[[#This Row],[NO2-N 
(mg L-1)]]/(stableMED[[#This Row],[NO3-N 
(mg L-1)]]+stableMED[[#This Row],[NO2-N 
(mg L-1)]])</f>
        <v>0.72004731861198745</v>
      </c>
      <c r="AC56" s="20">
        <f>46/14*stableMED[[#This Row],[NO2-N 
(mg L-1)]]/(EXP(-2300/(stableMED[[#This Row],[Temp. 
(°C)]]+273))*10^(stableMED[[#This Row],[pHreactor]]))</f>
        <v>4.5693258673064931E-2</v>
      </c>
      <c r="AD56" s="6">
        <f>17/14*stableMED[NH4-N 
(mg L-1)]*10^stableMED[[#This Row],[pHreactor]]/(EXP((6344/(273+stableMED[[#This Row],[Temp. 
(°C)]])))+10^stableMED[pHreactor])</f>
        <v>1.207825590298182</v>
      </c>
      <c r="AE56" s="6">
        <f>Influent[[#This Row],[NH4-N (mg L-1)]]*stableMED[[#This Row],[Flow 
(m3 d-1)]]/(Information!$R$48*Information!$R$49)</f>
        <v>0.76369705156358492</v>
      </c>
      <c r="AF56" s="6">
        <f>(Influent[[#This Row],[NH4-N (mg L-1)]]-stableMED[[#This Row],[NH4-N 
(mg L-1)]])*stableMED[[#This Row],[Flow 
(m3 d-1)]]/(Information!$R$48*Information!$R$49)</f>
        <v>0.64692100302986721</v>
      </c>
      <c r="AG56" s="6">
        <f>Influent[[#This Row],[COD (mg L-1)]]*stableMED[[#This Row],[Flow 
(m3 d-1)]]/(Information!$R$48*Information!$R$49)</f>
        <v>1.414253799191824</v>
      </c>
      <c r="AH56" s="6">
        <f>(Influent[[#This Row],[COD (mg L-1)]]-stableMED[[#This Row],[COD 
(mg L-1)]])*stableMED[[#This Row],[Flow 
(m3 d-1)]]/(Information!$R$48*Information!$R$49)</f>
        <v>0.84219608266479407</v>
      </c>
      <c r="AI56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954.38</v>
      </c>
      <c r="AJ56" s="6">
        <f>IFERROR(IF(Influent[[#This Row],[COD (mg L-1)]]-stableMED[[#This Row],[COD 
(mg L-1)]]&lt;0,0,Influent[[#This Row],[COD (mg L-1)]]-stableMED[[#This Row],[COD 
(mg L-1)]]),0)</f>
        <v>1325</v>
      </c>
      <c r="AK56" s="6">
        <f>IFERROR(IF(Influent[[#This Row],[Alkalinity (mg CaCO3 L-1) ]]-stableMED[[#This Row],[Alkalinity 
(mg CaCO3 L-1) ]]&lt;0,0,Influent[[#This Row],[Alkalinity (mg CaCO3 L-1) ]]-stableMED[[#This Row],[Alkalinity 
(mg CaCO3 L-1) ]]),0)</f>
        <v>3870</v>
      </c>
      <c r="AL56" s="6">
        <f>Influent[[#This Row],[COD (mg L-1)]]/stableMED[[#This Row],[HRT 
(h)]]*24/1000</f>
        <v>0.56570151967672966</v>
      </c>
      <c r="AM56" s="6">
        <f>IF(((stableMED[[#This Row],[ΔC (mg L-1)]])*24/stableMED[[#This Row],[HRT 
(h)]]/1000) &lt;0,0, (stableMED[[#This Row],[ΔC (mg L-1)]])*24/stableMED[[#This Row],[HRT 
(h)]]/1000)</f>
        <v>0.33687843306591764</v>
      </c>
      <c r="AN56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0.25876840121194694</v>
      </c>
      <c r="AO56" s="6">
        <f>Influent[[#This Row],[TN (mg L-1)]]/stableMED[[#This Row],[HRT 
(h)]]*24/1000</f>
        <v>0.30552967020023641</v>
      </c>
      <c r="AP56" s="6">
        <f>stableMED[[#This Row],[NRE 
(%)]]*stableMED[[#This Row],[NLR 
(kg N m-3 d-1)]]</f>
        <v>0.24269993557438768</v>
      </c>
      <c r="AQ56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0.84709113607990005</v>
      </c>
      <c r="AR56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0.79435799284347175</v>
      </c>
      <c r="AS56" s="48"/>
      <c r="AT56" s="48"/>
      <c r="AU56" s="48"/>
      <c r="AV56" s="6"/>
      <c r="AW56" s="21"/>
      <c r="AX56" s="21"/>
      <c r="AY56" s="6">
        <f>stableMED[[#This Row],[NH4-N 
(mg L-1)]]-20</f>
        <v>163.72</v>
      </c>
      <c r="AZ56" s="6">
        <f>stableMED[[#This Row],[Ammonia residual to reach target]]*2.9</f>
        <v>474.78799999999995</v>
      </c>
      <c r="BA56" s="6">
        <f>stableMED[[#This Row],[Alkalinity 
(mg CaCO3 L-1) ]]-stableMED[[#This Row],[Alkalinity need]]-70</f>
        <v>141.21200000000005</v>
      </c>
    </row>
    <row r="57" spans="1:54" x14ac:dyDescent="0.3">
      <c r="A57" s="128">
        <v>43380</v>
      </c>
      <c r="B57" s="29">
        <v>54</v>
      </c>
      <c r="C57" s="42">
        <v>12.682185004958258</v>
      </c>
      <c r="D57" s="28">
        <f>stableMED[[#This Row],[Flow 
(L h-1)]]/1000*24</f>
        <v>0.30437244011899822</v>
      </c>
      <c r="E57" s="42">
        <f>IF(IFERROR(Information!$R$47/stableMED[[#This Row],[Flow 
(m3 d-1)]]*24,0)&lt;0,0,IFERROR(Information!$R$47/stableMED[[#This Row],[Flow 
(m3 d-1)]]*24,0))</f>
        <v>94.620918992338062</v>
      </c>
      <c r="F57" s="42">
        <v>6.8947369781727179</v>
      </c>
      <c r="G57" s="42">
        <v>0.73639751744742032</v>
      </c>
      <c r="H57" s="41">
        <v>30.813896008391879</v>
      </c>
      <c r="I57" s="130"/>
      <c r="J57" s="130"/>
      <c r="K57" s="29">
        <v>872</v>
      </c>
      <c r="L57" s="29">
        <f>stableMED[[#This Row],[COD 
(mg L-1)]]*Information!$AK$42</f>
        <v>619.12</v>
      </c>
      <c r="M57" s="29">
        <v>732</v>
      </c>
      <c r="N57" s="29">
        <v>8.1</v>
      </c>
      <c r="O57" s="29">
        <v>120</v>
      </c>
      <c r="Q57" s="29">
        <v>3.68</v>
      </c>
      <c r="R57" s="29">
        <v>77.8</v>
      </c>
      <c r="S57" s="4">
        <f>stableMED[[#This Row],[NH4-N 
(mg L-1)]]*1.288</f>
        <v>286.12920000000003</v>
      </c>
      <c r="T57" s="6">
        <f>stableMED[[#This Row],[NO2-N 
(mg L-1)]]*3.284</f>
        <v>238.26405199999996</v>
      </c>
      <c r="U57" s="6">
        <f>(stableMED[[#This Row],[NO3-N 
(mg L-1)]])*4.426</f>
        <v>23.223222</v>
      </c>
      <c r="V57" s="6">
        <v>222.15</v>
      </c>
      <c r="W57" s="6">
        <v>72.552999999999997</v>
      </c>
      <c r="X57" s="4">
        <f>IF(stableMED[[#This Row],[TON 
(mg L-1)]]-stableMED[[#This Row],[NO2-N 
(mg L-1)]]&lt;0,0.192,stableMED[[#This Row],[TON 
(mg L-1)]]-stableMED[[#This Row],[NO2-N 
(mg L-1)]])</f>
        <v>5.2469999999999999</v>
      </c>
      <c r="Y57" s="4">
        <f>SUM(stableMED[[#This Row],[NH4-N 
(mg L-1)]],stableMED[[#This Row],[NO3-N 
(mg L-1)]],stableMED[[#This Row],[NO2-N 
(mg L-1)]])</f>
        <v>299.95</v>
      </c>
      <c r="Z57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4.9732240178190605E-3</v>
      </c>
      <c r="AA57" s="48">
        <f>IF(IFERROR(stableMED[[#This Row],[NO2-N 
(mg L-1)]]/stableMED[[#This Row],[NH4-N 
(mg L-1)]],0)&lt;0,0,IFERROR(stableMED[[#This Row],[NO2-N 
(mg L-1)]]/stableMED[[#This Row],[NH4-N 
(mg L-1)]],0))</f>
        <v>0.32659464325905918</v>
      </c>
      <c r="AB57" s="48">
        <f>stableMED[[#This Row],[NO2-N 
(mg L-1)]]/(stableMED[[#This Row],[NO3-N 
(mg L-1)]]+stableMED[[#This Row],[NO2-N 
(mg L-1)]])</f>
        <v>0.93255784061696656</v>
      </c>
      <c r="AC57" s="20">
        <f>46/14*stableMED[[#This Row],[NO2-N 
(mg L-1)]]/(EXP(-2300/(stableMED[[#This Row],[Temp. 
(°C)]]+273))*10^(stableMED[[#This Row],[pHreactor]]))</f>
        <v>5.8930692886146947E-2</v>
      </c>
      <c r="AD57" s="6">
        <f>17/14*stableMED[NH4-N 
(mg L-1)]*10^stableMED[[#This Row],[pHreactor]]/(EXP((6344/(273+stableMED[[#This Row],[Temp. 
(°C)]])))+10^stableMED[pHreactor])</f>
        <v>1.795609467188543</v>
      </c>
      <c r="AE57" s="6">
        <f>Influent[[#This Row],[NH4-N (mg L-1)]]*stableMED[[#This Row],[Flow 
(m3 d-1)]]/(Information!$R$48*Information!$R$49)</f>
        <v>0.80988433441663454</v>
      </c>
      <c r="AF57" s="6">
        <f>(Influent[[#This Row],[NH4-N (mg L-1)]]-stableMED[[#This Row],[NH4-N 
(mg L-1)]])*stableMED[[#This Row],[Flow 
(m3 d-1)]]/(Information!$R$48*Information!$R$49)</f>
        <v>0.66901696447406056</v>
      </c>
      <c r="AG57" s="6">
        <f>Influent[[#This Row],[COD (mg L-1)]]*stableMED[[#This Row],[Flow 
(m3 d-1)]]/(Information!$R$48*Information!$R$49)</f>
        <v>1.4172341743040855</v>
      </c>
      <c r="AH57" s="6">
        <f>(Influent[[#This Row],[COD (mg L-1)]]-stableMED[[#This Row],[COD 
(mg L-1)]])*stableMED[[#This Row],[Flow 
(m3 d-1)]]/(Information!$R$48*Information!$R$49)</f>
        <v>0.86429090808790543</v>
      </c>
      <c r="AI57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977.25</v>
      </c>
      <c r="AJ57" s="6">
        <f>IFERROR(IF(Influent[[#This Row],[COD (mg L-1)]]-stableMED[[#This Row],[COD 
(mg L-1)]]&lt;0,0,Influent[[#This Row],[COD (mg L-1)]]-stableMED[[#This Row],[COD 
(mg L-1)]]),0)</f>
        <v>1363</v>
      </c>
      <c r="AK57" s="6">
        <f>IFERROR(IF(Influent[[#This Row],[Alkalinity (mg CaCO3 L-1) ]]-stableMED[[#This Row],[Alkalinity 
(mg CaCO3 L-1) ]]&lt;0,0,Influent[[#This Row],[Alkalinity (mg CaCO3 L-1) ]]-stableMED[[#This Row],[Alkalinity 
(mg CaCO3 L-1) ]]),0)</f>
        <v>3898</v>
      </c>
      <c r="AL57" s="6">
        <f>Influent[[#This Row],[COD (mg L-1)]]/stableMED[[#This Row],[HRT 
(h)]]*24/1000</f>
        <v>0.56689366972163413</v>
      </c>
      <c r="AM57" s="6">
        <f>IF(((stableMED[[#This Row],[ΔC (mg L-1)]])*24/stableMED[[#This Row],[HRT 
(h)]]/1000) &lt;0,0, (stableMED[[#This Row],[ΔC (mg L-1)]])*24/stableMED[[#This Row],[HRT 
(h)]]/1000)</f>
        <v>0.34571636323516219</v>
      </c>
      <c r="AN57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0.26760678578962421</v>
      </c>
      <c r="AO57" s="6">
        <f>Influent[[#This Row],[TN (mg L-1)]]/stableMED[[#This Row],[HRT 
(h)]]*24/1000</f>
        <v>0.32433419931680252</v>
      </c>
      <c r="AP57" s="6">
        <f>stableMED[[#This Row],[NRE 
(%)]]*stableMED[[#This Row],[NLR 
(kg N m-3 d-1)]]</f>
        <v>0.24825377147205793</v>
      </c>
      <c r="AQ57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0.82606482931412462</v>
      </c>
      <c r="AR57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0.76542582310158758</v>
      </c>
      <c r="AS57" s="48"/>
      <c r="AT57" s="48"/>
      <c r="AU57" s="48"/>
      <c r="AV57" s="6"/>
      <c r="AW57" s="21"/>
      <c r="AX57" s="21"/>
      <c r="AY57" s="6">
        <f>stableMED[[#This Row],[NH4-N 
(mg L-1)]]-20</f>
        <v>202.15</v>
      </c>
      <c r="AZ57" s="6">
        <f>stableMED[[#This Row],[Ammonia residual to reach target]]*2.9</f>
        <v>586.23500000000001</v>
      </c>
      <c r="BA57" s="6">
        <f>stableMED[[#This Row],[Alkalinity 
(mg CaCO3 L-1) ]]-stableMED[[#This Row],[Alkalinity need]]-70</f>
        <v>75.764999999999986</v>
      </c>
    </row>
    <row r="58" spans="1:54" x14ac:dyDescent="0.3">
      <c r="A58" s="128">
        <v>43381</v>
      </c>
      <c r="B58" s="29">
        <v>55</v>
      </c>
      <c r="C58" s="42">
        <v>18.906542865487694</v>
      </c>
      <c r="D58" s="28">
        <f>stableMED[[#This Row],[Flow 
(L h-1)]]/1000*24</f>
        <v>0.45375702877170465</v>
      </c>
      <c r="E58" s="42">
        <f>IF(IFERROR(Information!$R$47/stableMED[[#This Row],[Flow 
(m3 d-1)]]*24,0)&lt;0,0,IFERROR(Information!$R$47/stableMED[[#This Row],[Flow 
(m3 d-1)]]*24,0))</f>
        <v>63.470091202686206</v>
      </c>
      <c r="F58" s="42">
        <v>7.0157302639956942</v>
      </c>
      <c r="G58" s="42">
        <v>0.8440385284791263</v>
      </c>
      <c r="H58" s="41">
        <v>30.81632573420039</v>
      </c>
      <c r="I58" s="130">
        <v>1340</v>
      </c>
      <c r="J58" s="130">
        <v>680</v>
      </c>
      <c r="K58" s="29">
        <v>1175</v>
      </c>
      <c r="L58" s="29">
        <f>stableMED[[#This Row],[COD 
(mg L-1)]]*Information!$AK$42</f>
        <v>834.25</v>
      </c>
      <c r="M58" s="29">
        <v>943</v>
      </c>
      <c r="N58" s="29">
        <v>8.1</v>
      </c>
      <c r="O58" s="29">
        <v>140</v>
      </c>
      <c r="Q58" s="29">
        <v>5.14</v>
      </c>
      <c r="R58" s="29">
        <v>109.7</v>
      </c>
      <c r="S58" s="4">
        <f>stableMED[[#This Row],[NH4-N 
(mg L-1)]]*1.288</f>
        <v>369.17944</v>
      </c>
      <c r="T58" s="6">
        <f>stableMED[[#This Row],[NO2-N 
(mg L-1)]]*3.284</f>
        <v>226.48105999999999</v>
      </c>
      <c r="U58" s="6">
        <f>(stableMED[[#This Row],[NO3-N 
(mg L-1)]])*4.426</f>
        <v>180.29311000000001</v>
      </c>
      <c r="V58" s="6">
        <v>286.63</v>
      </c>
      <c r="W58" s="6">
        <v>68.965000000000003</v>
      </c>
      <c r="X58" s="4">
        <f>IF(stableMED[[#This Row],[TON 
(mg L-1)]]-stableMED[[#This Row],[NO2-N 
(mg L-1)]]&lt;0,0.192,stableMED[[#This Row],[TON 
(mg L-1)]]-stableMED[[#This Row],[NO2-N 
(mg L-1)]])</f>
        <v>40.734999999999999</v>
      </c>
      <c r="Y58" s="4">
        <f>SUM(stableMED[[#This Row],[NH4-N 
(mg L-1)]],stableMED[[#This Row],[NO3-N 
(mg L-1)]],stableMED[[#This Row],[NO2-N 
(mg L-1)]])</f>
        <v>396.33000000000004</v>
      </c>
      <c r="Z58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4.1402827609338631E-2</v>
      </c>
      <c r="AA58" s="48">
        <f>IF(IFERROR(stableMED[[#This Row],[NO2-N 
(mg L-1)]]/stableMED[[#This Row],[NH4-N 
(mg L-1)]],0)&lt;0,0,IFERROR(stableMED[[#This Row],[NO2-N 
(mg L-1)]]/stableMED[[#This Row],[NH4-N 
(mg L-1)]],0))</f>
        <v>0.24060635662701044</v>
      </c>
      <c r="AB58" s="48">
        <f>stableMED[[#This Row],[NO2-N 
(mg L-1)]]/(stableMED[[#This Row],[NO3-N 
(mg L-1)]]+stableMED[[#This Row],[NO2-N 
(mg L-1)]])</f>
        <v>0.62866909753874201</v>
      </c>
      <c r="AC58" s="20">
        <f>46/14*stableMED[[#This Row],[NO2-N 
(mg L-1)]]/(EXP(-2300/(stableMED[[#This Row],[Temp. 
(°C)]]+273))*10^(stableMED[[#This Row],[pHreactor]]))</f>
        <v>4.2393115433252471E-2</v>
      </c>
      <c r="AD58" s="6">
        <f>17/14*stableMED[NH4-N 
(mg L-1)]*10^stableMED[[#This Row],[pHreactor]]/(EXP((6344/(273+stableMED[[#This Row],[Temp. 
(°C)]])))+10^stableMED[pHreactor])</f>
        <v>3.0550942478617671</v>
      </c>
      <c r="AE58" s="6">
        <f>Influent[[#This Row],[NH4-N (mg L-1)]]*stableMED[[#This Row],[Flow 
(m3 d-1)]]/(Information!$R$48*Information!$R$49)</f>
        <v>1.2010381355301056</v>
      </c>
      <c r="AF58" s="6">
        <f>(Influent[[#This Row],[NH4-N (mg L-1)]]-stableMED[[#This Row],[NH4-N 
(mg L-1)]])*stableMED[[#This Row],[Flow 
(m3 d-1)]]/(Information!$R$48*Information!$R$49)</f>
        <v>0.93007901645336888</v>
      </c>
      <c r="AG58" s="6">
        <f>Influent[[#This Row],[COD (mg L-1)]]*stableMED[[#This Row],[Flow 
(m3 d-1)]]/(Information!$R$48*Information!$R$49)</f>
        <v>2.2829650510076389</v>
      </c>
      <c r="AH58" s="6">
        <f>(Influent[[#This Row],[COD (mg L-1)]]-stableMED[[#This Row],[COD 
(mg L-1)]])*stableMED[[#This Row],[Flow 
(m3 d-1)]]/(Information!$R$48*Information!$R$49)</f>
        <v>1.1722056576602369</v>
      </c>
      <c r="AI58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874.17</v>
      </c>
      <c r="AJ58" s="6">
        <f>IFERROR(IF(Influent[[#This Row],[COD (mg L-1)]]-stableMED[[#This Row],[COD 
(mg L-1)]]&lt;0,0,Influent[[#This Row],[COD (mg L-1)]]-stableMED[[#This Row],[COD 
(mg L-1)]]),0)</f>
        <v>1240</v>
      </c>
      <c r="AK58" s="6">
        <f>IFERROR(IF(Influent[[#This Row],[Alkalinity (mg CaCO3 L-1) ]]-stableMED[[#This Row],[Alkalinity 
(mg CaCO3 L-1) ]]&lt;0,0,Influent[[#This Row],[Alkalinity (mg CaCO3 L-1) ]]-stableMED[[#This Row],[Alkalinity 
(mg CaCO3 L-1) ]]),0)</f>
        <v>3655</v>
      </c>
      <c r="AL58" s="6">
        <f>Influent[[#This Row],[COD (mg L-1)]]/stableMED[[#This Row],[HRT 
(h)]]*24/1000</f>
        <v>0.91318602040305552</v>
      </c>
      <c r="AM58" s="6">
        <f>IF(((stableMED[[#This Row],[ΔC (mg L-1)]])*24/stableMED[[#This Row],[HRT 
(h)]]/1000) &lt;0,0, (stableMED[[#This Row],[ΔC (mg L-1)]])*24/stableMED[[#This Row],[HRT 
(h)]]/1000)</f>
        <v>0.46888226306409481</v>
      </c>
      <c r="AN58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0.37203160658134748</v>
      </c>
      <c r="AO58" s="6">
        <f>Influent[[#This Row],[TN (mg L-1)]]/stableMED[[#This Row],[HRT 
(h)]]*24/1000</f>
        <v>0.48691721430348345</v>
      </c>
      <c r="AP58" s="6">
        <f>stableMED[[#This Row],[NRE 
(%)]]*stableMED[[#This Row],[NLR 
(kg N m-3 d-1)]]</f>
        <v>0.33705261162590872</v>
      </c>
      <c r="AQ58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0.77439590712317985</v>
      </c>
      <c r="AR58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0.69221748938995642</v>
      </c>
      <c r="AS58" s="48"/>
      <c r="AT58" s="48"/>
      <c r="AU58" s="48"/>
      <c r="AV58" s="6"/>
      <c r="AW58" s="21"/>
      <c r="AX58" s="21"/>
      <c r="AY58" s="6">
        <f>stableMED[[#This Row],[NH4-N 
(mg L-1)]]-20</f>
        <v>266.63</v>
      </c>
      <c r="AZ58" s="6">
        <f>stableMED[[#This Row],[Ammonia residual to reach target]]*2.9</f>
        <v>773.22699999999998</v>
      </c>
      <c r="BA58" s="6">
        <f>stableMED[[#This Row],[Alkalinity 
(mg CaCO3 L-1) ]]-stableMED[[#This Row],[Alkalinity need]]-70</f>
        <v>99.773000000000025</v>
      </c>
    </row>
    <row r="59" spans="1:54" x14ac:dyDescent="0.3">
      <c r="A59" s="128">
        <v>43382</v>
      </c>
      <c r="B59" s="29">
        <v>56</v>
      </c>
      <c r="C59" s="42">
        <v>20.723707048481678</v>
      </c>
      <c r="D59" s="28">
        <f>stableMED[[#This Row],[Flow 
(L h-1)]]/1000*24</f>
        <v>0.49736896916356027</v>
      </c>
      <c r="E59" s="42">
        <f>IF(IFERROR(Information!$R$47/stableMED[[#This Row],[Flow 
(m3 d-1)]]*24,0)&lt;0,0,IFERROR(Information!$R$47/stableMED[[#This Row],[Flow 
(m3 d-1)]]*24,0))</f>
        <v>57.904698092512263</v>
      </c>
      <c r="F59" s="42">
        <v>7.2471351199827021</v>
      </c>
      <c r="G59" s="42">
        <v>0.7946541999123734</v>
      </c>
      <c r="H59" s="41">
        <v>30.870194814801838</v>
      </c>
      <c r="I59" s="130"/>
      <c r="J59" s="130"/>
      <c r="K59" s="29">
        <v>1450</v>
      </c>
      <c r="L59" s="29">
        <f>stableMED[[#This Row],[COD 
(mg L-1)]]*Information!$AK$42</f>
        <v>1029.5</v>
      </c>
      <c r="M59" s="29">
        <v>1972</v>
      </c>
      <c r="N59" s="29">
        <v>8.4</v>
      </c>
      <c r="O59" s="29">
        <v>72</v>
      </c>
      <c r="Q59" s="29">
        <v>7.99</v>
      </c>
      <c r="R59" s="29">
        <v>59.6</v>
      </c>
      <c r="S59" s="4">
        <f>stableMED[[#This Row],[NH4-N 
(mg L-1)]]*1.288</f>
        <v>726.45776000000001</v>
      </c>
      <c r="T59" s="6">
        <f>stableMED[[#This Row],[NO2-N 
(mg L-1)]]*3.284</f>
        <v>118.83810799999999</v>
      </c>
      <c r="U59" s="6">
        <f>(stableMED[[#This Row],[NO3-N 
(mg L-1)]])*4.426</f>
        <v>103.62593800000002</v>
      </c>
      <c r="V59" s="6">
        <v>564.02</v>
      </c>
      <c r="W59" s="6">
        <v>36.186999999999998</v>
      </c>
      <c r="X59" s="4">
        <f>IF(stableMED[[#This Row],[TON 
(mg L-1)]]-stableMED[[#This Row],[NO2-N 
(mg L-1)]]&lt;0,0.192,stableMED[[#This Row],[TON 
(mg L-1)]]-stableMED[[#This Row],[NO2-N 
(mg L-1)]])</f>
        <v>23.413000000000004</v>
      </c>
      <c r="Y59" s="4">
        <f>SUM(stableMED[[#This Row],[NH4-N 
(mg L-1)]],stableMED[[#This Row],[NO3-N 
(mg L-1)]],stableMED[[#This Row],[NO2-N 
(mg L-1)]])</f>
        <v>623.62</v>
      </c>
      <c r="Z59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3.1139277544288982E-2</v>
      </c>
      <c r="AA59" s="48">
        <f>IF(IFERROR(stableMED[[#This Row],[NO2-N 
(mg L-1)]]/stableMED[[#This Row],[NH4-N 
(mg L-1)]],0)&lt;0,0,IFERROR(stableMED[[#This Row],[NO2-N 
(mg L-1)]]/stableMED[[#This Row],[NH4-N 
(mg L-1)]],0))</f>
        <v>6.4159072373320095E-2</v>
      </c>
      <c r="AB59" s="48">
        <f>stableMED[[#This Row],[NO2-N 
(mg L-1)]]/(stableMED[[#This Row],[NO3-N 
(mg L-1)]]+stableMED[[#This Row],[NO2-N 
(mg L-1)]])</f>
        <v>0.60716442953020133</v>
      </c>
      <c r="AC59" s="20">
        <f>46/14*stableMED[[#This Row],[NO2-N 
(mg L-1)]]/(EXP(-2300/(stableMED[[#This Row],[Temp. 
(°C)]]+273))*10^(stableMED[[#This Row],[pHreactor]]))</f>
        <v>1.3038615345646435E-2</v>
      </c>
      <c r="AD59" s="6">
        <f>17/14*stableMED[NH4-N 
(mg L-1)]*10^stableMED[[#This Row],[pHreactor]]/(EXP((6344/(273+stableMED[[#This Row],[Temp. 
(°C)]])))+10^stableMED[pHreactor])</f>
        <v>10.216720584761033</v>
      </c>
      <c r="AE59" s="6">
        <f>Influent[[#This Row],[NH4-N (mg L-1)]]*stableMED[[#This Row],[Flow 
(m3 d-1)]]/(Information!$R$48*Information!$R$49)</f>
        <v>1.363516305254852</v>
      </c>
      <c r="AF59" s="6">
        <f>(Influent[[#This Row],[NH4-N (mg L-1)]]-stableMED[[#This Row],[NH4-N 
(mg L-1)]])*stableMED[[#This Row],[Flow 
(m3 d-1)]]/(Information!$R$48*Information!$R$49)</f>
        <v>0.77908704278062035</v>
      </c>
      <c r="AG59" s="6">
        <f>Influent[[#This Row],[COD (mg L-1)]]*stableMED[[#This Row],[Flow 
(m3 d-1)]]/(Information!$R$48*Information!$R$49)</f>
        <v>2.5127494796284036</v>
      </c>
      <c r="AH59" s="6">
        <f>(Influent[[#This Row],[COD (mg L-1)]]-stableMED[[#This Row],[COD 
(mg L-1)]])*stableMED[[#This Row],[Flow 
(m3 d-1)]]/(Information!$R$48*Information!$R$49)</f>
        <v>1.0102807186134819</v>
      </c>
      <c r="AI59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692.28000000000009</v>
      </c>
      <c r="AJ59" s="6">
        <f>IFERROR(IF(Influent[[#This Row],[COD (mg L-1)]]-stableMED[[#This Row],[COD 
(mg L-1)]]&lt;0,0,Influent[[#This Row],[COD (mg L-1)]]-stableMED[[#This Row],[COD 
(mg L-1)]]),0)</f>
        <v>975</v>
      </c>
      <c r="AK59" s="6">
        <f>IFERROR(IF(Influent[[#This Row],[Alkalinity (mg CaCO3 L-1) ]]-stableMED[[#This Row],[Alkalinity 
(mg CaCO3 L-1) ]]&lt;0,0,Influent[[#This Row],[Alkalinity (mg CaCO3 L-1) ]]-stableMED[[#This Row],[Alkalinity 
(mg CaCO3 L-1) ]]),0)</f>
        <v>2791</v>
      </c>
      <c r="AL59" s="6">
        <f>Influent[[#This Row],[COD (mg L-1)]]/stableMED[[#This Row],[HRT 
(h)]]*24/1000</f>
        <v>1.0050997918513616</v>
      </c>
      <c r="AM59" s="6">
        <f>IF(((stableMED[[#This Row],[ΔC (mg L-1)]])*24/stableMED[[#This Row],[HRT 
(h)]]/1000) &lt;0,0, (stableMED[[#This Row],[ΔC (mg L-1)]])*24/stableMED[[#This Row],[HRT 
(h)]]/1000)</f>
        <v>0.40411228744539274</v>
      </c>
      <c r="AN59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0.31163481711224811</v>
      </c>
      <c r="AO59" s="6">
        <f>Influent[[#This Row],[TN (mg L-1)]]/stableMED[[#This Row],[HRT 
(h)]]*24/1000</f>
        <v>0.54548941693013486</v>
      </c>
      <c r="AP59" s="6">
        <f>stableMED[[#This Row],[NRE 
(%)]]*stableMED[[#This Row],[NLR 
(kg N m-3 d-1)]]</f>
        <v>0.28701505313865194</v>
      </c>
      <c r="AQ59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0.57138080401246305</v>
      </c>
      <c r="AR59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0.52616062609224223</v>
      </c>
      <c r="AS59" s="48"/>
      <c r="AT59" s="48"/>
      <c r="AU59" s="48"/>
      <c r="AV59" s="6"/>
      <c r="AW59" s="21"/>
      <c r="AX59" s="21"/>
      <c r="AY59" s="6">
        <f>stableMED[[#This Row],[NH4-N 
(mg L-1)]]-20</f>
        <v>544.02</v>
      </c>
      <c r="AZ59" s="6">
        <f>stableMED[[#This Row],[Ammonia residual to reach target]]*2.9</f>
        <v>1577.6579999999999</v>
      </c>
      <c r="BA59" s="6">
        <f>stableMED[[#This Row],[Alkalinity 
(mg CaCO3 L-1) ]]-stableMED[[#This Row],[Alkalinity need]]-70</f>
        <v>324.3420000000001</v>
      </c>
    </row>
    <row r="60" spans="1:54" x14ac:dyDescent="0.3">
      <c r="A60" s="128">
        <v>43383</v>
      </c>
      <c r="B60" s="29">
        <v>57</v>
      </c>
      <c r="C60" s="42">
        <v>33.919222928301735</v>
      </c>
      <c r="D60" s="28">
        <f>stableMED[[#This Row],[Flow 
(L h-1)]]/1000*24</f>
        <v>0.81406135027924154</v>
      </c>
      <c r="E60" s="42">
        <f>IF(IFERROR(Information!$R$47/stableMED[[#This Row],[Flow 
(m3 d-1)]]*24,0)&lt;0,0,IFERROR(Information!$R$47/stableMED[[#This Row],[Flow 
(m3 d-1)]]*24,0))</f>
        <v>35.378168967389186</v>
      </c>
      <c r="F60" s="42">
        <v>7.5224342362742505</v>
      </c>
      <c r="G60" s="42">
        <v>0.80251171523934639</v>
      </c>
      <c r="H60" s="41">
        <v>30.88967916494606</v>
      </c>
      <c r="I60" s="130"/>
      <c r="J60" s="130"/>
      <c r="K60" s="29">
        <v>1630</v>
      </c>
      <c r="L60" s="29">
        <f>stableMED[[#This Row],[COD 
(mg L-1)]]*Information!$AK$42</f>
        <v>1157.3</v>
      </c>
      <c r="M60" s="29">
        <v>2752</v>
      </c>
      <c r="N60" s="29">
        <v>8.5</v>
      </c>
      <c r="O60" s="29">
        <v>100</v>
      </c>
      <c r="Q60" s="29">
        <v>11.22</v>
      </c>
      <c r="R60" s="29">
        <v>46.3</v>
      </c>
      <c r="S60" s="4">
        <f>stableMED[[#This Row],[NH4-N 
(mg L-1)]]*1.288</f>
        <v>995.10880000000009</v>
      </c>
      <c r="T60" s="6">
        <f>stableMED[[#This Row],[NO2-N 
(mg L-1)]]*3.284</f>
        <v>104.805576</v>
      </c>
      <c r="U60" s="6">
        <f>(stableMED[[#This Row],[NO3-N 
(mg L-1)]])*4.426</f>
        <v>63.672435999999983</v>
      </c>
      <c r="V60" s="6">
        <v>772.6</v>
      </c>
      <c r="W60" s="6">
        <v>31.914000000000001</v>
      </c>
      <c r="X60" s="4">
        <f>IF(stableMED[[#This Row],[TON 
(mg L-1)]]-stableMED[[#This Row],[NO2-N 
(mg L-1)]]&lt;0,0.192,stableMED[[#This Row],[TON 
(mg L-1)]]-stableMED[[#This Row],[NO2-N 
(mg L-1)]])</f>
        <v>14.385999999999996</v>
      </c>
      <c r="Y60" s="4">
        <f>SUM(stableMED[[#This Row],[NH4-N 
(mg L-1)]],stableMED[[#This Row],[NO3-N 
(mg L-1)]],stableMED[[#This Row],[NO2-N 
(mg L-1)]])</f>
        <v>818.9</v>
      </c>
      <c r="Z60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2.6630877452795257E-2</v>
      </c>
      <c r="AA60" s="48">
        <f>IF(IFERROR(stableMED[[#This Row],[NO2-N 
(mg L-1)]]/stableMED[[#This Row],[NH4-N 
(mg L-1)]],0)&lt;0,0,IFERROR(stableMED[[#This Row],[NO2-N 
(mg L-1)]]/stableMED[[#This Row],[NH4-N 
(mg L-1)]],0))</f>
        <v>4.1307274139269996E-2</v>
      </c>
      <c r="AB60" s="48">
        <f>stableMED[[#This Row],[NO2-N 
(mg L-1)]]/(stableMED[[#This Row],[NO3-N 
(mg L-1)]]+stableMED[[#This Row],[NO2-N 
(mg L-1)]])</f>
        <v>0.68928725701943849</v>
      </c>
      <c r="AC60" s="20">
        <f>46/14*stableMED[[#This Row],[NO2-N 
(mg L-1)]]/(EXP(-2300/(stableMED[[#This Row],[Temp. 
(°C)]]+273))*10^(stableMED[[#This Row],[pHreactor]]))</f>
        <v>6.0974781749218278E-3</v>
      </c>
      <c r="AD60" s="6">
        <f>17/14*stableMED[NH4-N 
(mg L-1)]*10^stableMED[[#This Row],[pHreactor]]/(EXP((6344/(273+stableMED[[#This Row],[Temp. 
(°C)]])))+10^stableMED[pHreactor])</f>
        <v>26.069958054131781</v>
      </c>
      <c r="AE60" s="6">
        <f>Influent[[#This Row],[NH4-N (mg L-1)]]*stableMED[[#This Row],[Flow 
(m3 d-1)]]/(Information!$R$48*Information!$R$49)</f>
        <v>2.2264577930137253</v>
      </c>
      <c r="AF60" s="6">
        <f>(Influent[[#This Row],[NH4-N (mg L-1)]]-stableMED[[#This Row],[NH4-N 
(mg L-1)]])*stableMED[[#This Row],[Flow 
(m3 d-1)]]/(Information!$R$48*Information!$R$49)</f>
        <v>0.91615821129342967</v>
      </c>
      <c r="AG60" s="6">
        <f>Influent[[#This Row],[COD (mg L-1)]]*stableMED[[#This Row],[Flow 
(m3 d-1)]]/(Information!$R$48*Information!$R$49)</f>
        <v>4.1466250029848863</v>
      </c>
      <c r="AH60" s="6">
        <f>(Influent[[#This Row],[COD (mg L-1)]]-stableMED[[#This Row],[COD 
(mg L-1)]])*stableMED[[#This Row],[Flow 
(m3 d-1)]]/(Information!$R$48*Information!$R$49)</f>
        <v>1.3822083343282956</v>
      </c>
      <c r="AI60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493.9</v>
      </c>
      <c r="AJ60" s="6">
        <f>IFERROR(IF(Influent[[#This Row],[COD (mg L-1)]]-stableMED[[#This Row],[COD 
(mg L-1)]]&lt;0,0,Influent[[#This Row],[COD (mg L-1)]]-stableMED[[#This Row],[COD 
(mg L-1)]]),0)</f>
        <v>815</v>
      </c>
      <c r="AK60" s="6">
        <f>IFERROR(IF(Influent[[#This Row],[Alkalinity (mg CaCO3 L-1) ]]-stableMED[[#This Row],[Alkalinity 
(mg CaCO3 L-1) ]]&lt;0,0,Influent[[#This Row],[Alkalinity (mg CaCO3 L-1) ]]-stableMED[[#This Row],[Alkalinity 
(mg CaCO3 L-1) ]]),0)</f>
        <v>2066</v>
      </c>
      <c r="AL60" s="6">
        <f>Influent[[#This Row],[COD (mg L-1)]]/stableMED[[#This Row],[HRT 
(h)]]*24/1000</f>
        <v>1.6586500011939547</v>
      </c>
      <c r="AM60" s="6">
        <f>IF(((stableMED[[#This Row],[ΔC (mg L-1)]])*24/stableMED[[#This Row],[HRT 
(h)]]/1000) &lt;0,0, (stableMED[[#This Row],[ΔC (mg L-1)]])*24/stableMED[[#This Row],[HRT 
(h)]]/1000)</f>
        <v>0.55288333373131815</v>
      </c>
      <c r="AN60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0.36646328451737181</v>
      </c>
      <c r="AO60" s="6">
        <f>Influent[[#This Row],[TN (mg L-1)]]/stableMED[[#This Row],[HRT 
(h)]]*24/1000</f>
        <v>0.89071879409720323</v>
      </c>
      <c r="AP60" s="6">
        <f>stableMED[[#This Row],[NRE 
(%)]]*stableMED[[#This Row],[NLR 
(kg N m-3 d-1)]]</f>
        <v>0.33518976097747766</v>
      </c>
      <c r="AQ60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0.41148689823278484</v>
      </c>
      <c r="AR60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0.37631378522467634</v>
      </c>
      <c r="AS60" s="48"/>
      <c r="AT60" s="48"/>
      <c r="AU60" s="48"/>
      <c r="AV60" s="6"/>
      <c r="AW60" s="21"/>
      <c r="AX60" s="21"/>
      <c r="AY60" s="6">
        <f>stableMED[[#This Row],[NH4-N 
(mg L-1)]]-20</f>
        <v>752.6</v>
      </c>
      <c r="AZ60" s="6">
        <f>stableMED[[#This Row],[Ammonia residual to reach target]]*2.9</f>
        <v>2182.54</v>
      </c>
      <c r="BA60" s="6">
        <f>stableMED[[#This Row],[Alkalinity 
(mg CaCO3 L-1) ]]-stableMED[[#This Row],[Alkalinity need]]-70</f>
        <v>499.46000000000004</v>
      </c>
    </row>
    <row r="61" spans="1:54" x14ac:dyDescent="0.3">
      <c r="A61" s="128">
        <v>43384</v>
      </c>
      <c r="B61" s="29">
        <v>58</v>
      </c>
      <c r="C61" s="42">
        <v>41.384664611988541</v>
      </c>
      <c r="D61" s="28">
        <f>stableMED[[#This Row],[Flow 
(L h-1)]]/1000*24</f>
        <v>0.99323195068772496</v>
      </c>
      <c r="E61" s="42">
        <f>IF(IFERROR(Information!$R$47/stableMED[[#This Row],[Flow 
(m3 d-1)]]*24,0)&lt;0,0,IFERROR(Information!$R$47/stableMED[[#This Row],[Flow 
(m3 d-1)]]*24,0))</f>
        <v>28.996248036582546</v>
      </c>
      <c r="F61" s="42">
        <v>7.7347576374065872</v>
      </c>
      <c r="G61" s="42">
        <v>0.68774947951037368</v>
      </c>
      <c r="H61" s="41">
        <v>30.887442510353942</v>
      </c>
      <c r="I61" s="130"/>
      <c r="J61" s="130"/>
      <c r="K61" s="29">
        <v>1745</v>
      </c>
      <c r="L61" s="29">
        <f>stableMED[[#This Row],[COD 
(mg L-1)]]*Information!$AK$42</f>
        <v>1238.95</v>
      </c>
      <c r="M61" s="29">
        <v>3326</v>
      </c>
      <c r="N61" s="29">
        <v>8.5</v>
      </c>
      <c r="O61" s="29">
        <v>108</v>
      </c>
      <c r="Q61" s="29">
        <v>12.44</v>
      </c>
      <c r="R61" s="29">
        <v>42.7</v>
      </c>
      <c r="S61" s="4">
        <f>stableMED[[#This Row],[NH4-N 
(mg L-1)]]*1.288</f>
        <v>1223.4068</v>
      </c>
      <c r="T61" s="6">
        <f>stableMED[[#This Row],[NO2-N 
(mg L-1)]]*3.284</f>
        <v>119.19934799999999</v>
      </c>
      <c r="U61" s="6">
        <f>(stableMED[[#This Row],[NO3-N 
(mg L-1)]])*4.426</f>
        <v>28.339678000000028</v>
      </c>
      <c r="V61" s="6">
        <v>949.85</v>
      </c>
      <c r="W61" s="6">
        <v>36.296999999999997</v>
      </c>
      <c r="X61" s="4">
        <f>IF(stableMED[[#This Row],[TON 
(mg L-1)]]-stableMED[[#This Row],[NO2-N 
(mg L-1)]]&lt;0,0.192,stableMED[[#This Row],[TON 
(mg L-1)]]-stableMED[[#This Row],[NO2-N 
(mg L-1)]])</f>
        <v>6.4030000000000058</v>
      </c>
      <c r="Y61" s="4">
        <f>SUM(stableMED[[#This Row],[NH4-N 
(mg L-1)]],stableMED[[#This Row],[NO3-N 
(mg L-1)]],stableMED[[#This Row],[NO2-N 
(mg L-1)]])</f>
        <v>992.55000000000007</v>
      </c>
      <c r="Z61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1.7022464442376727E-2</v>
      </c>
      <c r="AA61" s="48">
        <f>IF(IFERROR(stableMED[[#This Row],[NO2-N 
(mg L-1)]]/stableMED[[#This Row],[NH4-N 
(mg L-1)]],0)&lt;0,0,IFERROR(stableMED[[#This Row],[NO2-N 
(mg L-1)]]/stableMED[[#This Row],[NH4-N 
(mg L-1)]],0))</f>
        <v>3.8213402116123597E-2</v>
      </c>
      <c r="AB61" s="48">
        <f>stableMED[[#This Row],[NO2-N 
(mg L-1)]]/(stableMED[[#This Row],[NO3-N 
(mg L-1)]]+stableMED[[#This Row],[NO2-N 
(mg L-1)]])</f>
        <v>0.85004683840749407</v>
      </c>
      <c r="AC61" s="20">
        <f>46/14*stableMED[[#This Row],[NO2-N 
(mg L-1)]]/(EXP(-2300/(stableMED[[#This Row],[Temp. 
(°C)]]+273))*10^(stableMED[[#This Row],[pHreactor]]))</f>
        <v>4.2534422111253443E-3</v>
      </c>
      <c r="AD61" s="6">
        <f>17/14*stableMED[NH4-N 
(mg L-1)]*10^stableMED[[#This Row],[pHreactor]]/(EXP((6344/(273+stableMED[[#This Row],[Temp. 
(°C)]])))+10^stableMED[pHreactor])</f>
        <v>51.351952105196524</v>
      </c>
      <c r="AE61" s="6">
        <f>Influent[[#This Row],[NH4-N (mg L-1)]]*stableMED[[#This Row],[Flow 
(m3 d-1)]]/(Information!$R$48*Information!$R$49)</f>
        <v>2.7438032637748404</v>
      </c>
      <c r="AF61" s="6">
        <f>(Influent[[#This Row],[NH4-N (mg L-1)]]-stableMED[[#This Row],[NH4-N 
(mg L-1)]])*stableMED[[#This Row],[Flow 
(m3 d-1)]]/(Information!$R$48*Information!$R$49)</f>
        <v>0.77834207968997438</v>
      </c>
      <c r="AG61" s="6">
        <f>Influent[[#This Row],[COD (mg L-1)]]*stableMED[[#This Row],[Flow 
(m3 d-1)]]/(Information!$R$48*Information!$R$49)</f>
        <v>5.0489290826626014</v>
      </c>
      <c r="AH61" s="6">
        <f>(Influent[[#This Row],[COD (mg L-1)]]-stableMED[[#This Row],[COD 
(mg L-1)]])*stableMED[[#This Row],[Flow 
(m3 d-1)]]/(Information!$R$48*Information!$R$49)</f>
        <v>1.4381170952666018</v>
      </c>
      <c r="AI61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333.44999999999993</v>
      </c>
      <c r="AJ61" s="6">
        <f>IFERROR(IF(Influent[[#This Row],[COD (mg L-1)]]-stableMED[[#This Row],[COD 
(mg L-1)]]&lt;0,0,Influent[[#This Row],[COD (mg L-1)]]-stableMED[[#This Row],[COD 
(mg L-1)]]),0)</f>
        <v>695</v>
      </c>
      <c r="AK61" s="6">
        <f>IFERROR(IF(Influent[[#This Row],[Alkalinity (mg CaCO3 L-1) ]]-stableMED[[#This Row],[Alkalinity 
(mg CaCO3 L-1) ]]&lt;0,0,Influent[[#This Row],[Alkalinity (mg CaCO3 L-1) ]]-stableMED[[#This Row],[Alkalinity 
(mg CaCO3 L-1) ]]),0)</f>
        <v>1452</v>
      </c>
      <c r="AL61" s="6">
        <f>Influent[[#This Row],[COD (mg L-1)]]/stableMED[[#This Row],[HRT 
(h)]]*24/1000</f>
        <v>2.0195716330650413</v>
      </c>
      <c r="AM61" s="6">
        <f>IF(((stableMED[[#This Row],[ΔC (mg L-1)]])*24/stableMED[[#This Row],[HRT 
(h)]]/1000) &lt;0,0, (stableMED[[#This Row],[ΔC (mg L-1)]])*24/stableMED[[#This Row],[HRT 
(h)]]/1000)</f>
        <v>0.57524683810664079</v>
      </c>
      <c r="AN61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0.31133683187598976</v>
      </c>
      <c r="AO61" s="6">
        <f>Influent[[#This Row],[TN (mg L-1)]]/stableMED[[#This Row],[HRT 
(h)]]*24/1000</f>
        <v>1.10530162245699</v>
      </c>
      <c r="AP61" s="6">
        <f>stableMED[[#This Row],[NRE 
(%)]]*stableMED[[#This Row],[NLR 
(kg N m-3 d-1)]]</f>
        <v>0.28377464524440549</v>
      </c>
      <c r="AQ61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0.28367269984917043</v>
      </c>
      <c r="AR61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0.25673955369177776</v>
      </c>
      <c r="AS61" s="48"/>
      <c r="AT61" s="48"/>
      <c r="AU61" s="48"/>
      <c r="AV61" s="6"/>
      <c r="AW61" s="21"/>
      <c r="AX61" s="21"/>
      <c r="AY61" s="6">
        <f>stableMED[[#This Row],[NH4-N 
(mg L-1)]]-20</f>
        <v>929.85</v>
      </c>
      <c r="AZ61" s="6">
        <f>stableMED[[#This Row],[Ammonia residual to reach target]]*2.9</f>
        <v>2696.5650000000001</v>
      </c>
      <c r="BA61" s="6">
        <f>stableMED[[#This Row],[Alkalinity 
(mg CaCO3 L-1) ]]-stableMED[[#This Row],[Alkalinity need]]-70</f>
        <v>559.43499999999995</v>
      </c>
    </row>
    <row r="62" spans="1:54" x14ac:dyDescent="0.3">
      <c r="A62" s="128">
        <v>43385</v>
      </c>
      <c r="B62" s="29">
        <v>59</v>
      </c>
      <c r="C62" s="42">
        <v>20.577598919350418</v>
      </c>
      <c r="D62" s="28">
        <f>stableMED[[#This Row],[Flow 
(L h-1)]]/1000*24</f>
        <v>0.49386237406441003</v>
      </c>
      <c r="E62" s="42">
        <f>IF(IFERROR(Information!$R$47/stableMED[[#This Row],[Flow 
(m3 d-1)]]*24,0)&lt;0,0,IFERROR(Information!$R$47/stableMED[[#This Row],[Flow 
(m3 d-1)]]*24,0))</f>
        <v>58.315841644263173</v>
      </c>
      <c r="F62" s="42">
        <v>7.722689855847662</v>
      </c>
      <c r="G62" s="42">
        <v>0.79410968508334756</v>
      </c>
      <c r="H62" s="41">
        <v>31.159713438590838</v>
      </c>
      <c r="I62" s="41">
        <f>stableMED[[#This Row],[MLVSS 
(mg L-1)]]/0.37</f>
        <v>1351.3513513513515</v>
      </c>
      <c r="J62" s="130">
        <f>250*2</f>
        <v>500</v>
      </c>
      <c r="K62" s="29">
        <v>1580</v>
      </c>
      <c r="L62" s="29">
        <f>stableMED[[#This Row],[COD 
(mg L-1)]]*Information!$AK$42</f>
        <v>1121.8</v>
      </c>
      <c r="M62" s="29">
        <v>2446</v>
      </c>
      <c r="N62" s="29">
        <v>8.4</v>
      </c>
      <c r="O62" s="29">
        <v>54</v>
      </c>
      <c r="Q62" s="29">
        <v>8.61</v>
      </c>
      <c r="S62" s="4">
        <f>stableMED[[#This Row],[NH4-N 
(mg L-1)]]*1.288</f>
        <v>956.4688000000001</v>
      </c>
      <c r="T62" s="6">
        <f>stableMED[[#This Row],[NO2-N 
(mg L-1)]]*3.284</f>
        <v>0</v>
      </c>
      <c r="U62" s="6">
        <f>(stableMED[[#This Row],[NO3-N 
(mg L-1)]])*4.426</f>
        <v>0</v>
      </c>
      <c r="V62" s="6">
        <v>742.6</v>
      </c>
      <c r="W62" s="6"/>
      <c r="X62" s="4"/>
      <c r="Y62" s="4"/>
      <c r="Z62" s="89"/>
      <c r="AA62" s="48"/>
      <c r="AB62" s="48"/>
      <c r="AC62" s="20"/>
      <c r="AD62" s="6"/>
      <c r="AE62" s="6">
        <f>Influent[[#This Row],[NH4-N (mg L-1)]]*stableMED[[#This Row],[Flow 
(m3 d-1)]]/(Information!$R$48*Information!$R$49)</f>
        <v>1.4413579163059</v>
      </c>
      <c r="AF62" s="6">
        <f>(Influent[[#This Row],[NH4-N (mg L-1)]]-stableMED[[#This Row],[NH4-N 
(mg L-1)]])*stableMED[[#This Row],[Flow 
(m3 d-1)]]/(Information!$R$48*Information!$R$49)</f>
        <v>0.67731166843041912</v>
      </c>
      <c r="AG62" s="6">
        <f>Influent[[#This Row],[COD (mg L-1)]]*stableMED[[#This Row],[Flow 
(m3 d-1)]]/(Information!$R$48*Information!$R$49)</f>
        <v>2.5670554651889645</v>
      </c>
      <c r="AH62" s="6">
        <f>(Influent[[#This Row],[COD (mg L-1)]]-stableMED[[#This Row],[COD 
(mg L-1)]])*stableMED[[#This Row],[Flow 
(m3 d-1)]]/(Information!$R$48*Information!$R$49)</f>
        <v>0.94142515056028164</v>
      </c>
      <c r="AI62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658.30000000000007</v>
      </c>
      <c r="AJ62" s="6">
        <f>IFERROR(IF(Influent[[#This Row],[COD (mg L-1)]]-stableMED[[#This Row],[COD 
(mg L-1)]]&lt;0,0,Influent[[#This Row],[COD (mg L-1)]]-stableMED[[#This Row],[COD 
(mg L-1)]]),0)</f>
        <v>915</v>
      </c>
      <c r="AK62" s="6">
        <f>IFERROR(IF(Influent[[#This Row],[Alkalinity (mg CaCO3 L-1) ]]-stableMED[[#This Row],[Alkalinity 
(mg CaCO3 L-1) ]]&lt;0,0,Influent[[#This Row],[Alkalinity (mg CaCO3 L-1) ]]-stableMED[[#This Row],[Alkalinity 
(mg CaCO3 L-1) ]]),0)</f>
        <v>2255</v>
      </c>
      <c r="AL62" s="6">
        <f>Influent[[#This Row],[COD (mg L-1)]]/stableMED[[#This Row],[HRT 
(h)]]*24/1000</f>
        <v>1.026822186075586</v>
      </c>
      <c r="AM62" s="6">
        <f>IF(((stableMED[[#This Row],[ΔC (mg L-1)]])*24/stableMED[[#This Row],[HRT 
(h)]]/1000) &lt;0,0, (stableMED[[#This Row],[ΔC (mg L-1)]])*24/stableMED[[#This Row],[HRT 
(h)]]/1000)</f>
        <v>0.37657006022411266</v>
      </c>
      <c r="AN62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0.27092466737216764</v>
      </c>
      <c r="AO62" s="6">
        <f>Influent[[#This Row],[TN (mg L-1)]]/stableMED[[#This Row],[HRT 
(h)]]*24/1000</f>
        <v>0.57998950278937289</v>
      </c>
      <c r="AP62" s="6"/>
      <c r="AQ62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0.46991219930044975</v>
      </c>
      <c r="AR62" s="26"/>
      <c r="AS62" s="48">
        <f>88/30</f>
        <v>2.9333333333333331</v>
      </c>
      <c r="AT62" s="48">
        <v>0.93899999999999995</v>
      </c>
      <c r="AU62" s="48">
        <v>0.27500000000000002</v>
      </c>
      <c r="AV62" s="6">
        <f>stableMED[[#This Row],[SAAcarrier
(g N g VSS-1d-1)]]+stableMED[[#This Row],[SAAsuspension
(g N g VSS-1d-1)]]</f>
        <v>1.214</v>
      </c>
      <c r="AW62" s="21">
        <f>stableMED[[#This Row],[SAAcarrier
(g N g VSS-1d-1)]]/MAX(stableMED[SAAcombined
(g N g VSS-1d-1)])</f>
        <v>0.45849609374999994</v>
      </c>
      <c r="AX62" s="21">
        <f>stableMED[[#This Row],[SAAsuspension
(g N g VSS-1d-1)]]/MAX(stableMED[SAAcombined
(g N g VSS-1d-1)])</f>
        <v>0.13427734375</v>
      </c>
      <c r="AY62" s="6">
        <f>stableMED[[#This Row],[NH4-N 
(mg L-1)]]-20</f>
        <v>722.6</v>
      </c>
      <c r="AZ62" s="6">
        <f>stableMED[[#This Row],[Ammonia residual to reach target]]*2.9</f>
        <v>2095.54</v>
      </c>
      <c r="BA62" s="6">
        <f>stableMED[[#This Row],[Alkalinity 
(mg CaCO3 L-1) ]]-stableMED[[#This Row],[Alkalinity need]]-70</f>
        <v>280.46000000000004</v>
      </c>
    </row>
    <row r="63" spans="1:54" x14ac:dyDescent="0.3">
      <c r="A63" s="128">
        <v>43386</v>
      </c>
      <c r="B63" s="29">
        <v>60</v>
      </c>
      <c r="C63" s="42">
        <v>13.678063175157721</v>
      </c>
      <c r="D63" s="28">
        <f>stableMED[[#This Row],[Flow 
(L h-1)]]/1000*24</f>
        <v>0.32827351620378531</v>
      </c>
      <c r="E63" s="42">
        <f>IF(IFERROR(Information!$R$47/stableMED[[#This Row],[Flow 
(m3 d-1)]]*24,0)&lt;0,0,IFERROR(Information!$R$47/stableMED[[#This Row],[Flow 
(m3 d-1)]]*24,0))</f>
        <v>87.731719369410115</v>
      </c>
      <c r="F63" s="42">
        <v>7.502317733129086</v>
      </c>
      <c r="G63" s="42">
        <v>0.86344758781944864</v>
      </c>
      <c r="H63" s="41">
        <v>30.882852210720475</v>
      </c>
      <c r="I63" s="130"/>
      <c r="J63" s="130"/>
      <c r="K63" s="29">
        <v>1670</v>
      </c>
      <c r="L63" s="29">
        <f>stableMED[[#This Row],[COD 
(mg L-1)]]*Information!$AK$42</f>
        <v>1185.7</v>
      </c>
      <c r="M63" s="29">
        <v>2253</v>
      </c>
      <c r="N63" s="29">
        <v>8.3000000000000007</v>
      </c>
      <c r="O63" s="29">
        <v>76</v>
      </c>
      <c r="Q63" s="29">
        <v>9.2100000000000009</v>
      </c>
      <c r="S63" s="4">
        <f>stableMED[[#This Row],[NH4-N 
(mg L-1)]]*1.288</f>
        <v>937.87008000000003</v>
      </c>
      <c r="T63" s="6">
        <f>stableMED[[#This Row],[NO2-N 
(mg L-1)]]*3.284</f>
        <v>0</v>
      </c>
      <c r="U63" s="6">
        <f>(stableMED[[#This Row],[NO3-N 
(mg L-1)]])*4.426</f>
        <v>0</v>
      </c>
      <c r="V63" s="6">
        <v>728.16</v>
      </c>
      <c r="W63" s="6"/>
      <c r="X63" s="4"/>
      <c r="Y63" s="4"/>
      <c r="Z63" s="89"/>
      <c r="AA63" s="48"/>
      <c r="AB63" s="48"/>
      <c r="AC63" s="20"/>
      <c r="AD63" s="6"/>
      <c r="AE63" s="6">
        <f>Influent[[#This Row],[NH4-N (mg L-1)]]*stableMED[[#This Row],[Flow 
(m3 d-1)]]/(Information!$R$48*Information!$R$49)</f>
        <v>0.9485052908813123</v>
      </c>
      <c r="AF63" s="6">
        <f>(Influent[[#This Row],[NH4-N (mg L-1)]]-stableMED[[#This Row],[NH4-N 
(mg L-1)]])*stableMED[[#This Row],[Flow 
(m3 d-1)]]/(Information!$R$48*Information!$R$49)</f>
        <v>0.45051436680016993</v>
      </c>
      <c r="AG63" s="6">
        <f>Influent[[#This Row],[COD (mg L-1)]]*stableMED[[#This Row],[Flow 
(m3 d-1)]]/(Information!$R$48*Information!$R$49)</f>
        <v>1.6721432231630315</v>
      </c>
      <c r="AH63" s="6">
        <f>(Influent[[#This Row],[COD (mg L-1)]]-stableMED[[#This Row],[COD 
(mg L-1)]])*stableMED[[#This Row],[Flow 
(m3 d-1)]]/(Information!$R$48*Information!$R$49)</f>
        <v>0.53002494803736167</v>
      </c>
      <c r="AI63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658.74000000000012</v>
      </c>
      <c r="AJ63" s="6">
        <f>IFERROR(IF(Influent[[#This Row],[COD (mg L-1)]]-stableMED[[#This Row],[COD 
(mg L-1)]]&lt;0,0,Influent[[#This Row],[COD (mg L-1)]]-stableMED[[#This Row],[COD 
(mg L-1)]]),0)</f>
        <v>775</v>
      </c>
      <c r="AK63" s="6">
        <f>IFERROR(IF(Influent[[#This Row],[Alkalinity (mg CaCO3 L-1) ]]-stableMED[[#This Row],[Alkalinity 
(mg CaCO3 L-1) ]]&lt;0,0,Influent[[#This Row],[Alkalinity (mg CaCO3 L-1) ]]-stableMED[[#This Row],[Alkalinity 
(mg CaCO3 L-1) ]]),0)</f>
        <v>2520</v>
      </c>
      <c r="AL63" s="6">
        <f>Influent[[#This Row],[COD (mg L-1)]]/stableMED[[#This Row],[HRT 
(h)]]*24/1000</f>
        <v>0.66885728926521271</v>
      </c>
      <c r="AM63" s="6">
        <f>IF(((stableMED[[#This Row],[ΔC (mg L-1)]])*24/stableMED[[#This Row],[HRT 
(h)]]/1000) &lt;0,0, (stableMED[[#This Row],[ΔC (mg L-1)]])*24/stableMED[[#This Row],[HRT 
(h)]]/1000)</f>
        <v>0.21200997921494472</v>
      </c>
      <c r="AN63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0.18020574672006801</v>
      </c>
      <c r="AO63" s="6">
        <f>Influent[[#This Row],[TN (mg L-1)]]/stableMED[[#This Row],[HRT 
(h)]]*24/1000</f>
        <v>0.37945682860522562</v>
      </c>
      <c r="AP63" s="6"/>
      <c r="AQ63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0.47497296128055383</v>
      </c>
      <c r="AR63" s="26"/>
      <c r="AS63" s="48"/>
      <c r="AT63" s="48"/>
      <c r="AU63" s="48"/>
      <c r="AV63" s="6"/>
      <c r="AW63" s="21"/>
      <c r="AX63" s="21"/>
      <c r="AY63" s="6">
        <f>stableMED[[#This Row],[NH4-N 
(mg L-1)]]-20</f>
        <v>708.16</v>
      </c>
      <c r="AZ63" s="6">
        <f>stableMED[[#This Row],[Ammonia residual to reach target]]*2.9</f>
        <v>2053.6639999999998</v>
      </c>
      <c r="BA63" s="6">
        <f>stableMED[[#This Row],[Alkalinity 
(mg CaCO3 L-1) ]]-stableMED[[#This Row],[Alkalinity need]]-70</f>
        <v>129.33600000000024</v>
      </c>
    </row>
    <row r="64" spans="1:54" x14ac:dyDescent="0.3">
      <c r="A64" s="128">
        <v>43387</v>
      </c>
      <c r="B64" s="29">
        <v>61</v>
      </c>
      <c r="C64" s="42">
        <v>24.695461645924105</v>
      </c>
      <c r="D64" s="28">
        <f>stableMED[[#This Row],[Flow 
(L h-1)]]/1000*24</f>
        <v>0.59269107950217848</v>
      </c>
      <c r="E64" s="42">
        <f>IF(IFERROR(Information!$R$47/stableMED[[#This Row],[Flow 
(m3 d-1)]]*24,0)&lt;0,0,IFERROR(Information!$R$47/stableMED[[#This Row],[Flow 
(m3 d-1)]]*24,0))</f>
        <v>48.591924184501153</v>
      </c>
      <c r="F64" s="42">
        <v>7.4317069616387261</v>
      </c>
      <c r="G64" s="42">
        <v>0.9397401076478703</v>
      </c>
      <c r="H64" s="41">
        <v>30.90256207819326</v>
      </c>
      <c r="I64" s="130"/>
      <c r="J64" s="130"/>
      <c r="K64" s="29">
        <v>2080</v>
      </c>
      <c r="L64" s="29">
        <f>stableMED[[#This Row],[COD 
(mg L-1)]]*Information!$AK$42</f>
        <v>1476.8</v>
      </c>
      <c r="M64" s="29">
        <v>2149</v>
      </c>
      <c r="N64" s="29">
        <v>8.4</v>
      </c>
      <c r="O64" s="29">
        <v>64</v>
      </c>
      <c r="Q64" s="29">
        <v>7.99</v>
      </c>
      <c r="S64" s="4">
        <f>stableMED[[#This Row],[NH4-N 
(mg L-1)]]*1.288</f>
        <v>926.12351999999998</v>
      </c>
      <c r="T64" s="6">
        <f>stableMED[[#This Row],[NO2-N 
(mg L-1)]]*3.284</f>
        <v>0</v>
      </c>
      <c r="U64" s="6">
        <f>(stableMED[[#This Row],[NO3-N 
(mg L-1)]])*4.426</f>
        <v>0</v>
      </c>
      <c r="V64" s="6">
        <v>719.04</v>
      </c>
      <c r="W64" s="6"/>
      <c r="X64" s="4"/>
      <c r="Y64" s="4"/>
      <c r="Z64" s="89"/>
      <c r="AA64" s="48"/>
      <c r="AB64" s="48"/>
      <c r="AC64" s="20"/>
      <c r="AD64" s="6"/>
      <c r="AE64" s="6">
        <f>Influent[[#This Row],[NH4-N (mg L-1)]]*stableMED[[#This Row],[Flow 
(m3 d-1)]]/(Information!$R$48*Information!$R$49)</f>
        <v>1.6011302558134894</v>
      </c>
      <c r="AF64" s="6">
        <f>(Influent[[#This Row],[NH4-N (mg L-1)]]-stableMED[[#This Row],[NH4-N 
(mg L-1)]])*stableMED[[#This Row],[Flow 
(m3 d-1)]]/(Information!$R$48*Information!$R$49)</f>
        <v>0.71327901871922594</v>
      </c>
      <c r="AG64" s="6">
        <f>Influent[[#This Row],[COD (mg L-1)]]*stableMED[[#This Row],[Flow 
(m3 d-1)]]/(Information!$R$48*Information!$R$49)</f>
        <v>3.1486713598553231</v>
      </c>
      <c r="AH64" s="6">
        <f>(Influent[[#This Row],[COD (mg L-1)]]-stableMED[[#This Row],[COD 
(mg L-1)]])*stableMED[[#This Row],[Flow 
(m3 d-1)]]/(Information!$R$48*Information!$R$49)</f>
        <v>0.58034334867921644</v>
      </c>
      <c r="AI64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577.66000000000008</v>
      </c>
      <c r="AJ64" s="6">
        <f>IFERROR(IF(Influent[[#This Row],[COD (mg L-1)]]-stableMED[[#This Row],[COD 
(mg L-1)]]&lt;0,0,Influent[[#This Row],[COD (mg L-1)]]-stableMED[[#This Row],[COD 
(mg L-1)]]),0)</f>
        <v>470</v>
      </c>
      <c r="AK64" s="6">
        <f>IFERROR(IF(Influent[[#This Row],[Alkalinity (mg CaCO3 L-1) ]]-stableMED[[#This Row],[Alkalinity 
(mg CaCO3 L-1) ]]&lt;0,0,Influent[[#This Row],[Alkalinity (mg CaCO3 L-1) ]]-stableMED[[#This Row],[Alkalinity 
(mg CaCO3 L-1) ]]),0)</f>
        <v>2368</v>
      </c>
      <c r="AL64" s="6">
        <f>Influent[[#This Row],[COD (mg L-1)]]/stableMED[[#This Row],[HRT 
(h)]]*24/1000</f>
        <v>1.2594685439421291</v>
      </c>
      <c r="AM64" s="6">
        <f>IF(((stableMED[[#This Row],[ΔC (mg L-1)]])*24/stableMED[[#This Row],[HRT 
(h)]]/1000) &lt;0,0, (stableMED[[#This Row],[ΔC (mg L-1)]])*24/stableMED[[#This Row],[HRT 
(h)]]/1000)</f>
        <v>0.23213733947168655</v>
      </c>
      <c r="AN64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0.28531160748769036</v>
      </c>
      <c r="AO64" s="6">
        <f>Influent[[#This Row],[TN (mg L-1)]]/stableMED[[#This Row],[HRT 
(h)]]*24/1000</f>
        <v>0.64078499714838266</v>
      </c>
      <c r="AP64" s="6"/>
      <c r="AQ64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0.44548469191023371</v>
      </c>
      <c r="AR64" s="26"/>
      <c r="AS64" s="48"/>
      <c r="AT64" s="48"/>
      <c r="AU64" s="48"/>
      <c r="AV64" s="6"/>
      <c r="AW64" s="21"/>
      <c r="AX64" s="21"/>
      <c r="AY64" s="6">
        <f>stableMED[[#This Row],[NH4-N 
(mg L-1)]]-20</f>
        <v>699.04</v>
      </c>
      <c r="AZ64" s="6">
        <f>stableMED[[#This Row],[Ammonia residual to reach target]]*2.9</f>
        <v>2027.2159999999999</v>
      </c>
      <c r="BA64" s="6">
        <f>stableMED[[#This Row],[Alkalinity 
(mg CaCO3 L-1) ]]-stableMED[[#This Row],[Alkalinity need]]-70</f>
        <v>51.784000000000106</v>
      </c>
    </row>
    <row r="65" spans="1:53" x14ac:dyDescent="0.3">
      <c r="A65" s="128">
        <v>43388</v>
      </c>
      <c r="B65" s="29">
        <v>62</v>
      </c>
      <c r="C65" s="42">
        <v>18.617190212145815</v>
      </c>
      <c r="D65" s="28">
        <f>stableMED[[#This Row],[Flow 
(L h-1)]]/1000*24</f>
        <v>0.44681256509149953</v>
      </c>
      <c r="E65" s="42">
        <f>IF(IFERROR(Information!$R$47/stableMED[[#This Row],[Flow 
(m3 d-1)]]*24,0)&lt;0,0,IFERROR(Information!$R$47/stableMED[[#This Row],[Flow 
(m3 d-1)]]*24,0))</f>
        <v>64.456557962066825</v>
      </c>
      <c r="F65" s="42">
        <v>7.4288723775803405</v>
      </c>
      <c r="G65" s="42">
        <v>0.96557054803918441</v>
      </c>
      <c r="H65" s="41">
        <v>30.856286968137191</v>
      </c>
      <c r="I65" s="130">
        <v>960</v>
      </c>
      <c r="J65" s="130">
        <v>495</v>
      </c>
      <c r="K65" s="29">
        <v>1775</v>
      </c>
      <c r="L65" s="29">
        <f>stableMED[[#This Row],[COD 
(mg L-1)]]*Information!$AK$42</f>
        <v>1260.25</v>
      </c>
      <c r="M65" s="29">
        <v>2177</v>
      </c>
      <c r="N65" s="29">
        <v>8.3000000000000007</v>
      </c>
      <c r="O65" s="29">
        <v>72</v>
      </c>
      <c r="Q65" s="29">
        <v>9.36</v>
      </c>
      <c r="S65" s="4">
        <f>stableMED[[#This Row],[NH4-N 
(mg L-1)]]*1.288</f>
        <v>948.49608000000001</v>
      </c>
      <c r="T65" s="6">
        <f>stableMED[[#This Row],[NO2-N 
(mg L-1)]]*3.284</f>
        <v>0</v>
      </c>
      <c r="U65" s="6">
        <f>(stableMED[[#This Row],[NO3-N 
(mg L-1)]])*4.426</f>
        <v>0</v>
      </c>
      <c r="V65" s="6">
        <v>736.41</v>
      </c>
      <c r="W65" s="6"/>
      <c r="X65" s="4"/>
      <c r="Y65" s="4"/>
      <c r="Z65" s="89"/>
      <c r="AA65" s="48"/>
      <c r="AB65" s="48"/>
      <c r="AC65" s="20"/>
      <c r="AD65" s="6"/>
      <c r="AE65" s="6">
        <f>Influent[[#This Row],[NH4-N (mg L-1)]]*stableMED[[#This Row],[Flow 
(m3 d-1)]]/(Information!$R$48*Information!$R$49)</f>
        <v>1.2280829523441985</v>
      </c>
      <c r="AF65" s="6">
        <f>(Influent[[#This Row],[NH4-N (mg L-1)]]-stableMED[[#This Row],[NH4-N 
(mg L-1)]])*stableMED[[#This Row],[Flow 
(m3 d-1)]]/(Information!$R$48*Information!$R$49)</f>
        <v>0.54258870013788363</v>
      </c>
      <c r="AG65" s="6">
        <f>Influent[[#This Row],[COD (mg L-1)]]*stableMED[[#This Row],[Flow 
(m3 d-1)]]/(Information!$R$48*Information!$R$49)</f>
        <v>2.6250238199125593</v>
      </c>
      <c r="AH65" s="6">
        <f>(Influent[[#This Row],[COD (mg L-1)]]-stableMED[[#This Row],[COD 
(mg L-1)]])*stableMED[[#This Row],[Flow 
(m3 d-1)]]/(Information!$R$48*Information!$R$49)</f>
        <v>0.97274818858461876</v>
      </c>
      <c r="AI65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582.89</v>
      </c>
      <c r="AJ65" s="6">
        <f>IFERROR(IF(Influent[[#This Row],[COD (mg L-1)]]-stableMED[[#This Row],[COD 
(mg L-1)]]&lt;0,0,Influent[[#This Row],[COD (mg L-1)]]-stableMED[[#This Row],[COD 
(mg L-1)]]),0)</f>
        <v>1045</v>
      </c>
      <c r="AK65" s="6">
        <f>IFERROR(IF(Influent[[#This Row],[Alkalinity (mg CaCO3 L-1) ]]-stableMED[[#This Row],[Alkalinity 
(mg CaCO3 L-1) ]]&lt;0,0,Influent[[#This Row],[Alkalinity (mg CaCO3 L-1) ]]-stableMED[[#This Row],[Alkalinity 
(mg CaCO3 L-1) ]]),0)</f>
        <v>2344</v>
      </c>
      <c r="AL65" s="6">
        <f>Influent[[#This Row],[COD (mg L-1)]]/stableMED[[#This Row],[HRT 
(h)]]*24/1000</f>
        <v>1.0500095279650241</v>
      </c>
      <c r="AM65" s="6">
        <f>IF(((stableMED[[#This Row],[ΔC (mg L-1)]])*24/stableMED[[#This Row],[HRT 
(h)]]/1000) &lt;0,0, (stableMED[[#This Row],[ΔC (mg L-1)]])*24/stableMED[[#This Row],[HRT 
(h)]]/1000)</f>
        <v>0.38909927543384759</v>
      </c>
      <c r="AN65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0.21703548005515352</v>
      </c>
      <c r="AO65" s="6">
        <f>Influent[[#This Row],[TN (mg L-1)]]/stableMED[[#This Row],[HRT 
(h)]]*24/1000</f>
        <v>0.49130764969852803</v>
      </c>
      <c r="AP65" s="6"/>
      <c r="AQ65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0.44181763056166151</v>
      </c>
      <c r="AR65" s="26"/>
      <c r="AS65" s="48"/>
      <c r="AT65" s="48"/>
      <c r="AU65" s="48"/>
      <c r="AV65" s="6"/>
      <c r="AW65" s="21"/>
      <c r="AX65" s="21"/>
      <c r="AY65" s="6">
        <f>stableMED[[#This Row],[NH4-N 
(mg L-1)]]-20</f>
        <v>716.41</v>
      </c>
      <c r="AZ65" s="6">
        <f>stableMED[[#This Row],[Ammonia residual to reach target]]*2.9</f>
        <v>2077.5889999999999</v>
      </c>
      <c r="BA65" s="6">
        <f>stableMED[[#This Row],[Alkalinity 
(mg CaCO3 L-1) ]]-stableMED[[#This Row],[Alkalinity need]]-70</f>
        <v>29.411000000000058</v>
      </c>
    </row>
    <row r="66" spans="1:53" x14ac:dyDescent="0.3">
      <c r="A66" s="128">
        <v>43389</v>
      </c>
      <c r="B66" s="29">
        <v>63</v>
      </c>
      <c r="C66" s="42">
        <v>23.634859858929634</v>
      </c>
      <c r="D66" s="28">
        <f>stableMED[[#This Row],[Flow 
(L h-1)]]/1000*24</f>
        <v>0.56723663661431123</v>
      </c>
      <c r="E66" s="42">
        <f>IF(IFERROR(Information!$R$47/stableMED[[#This Row],[Flow 
(m3 d-1)]]*24,0)&lt;0,0,IFERROR(Information!$R$47/stableMED[[#This Row],[Flow 
(m3 d-1)]]*24,0))</f>
        <v>50.772460981892408</v>
      </c>
      <c r="F66" s="42">
        <v>7.4565674602385403</v>
      </c>
      <c r="G66" s="42">
        <v>1.3452906964430169</v>
      </c>
      <c r="H66" s="41">
        <v>30.222949961828135</v>
      </c>
      <c r="I66" s="130"/>
      <c r="J66" s="130"/>
      <c r="K66" s="29">
        <v>1315</v>
      </c>
      <c r="L66" s="29">
        <f>stableMED[[#This Row],[COD 
(mg L-1)]]*Information!$AK$42</f>
        <v>933.65</v>
      </c>
      <c r="M66" s="29">
        <v>1892</v>
      </c>
      <c r="N66" s="29">
        <v>8.3000000000000007</v>
      </c>
      <c r="O66" s="29">
        <v>113</v>
      </c>
      <c r="P66" s="29">
        <v>30</v>
      </c>
      <c r="Q66" s="29">
        <v>8.1199999999999992</v>
      </c>
      <c r="R66" s="29">
        <v>150.4</v>
      </c>
      <c r="S66" s="4">
        <f>stableMED[[#This Row],[NH4-N 
(mg L-1)]]*1.288</f>
        <v>759.12144000000001</v>
      </c>
      <c r="T66" s="6">
        <f>stableMED[[#This Row],[NO2-N 
(mg L-1)]]*3.284</f>
        <v>476.40987999999993</v>
      </c>
      <c r="U66" s="6">
        <f>(stableMED[[#This Row],[NO3-N 
(mg L-1)]])*4.426</f>
        <v>23.590580000000056</v>
      </c>
      <c r="V66" s="6">
        <v>589.38</v>
      </c>
      <c r="W66" s="6">
        <v>145.07</v>
      </c>
      <c r="X66" s="4">
        <f>IF(stableMED[[#This Row],[TON 
(mg L-1)]]-stableMED[[#This Row],[NO2-N 
(mg L-1)]]&lt;0,0.192,stableMED[[#This Row],[TON 
(mg L-1)]]-stableMED[[#This Row],[NO2-N 
(mg L-1)]])</f>
        <v>5.3300000000000125</v>
      </c>
      <c r="Y66" s="4">
        <f>SUM(stableMED[[#This Row],[NH4-N 
(mg L-1)]],stableMED[[#This Row],[NO3-N 
(mg L-1)]],stableMED[[#This Row],[NO2-N 
(mg L-1)]])</f>
        <v>739.78</v>
      </c>
      <c r="Z66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8.602046415545031E-3</v>
      </c>
      <c r="AA66" s="48">
        <f>IF(IFERROR(stableMED[[#This Row],[NO2-N 
(mg L-1)]]/stableMED[[#This Row],[NH4-N 
(mg L-1)]],0)&lt;0,0,IFERROR(stableMED[[#This Row],[NO2-N 
(mg L-1)]]/stableMED[[#This Row],[NH4-N 
(mg L-1)]],0))</f>
        <v>0.24614001153754791</v>
      </c>
      <c r="AB66" s="48">
        <f>stableMED[[#This Row],[NO2-N 
(mg L-1)]]/(stableMED[[#This Row],[NO3-N 
(mg L-1)]]+stableMED[[#This Row],[NO2-N 
(mg L-1)]])</f>
        <v>0.96456117021276588</v>
      </c>
      <c r="AC66" s="20">
        <f>46/14*stableMED[[#This Row],[NO2-N 
(mg L-1)]]/(EXP(-2300/(stableMED[[#This Row],[Temp. 
(°C)]]+273))*10^(stableMED[[#This Row],[pHreactor]]))</f>
        <v>3.2797506444928855E-2</v>
      </c>
      <c r="AD66" s="6">
        <f>17/14*stableMED[NH4-N 
(mg L-1)]*10^stableMED[[#This Row],[pHreactor]]/(EXP((6344/(273+stableMED[[#This Row],[Temp. 
(°C)]])))+10^stableMED[pHreactor])</f>
        <v>16.403936490185497</v>
      </c>
      <c r="AE66" s="6">
        <f>Influent[[#This Row],[NH4-N (mg L-1)]]*stableMED[[#This Row],[Flow 
(m3 d-1)]]/(Information!$R$48*Information!$R$49)</f>
        <v>1.4287272784722964</v>
      </c>
      <c r="AF66" s="6">
        <f>(Influent[[#This Row],[NH4-N (mg L-1)]]-stableMED[[#This Row],[NH4-N 
(mg L-1)]])*stableMED[[#This Row],[Flow 
(m3 d-1)]]/(Information!$R$48*Information!$R$49)</f>
        <v>0.73223159328949905</v>
      </c>
      <c r="AG66" s="6">
        <f>Influent[[#This Row],[COD (mg L-1)]]*stableMED[[#This Row],[Flow 
(m3 d-1)]]/(Information!$R$48*Information!$R$49)</f>
        <v>3.2202496557791629</v>
      </c>
      <c r="AH66" s="6">
        <f>(Influent[[#This Row],[COD (mg L-1)]]-stableMED[[#This Row],[COD 
(mg L-1)]])*stableMED[[#This Row],[Flow 
(m3 d-1)]]/(Information!$R$48*Information!$R$49)</f>
        <v>1.6662576200545394</v>
      </c>
      <c r="AI66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469.21999999999991</v>
      </c>
      <c r="AJ66" s="6">
        <f>IFERROR(IF(Influent[[#This Row],[COD (mg L-1)]]-stableMED[[#This Row],[COD 
(mg L-1)]]&lt;0,0,Influent[[#This Row],[COD (mg L-1)]]-stableMED[[#This Row],[COD 
(mg L-1)]]),0)</f>
        <v>1410</v>
      </c>
      <c r="AK66" s="6">
        <f>IFERROR(IF(Influent[[#This Row],[Alkalinity (mg CaCO3 L-1) ]]-stableMED[[#This Row],[Alkalinity 
(mg CaCO3 L-1) ]]&lt;0,0,Influent[[#This Row],[Alkalinity (mg CaCO3 L-1) ]]-stableMED[[#This Row],[Alkalinity 
(mg CaCO3 L-1) ]]),0)</f>
        <v>2723</v>
      </c>
      <c r="AL66" s="6">
        <f>Influent[[#This Row],[COD (mg L-1)]]/stableMED[[#This Row],[HRT 
(h)]]*24/1000</f>
        <v>1.2880998623116651</v>
      </c>
      <c r="AM66" s="6">
        <f>IF(((stableMED[[#This Row],[ΔC (mg L-1)]])*24/stableMED[[#This Row],[HRT 
(h)]]/1000) &lt;0,0, (stableMED[[#This Row],[ΔC (mg L-1)]])*24/stableMED[[#This Row],[HRT 
(h)]]/1000)</f>
        <v>0.6665030480218157</v>
      </c>
      <c r="AN66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0.29289263731579962</v>
      </c>
      <c r="AO66" s="6">
        <f>Influent[[#This Row],[TN (mg L-1)]]/stableMED[[#This Row],[HRT 
(h)]]*24/1000</f>
        <v>0.57158545082835432</v>
      </c>
      <c r="AP66" s="6">
        <f>stableMED[[#This Row],[NRE 
(%)]]*stableMED[[#This Row],[NLR 
(kg N m-3 d-1)]]</f>
        <v>0.22189351829957502</v>
      </c>
      <c r="AQ66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0.51250620347394538</v>
      </c>
      <c r="AR66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0.38820707906053592</v>
      </c>
      <c r="AS66" s="48"/>
      <c r="AT66" s="48"/>
      <c r="AU66" s="48"/>
      <c r="AV66" s="6"/>
      <c r="AW66" s="21"/>
      <c r="AX66" s="21"/>
      <c r="AY66" s="6">
        <f>stableMED[[#This Row],[NH4-N 
(mg L-1)]]-20</f>
        <v>569.38</v>
      </c>
      <c r="AZ66" s="6">
        <f>stableMED[[#This Row],[Ammonia residual to reach target]]*2.9</f>
        <v>1651.202</v>
      </c>
      <c r="BA66" s="6">
        <f>stableMED[[#This Row],[Alkalinity 
(mg CaCO3 L-1) ]]-stableMED[[#This Row],[Alkalinity need]]-70</f>
        <v>170.798</v>
      </c>
    </row>
    <row r="67" spans="1:53" x14ac:dyDescent="0.3">
      <c r="A67" s="128">
        <v>43390</v>
      </c>
      <c r="B67" s="29">
        <v>64</v>
      </c>
      <c r="C67" s="42">
        <v>7.9155241229061613</v>
      </c>
      <c r="D67" s="28">
        <f>stableMED[[#This Row],[Flow 
(L h-1)]]/1000*24</f>
        <v>0.18997257894974787</v>
      </c>
      <c r="E67" s="42">
        <f>IF(IFERROR(Information!$R$47/stableMED[[#This Row],[Flow 
(m3 d-1)]]*24,0)&lt;0,0,IFERROR(Information!$R$47/stableMED[[#This Row],[Flow 
(m3 d-1)]]*24,0))</f>
        <v>151.60082659939184</v>
      </c>
      <c r="F67" s="42">
        <v>7.4736808376649897</v>
      </c>
      <c r="G67" s="42">
        <v>1.4242706535664005</v>
      </c>
      <c r="H67" s="41">
        <v>29.969796729228513</v>
      </c>
      <c r="I67" s="130"/>
      <c r="J67" s="130"/>
      <c r="K67" s="29">
        <v>975</v>
      </c>
      <c r="L67" s="29">
        <f>stableMED[[#This Row],[COD 
(mg L-1)]]*Information!$AK$42</f>
        <v>692.25</v>
      </c>
      <c r="M67" s="29">
        <v>1649</v>
      </c>
      <c r="N67" s="29">
        <v>8.4</v>
      </c>
      <c r="O67" s="29">
        <v>38</v>
      </c>
      <c r="P67" s="29">
        <v>13</v>
      </c>
      <c r="Q67" s="29">
        <v>5.99</v>
      </c>
      <c r="R67" s="29">
        <v>59</v>
      </c>
      <c r="S67" s="4">
        <f>stableMED[[#This Row],[NH4-N 
(mg L-1)]]*1.288</f>
        <v>570.53247999999996</v>
      </c>
      <c r="T67" s="6">
        <f>stableMED[[#This Row],[NO2-N 
(mg L-1)]]*3.284</f>
        <v>187.33578</v>
      </c>
      <c r="U67" s="6">
        <f>(stableMED[[#This Row],[NO3-N 
(mg L-1)]])*4.426</f>
        <v>8.6528299999999927</v>
      </c>
      <c r="V67" s="6">
        <v>442.96</v>
      </c>
      <c r="W67" s="6">
        <v>57.045000000000002</v>
      </c>
      <c r="X67" s="4">
        <f>IF(stableMED[[#This Row],[TON 
(mg L-1)]]-stableMED[[#This Row],[NO2-N 
(mg L-1)]]&lt;0,0.192,stableMED[[#This Row],[TON 
(mg L-1)]]-stableMED[[#This Row],[NO2-N 
(mg L-1)]])</f>
        <v>1.9549999999999983</v>
      </c>
      <c r="Y67" s="4">
        <f>SUM(stableMED[[#This Row],[NH4-N 
(mg L-1)]],stableMED[[#This Row],[NO3-N 
(mg L-1)]],stableMED[[#This Row],[NO2-N 
(mg L-1)]])</f>
        <v>501.96</v>
      </c>
      <c r="Z67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2.4919060850944483E-3</v>
      </c>
      <c r="AA67" s="48">
        <f>IF(IFERROR(stableMED[[#This Row],[NO2-N 
(mg L-1)]]/stableMED[[#This Row],[NH4-N 
(mg L-1)]],0)&lt;0,0,IFERROR(stableMED[[#This Row],[NO2-N 
(mg L-1)]]/stableMED[[#This Row],[NH4-N 
(mg L-1)]],0))</f>
        <v>0.12878137980856061</v>
      </c>
      <c r="AB67" s="48">
        <f>stableMED[[#This Row],[NO2-N 
(mg L-1)]]/(stableMED[[#This Row],[NO3-N 
(mg L-1)]]+stableMED[[#This Row],[NO2-N 
(mg L-1)]])</f>
        <v>0.96686440677966101</v>
      </c>
      <c r="AC67" s="20">
        <f>46/14*stableMED[[#This Row],[NO2-N 
(mg L-1)]]/(EXP(-2300/(stableMED[[#This Row],[Temp. 
(°C)]]+273))*10^(stableMED[[#This Row],[pHreactor]]))</f>
        <v>1.2477281282881395E-2</v>
      </c>
      <c r="AD67" s="6">
        <f>17/14*stableMED[NH4-N 
(mg L-1)]*10^stableMED[[#This Row],[pHreactor]]/(EXP((6344/(273+stableMED[[#This Row],[Temp. 
(°C)]])))+10^stableMED[pHreactor])</f>
        <v>12.595567862963984</v>
      </c>
      <c r="AE67" s="6">
        <f>Influent[[#This Row],[NH4-N (mg L-1)]]*stableMED[[#This Row],[Flow 
(m3 d-1)]]/(Information!$R$48*Information!$R$49)</f>
        <v>0.48581529304336563</v>
      </c>
      <c r="AF67" s="6">
        <f>(Influent[[#This Row],[NH4-N (mg L-1)]]-stableMED[[#This Row],[NH4-N 
(mg L-1)]])*stableMED[[#This Row],[Flow 
(m3 d-1)]]/(Information!$R$48*Information!$R$49)</f>
        <v>0.31050226476923998</v>
      </c>
      <c r="AG67" s="6">
        <f>Influent[[#This Row],[COD (mg L-1)]]*stableMED[[#This Row],[Flow 
(m3 d-1)]]/(Information!$R$48*Information!$R$49)</f>
        <v>1.1160889013297686</v>
      </c>
      <c r="AH67" s="6">
        <f>(Influent[[#This Row],[COD (mg L-1)]]-stableMED[[#This Row],[COD 
(mg L-1)]])*stableMED[[#This Row],[Flow 
(m3 d-1)]]/(Information!$R$48*Information!$R$49)</f>
        <v>0.73020710033809333</v>
      </c>
      <c r="AI67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725.54</v>
      </c>
      <c r="AJ67" s="6">
        <f>IFERROR(IF(Influent[[#This Row],[COD (mg L-1)]]-stableMED[[#This Row],[COD 
(mg L-1)]]&lt;0,0,Influent[[#This Row],[COD (mg L-1)]]-stableMED[[#This Row],[COD 
(mg L-1)]]),0)</f>
        <v>1845</v>
      </c>
      <c r="AK67" s="6">
        <f>IFERROR(IF(Influent[[#This Row],[Alkalinity (mg CaCO3 L-1) ]]-stableMED[[#This Row],[Alkalinity 
(mg CaCO3 L-1) ]]&lt;0,0,Influent[[#This Row],[Alkalinity (mg CaCO3 L-1) ]]-stableMED[[#This Row],[Alkalinity 
(mg CaCO3 L-1) ]]),0)</f>
        <v>2885</v>
      </c>
      <c r="AL67" s="6">
        <f>Influent[[#This Row],[COD (mg L-1)]]/stableMED[[#This Row],[HRT 
(h)]]*24/1000</f>
        <v>0.44643556053190742</v>
      </c>
      <c r="AM67" s="6">
        <f>IF(((stableMED[[#This Row],[ΔC (mg L-1)]])*24/stableMED[[#This Row],[HRT 
(h)]]/1000) &lt;0,0, (stableMED[[#This Row],[ΔC (mg L-1)]])*24/stableMED[[#This Row],[HRT 
(h)]]/1000)</f>
        <v>0.29208284013523733</v>
      </c>
      <c r="AN67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0.12420090590769597</v>
      </c>
      <c r="AO67" s="6">
        <f>Influent[[#This Row],[TN (mg L-1)]]/stableMED[[#This Row],[HRT 
(h)]]*24/1000</f>
        <v>0.19439688200300503</v>
      </c>
      <c r="AP67" s="6">
        <f>stableMED[[#This Row],[NRE 
(%)]]*stableMED[[#This Row],[NLR 
(kg N m-3 d-1)]]</f>
        <v>0.11493135222832548</v>
      </c>
      <c r="AQ67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0.63913645621181259</v>
      </c>
      <c r="AR67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0.59122014223740915</v>
      </c>
      <c r="AS67" s="48"/>
      <c r="AT67" s="48"/>
      <c r="AU67" s="48"/>
      <c r="AV67" s="6"/>
      <c r="AW67" s="21"/>
      <c r="AX67" s="21"/>
      <c r="AY67" s="6">
        <f>stableMED[[#This Row],[NH4-N 
(mg L-1)]]-20</f>
        <v>422.96</v>
      </c>
      <c r="AZ67" s="6">
        <f>stableMED[[#This Row],[Ammonia residual to reach target]]*2.9</f>
        <v>1226.5839999999998</v>
      </c>
      <c r="BA67" s="6">
        <f>stableMED[[#This Row],[Alkalinity 
(mg CaCO3 L-1) ]]-stableMED[[#This Row],[Alkalinity need]]-70</f>
        <v>352.41600000000017</v>
      </c>
    </row>
    <row r="68" spans="1:53" x14ac:dyDescent="0.3">
      <c r="A68" s="128">
        <v>43391</v>
      </c>
      <c r="B68" s="29">
        <v>65</v>
      </c>
      <c r="C68" s="42">
        <v>8.836233079950663</v>
      </c>
      <c r="D68" s="28">
        <f>stableMED[[#This Row],[Flow 
(L h-1)]]/1000*24</f>
        <v>0.21206959391881591</v>
      </c>
      <c r="E68" s="42">
        <f>IF(IFERROR(Information!$R$47/stableMED[[#This Row],[Flow 
(m3 d-1)]]*24,0)&lt;0,0,IFERROR(Information!$R$47/stableMED[[#This Row],[Flow 
(m3 d-1)]]*24,0))</f>
        <v>135.80447563371655</v>
      </c>
      <c r="F68" s="42">
        <v>7.796880210451433</v>
      </c>
      <c r="G68" s="42">
        <v>0.24402030561531801</v>
      </c>
      <c r="H68" s="41">
        <v>30.8651054604771</v>
      </c>
      <c r="I68" s="130">
        <v>718</v>
      </c>
      <c r="J68" s="130">
        <v>199</v>
      </c>
      <c r="K68" s="29">
        <v>980</v>
      </c>
      <c r="L68" s="29">
        <f>stableMED[[#This Row],[COD 
(mg L-1)]]*Information!$AK$42</f>
        <v>695.8</v>
      </c>
      <c r="M68" s="29">
        <v>1856</v>
      </c>
      <c r="N68" s="29">
        <v>8.3000000000000007</v>
      </c>
      <c r="O68" s="29">
        <v>34</v>
      </c>
      <c r="P68" s="29">
        <v>13</v>
      </c>
      <c r="Q68" s="29">
        <v>6.62</v>
      </c>
      <c r="R68" s="29">
        <v>23</v>
      </c>
      <c r="S68" s="4">
        <f>stableMED[[#This Row],[NH4-N 
(mg L-1)]]*1.288</f>
        <v>641.82328000000007</v>
      </c>
      <c r="T68" s="6">
        <f>stableMED[[#This Row],[NO2-N 
(mg L-1)]]*3.284</f>
        <v>55.933087999999998</v>
      </c>
      <c r="U68" s="6">
        <f>(stableMED[[#This Row],[NO3-N 
(mg L-1)]])*4.426</f>
        <v>26.414368</v>
      </c>
      <c r="V68" s="6">
        <v>498.31</v>
      </c>
      <c r="W68" s="6">
        <v>17.032</v>
      </c>
      <c r="X68" s="4">
        <f>IF(stableMED[[#This Row],[TON 
(mg L-1)]]-stableMED[[#This Row],[NO2-N 
(mg L-1)]]&lt;0,0.192,stableMED[[#This Row],[TON 
(mg L-1)]]-stableMED[[#This Row],[NO2-N 
(mg L-1)]])</f>
        <v>5.968</v>
      </c>
      <c r="Y68" s="4">
        <f>SUM(stableMED[[#This Row],[NH4-N 
(mg L-1)]],stableMED[[#This Row],[NO3-N 
(mg L-1)]],stableMED[[#This Row],[NO2-N 
(mg L-1)]])</f>
        <v>521.31000000000006</v>
      </c>
      <c r="Z68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8.2001676307726125E-3</v>
      </c>
      <c r="AA68" s="48">
        <f>IF(IFERROR(stableMED[[#This Row],[NO2-N 
(mg L-1)]]/stableMED[[#This Row],[NH4-N 
(mg L-1)]],0)&lt;0,0,IFERROR(stableMED[[#This Row],[NO2-N 
(mg L-1)]]/stableMED[[#This Row],[NH4-N 
(mg L-1)]],0))</f>
        <v>3.4179526800585981E-2</v>
      </c>
      <c r="AB68" s="48">
        <f>stableMED[[#This Row],[NO2-N 
(mg L-1)]]/(stableMED[[#This Row],[NO3-N 
(mg L-1)]]+stableMED[[#This Row],[NO2-N 
(mg L-1)]])</f>
        <v>0.74052173913043473</v>
      </c>
      <c r="AC68" s="20">
        <f>46/14*stableMED[[#This Row],[NO2-N 
(mg L-1)]]/(EXP(-2300/(stableMED[[#This Row],[Temp. 
(°C)]]+273))*10^(stableMED[[#This Row],[pHreactor]]))</f>
        <v>1.7308303703537121E-3</v>
      </c>
      <c r="AD68" s="6">
        <f>17/14*stableMED[NH4-N 
(mg L-1)]*10^stableMED[[#This Row],[pHreactor]]/(EXP((6344/(273+stableMED[[#This Row],[Temp. 
(°C)]])))+10^stableMED[pHreactor])</f>
        <v>30.826789004539517</v>
      </c>
      <c r="AE68" s="6">
        <f>Influent[[#This Row],[NH4-N (mg L-1)]]*stableMED[[#This Row],[Flow 
(m3 d-1)]]/(Information!$R$48*Information!$R$49)</f>
        <v>0.54170526896637528</v>
      </c>
      <c r="AF68" s="6">
        <f>(Influent[[#This Row],[NH4-N (mg L-1)]]-stableMED[[#This Row],[NH4-N 
(mg L-1)]])*stableMED[[#This Row],[Flow 
(m3 d-1)]]/(Information!$R$48*Information!$R$49)</f>
        <v>0.32154610366286462</v>
      </c>
      <c r="AG68" s="6">
        <f>Influent[[#This Row],[COD (mg L-1)]]*stableMED[[#This Row],[Flow 
(m3 d-1)]]/(Information!$R$48*Information!$R$49)</f>
        <v>1.2790447383228585</v>
      </c>
      <c r="AH68" s="6">
        <f>(Influent[[#This Row],[COD (mg L-1)]]-stableMED[[#This Row],[COD 
(mg L-1)]])*stableMED[[#This Row],[Flow 
(m3 d-1)]]/(Information!$R$48*Information!$R$49)</f>
        <v>0.84606931740527591</v>
      </c>
      <c r="AI68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704.79</v>
      </c>
      <c r="AJ68" s="6">
        <f>IFERROR(IF(Influent[[#This Row],[COD (mg L-1)]]-stableMED[[#This Row],[COD 
(mg L-1)]]&lt;0,0,Influent[[#This Row],[COD (mg L-1)]]-stableMED[[#This Row],[COD 
(mg L-1)]]),0)</f>
        <v>1915</v>
      </c>
      <c r="AK68" s="6">
        <f>IFERROR(IF(Influent[[#This Row],[Alkalinity (mg CaCO3 L-1) ]]-stableMED[[#This Row],[Alkalinity 
(mg CaCO3 L-1) ]]&lt;0,0,Influent[[#This Row],[Alkalinity (mg CaCO3 L-1) ]]-stableMED[[#This Row],[Alkalinity 
(mg CaCO3 L-1) ]]),0)</f>
        <v>2773</v>
      </c>
      <c r="AL68" s="6">
        <f>Influent[[#This Row],[COD (mg L-1)]]/stableMED[[#This Row],[HRT 
(h)]]*24/1000</f>
        <v>0.51161789532914348</v>
      </c>
      <c r="AM68" s="6">
        <f>IF(((stableMED[[#This Row],[ΔC (mg L-1)]])*24/stableMED[[#This Row],[HRT 
(h)]]/1000) &lt;0,0, (stableMED[[#This Row],[ΔC (mg L-1)]])*24/stableMED[[#This Row],[HRT 
(h)]]/1000)</f>
        <v>0.33842772696211038</v>
      </c>
      <c r="AN68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0.12861844146514584</v>
      </c>
      <c r="AO68" s="6">
        <f>Influent[[#This Row],[TN (mg L-1)]]/stableMED[[#This Row],[HRT 
(h)]]*24/1000</f>
        <v>0.21671745251886995</v>
      </c>
      <c r="AP68" s="6">
        <f>stableMED[[#This Row],[NRE 
(%)]]*stableMED[[#This Row],[NLR 
(kg N m-3 d-1)]]</f>
        <v>0.12458911918068834</v>
      </c>
      <c r="AQ68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0.59358127395807847</v>
      </c>
      <c r="AR68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0.57489195139851579</v>
      </c>
      <c r="AS68" s="48"/>
      <c r="AT68" s="48"/>
      <c r="AU68" s="48"/>
      <c r="AV68" s="6"/>
      <c r="AW68" s="21"/>
      <c r="AX68" s="21"/>
      <c r="AY68" s="6">
        <f>stableMED[[#This Row],[NH4-N 
(mg L-1)]]-20</f>
        <v>478.31</v>
      </c>
      <c r="AZ68" s="6">
        <f>stableMED[[#This Row],[Ammonia residual to reach target]]*2.9</f>
        <v>1387.0989999999999</v>
      </c>
      <c r="BA68" s="6">
        <f>stableMED[[#This Row],[Alkalinity 
(mg CaCO3 L-1) ]]-stableMED[[#This Row],[Alkalinity need]]-70</f>
        <v>398.90100000000007</v>
      </c>
    </row>
    <row r="69" spans="1:53" x14ac:dyDescent="0.3">
      <c r="A69" s="128">
        <v>43392</v>
      </c>
      <c r="B69" s="29">
        <v>66</v>
      </c>
      <c r="C69" s="42">
        <v>9.2482536438230589</v>
      </c>
      <c r="D69" s="28">
        <f>stableMED[[#This Row],[Flow 
(L h-1)]]/1000*24</f>
        <v>0.22195808745175341</v>
      </c>
      <c r="E69" s="42">
        <f>IF(IFERROR(Information!$R$47/stableMED[[#This Row],[Flow 
(m3 d-1)]]*24,0)&lt;0,0,IFERROR(Information!$R$47/stableMED[[#This Row],[Flow 
(m3 d-1)]]*24,0))</f>
        <v>129.75422671300589</v>
      </c>
      <c r="F69" s="42">
        <v>7.8244461976832209</v>
      </c>
      <c r="G69" s="42">
        <v>0.32461081209363973</v>
      </c>
      <c r="H69" s="41">
        <v>30.900310206520849</v>
      </c>
      <c r="I69" s="41">
        <f>stableMED[[#This Row],[MLVSS 
(mg L-1)]]/0.41</f>
        <v>682.92682926829275</v>
      </c>
      <c r="J69" s="130">
        <f>140*2</f>
        <v>280</v>
      </c>
      <c r="K69" s="29">
        <v>1015</v>
      </c>
      <c r="L69" s="29">
        <f>stableMED[[#This Row],[COD 
(mg L-1)]]*Information!$AK$42</f>
        <v>720.65</v>
      </c>
      <c r="M69" s="29">
        <v>2077</v>
      </c>
      <c r="N69" s="29">
        <v>8.4</v>
      </c>
      <c r="O69" s="29">
        <v>50</v>
      </c>
      <c r="Q69" s="29">
        <v>7.44</v>
      </c>
      <c r="R69" s="29">
        <v>10.5</v>
      </c>
      <c r="S69" s="4">
        <f>stableMED[[#This Row],[NH4-N 
(mg L-1)]]*1.288</f>
        <v>682.57560000000012</v>
      </c>
      <c r="T69" s="6">
        <f>stableMED[[#This Row],[NO2-N 
(mg L-1)]]*3.284</f>
        <v>50.494783999999996</v>
      </c>
      <c r="U69" s="6">
        <f>(stableMED[[#This Row],[NO3-N 
(mg L-1)]])*4.426</f>
        <v>0.8497920000000001</v>
      </c>
      <c r="V69" s="6">
        <v>529.95000000000005</v>
      </c>
      <c r="W69" s="6">
        <v>15.375999999999999</v>
      </c>
      <c r="X69" s="4">
        <f>IF(stableMED[[#This Row],[TON 
(mg L-1)]]-stableMED[[#This Row],[NO2-N 
(mg L-1)]]&lt;0,0.192,stableMED[[#This Row],[TON 
(mg L-1)]]-stableMED[[#This Row],[NO2-N 
(mg L-1)]])</f>
        <v>0.192</v>
      </c>
      <c r="Y69" s="4">
        <f>SUM(stableMED[[#This Row],[NH4-N 
(mg L-1)]],stableMED[[#This Row],[NO3-N 
(mg L-1)]],stableMED[[#This Row],[NO2-N 
(mg L-1)]])</f>
        <v>545.51800000000003</v>
      </c>
      <c r="Z69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2.7791850618802931E-4</v>
      </c>
      <c r="AA69" s="48">
        <f>IF(IFERROR(stableMED[[#This Row],[NO2-N 
(mg L-1)]]/stableMED[[#This Row],[NH4-N 
(mg L-1)]],0)&lt;0,0,IFERROR(stableMED[[#This Row],[NO2-N 
(mg L-1)]]/stableMED[[#This Row],[NH4-N 
(mg L-1)]],0))</f>
        <v>2.9014057929993391E-2</v>
      </c>
      <c r="AB69" s="48">
        <f>stableMED[[#This Row],[NO2-N 
(mg L-1)]]/(stableMED[[#This Row],[NO3-N 
(mg L-1)]]+stableMED[[#This Row],[NO2-N 
(mg L-1)]])</f>
        <v>0.98766700924974304</v>
      </c>
      <c r="AC69" s="20">
        <f>46/14*stableMED[[#This Row],[NO2-N 
(mg L-1)]]/(EXP(-2300/(stableMED[[#This Row],[Temp. 
(°C)]]+273))*10^(stableMED[[#This Row],[pHreactor]]))</f>
        <v>1.4651612961863797E-3</v>
      </c>
      <c r="AD69" s="6">
        <f>17/14*stableMED[NH4-N 
(mg L-1)]*10^stableMED[[#This Row],[pHreactor]]/(EXP((6344/(273+stableMED[[#This Row],[Temp. 
(°C)]])))+10^stableMED[pHreactor])</f>
        <v>34.895992260954301</v>
      </c>
      <c r="AE69" s="6">
        <f>Influent[[#This Row],[NH4-N (mg L-1)]]*stableMED[[#This Row],[Flow 
(m3 d-1)]]/(Information!$R$48*Information!$R$49)</f>
        <v>0.56451340241895953</v>
      </c>
      <c r="AF69" s="6">
        <f>(Influent[[#This Row],[NH4-N (mg L-1)]]-stableMED[[#This Row],[NH4-N 
(mg L-1)]])*stableMED[[#This Row],[Flow 
(m3 d-1)]]/(Information!$R$48*Information!$R$49)</f>
        <v>0.31945780149175795</v>
      </c>
      <c r="AG69" s="6">
        <f>Influent[[#This Row],[COD (mg L-1)]]*stableMED[[#This Row],[Flow 
(m3 d-1)]]/(Information!$R$48*Information!$R$49)</f>
        <v>1.276259002847582</v>
      </c>
      <c r="AH69" s="6">
        <f>(Influent[[#This Row],[COD (mg L-1)]]-stableMED[[#This Row],[COD 
(mg L-1)]])*stableMED[[#This Row],[Flow 
(m3 d-1)]]/(Information!$R$48*Information!$R$49)</f>
        <v>0.80691013042356186</v>
      </c>
      <c r="AI69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675.28199999999993</v>
      </c>
      <c r="AJ69" s="6">
        <f>IFERROR(IF(Influent[[#This Row],[COD (mg L-1)]]-stableMED[[#This Row],[COD 
(mg L-1)]]&lt;0,0,Influent[[#This Row],[COD (mg L-1)]]-stableMED[[#This Row],[COD 
(mg L-1)]]),0)</f>
        <v>1745</v>
      </c>
      <c r="AK69" s="6">
        <f>IFERROR(IF(Influent[[#This Row],[Alkalinity (mg CaCO3 L-1) ]]-stableMED[[#This Row],[Alkalinity 
(mg CaCO3 L-1) ]]&lt;0,0,Influent[[#This Row],[Alkalinity (mg CaCO3 L-1) ]]-stableMED[[#This Row],[Alkalinity 
(mg CaCO3 L-1) ]]),0)</f>
        <v>2435</v>
      </c>
      <c r="AL69" s="6">
        <f>Influent[[#This Row],[COD (mg L-1)]]/stableMED[[#This Row],[HRT 
(h)]]*24/1000</f>
        <v>0.51050360113903281</v>
      </c>
      <c r="AM69" s="6">
        <f>IF(((stableMED[[#This Row],[ΔC (mg L-1)]])*24/stableMED[[#This Row],[HRT 
(h)]]/1000) &lt;0,0, (stableMED[[#This Row],[ΔC (mg L-1)]])*24/stableMED[[#This Row],[HRT 
(h)]]/1000)</f>
        <v>0.32276405216942478</v>
      </c>
      <c r="AN69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0.12778312059670319</v>
      </c>
      <c r="AO69" s="6">
        <f>Influent[[#This Row],[TN (mg L-1)]]/stableMED[[#This Row],[HRT 
(h)]]*24/1000</f>
        <v>0.22584235398215913</v>
      </c>
      <c r="AP69" s="6">
        <f>stableMED[[#This Row],[NRE 
(%)]]*stableMED[[#This Row],[NLR 
(kg N m-3 d-1)]]</f>
        <v>0.12494057735673778</v>
      </c>
      <c r="AQ69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0.56589941022280466</v>
      </c>
      <c r="AR69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0.55322031122031123</v>
      </c>
      <c r="AS69" s="48">
        <f>48/30</f>
        <v>1.6</v>
      </c>
      <c r="AT69" s="48">
        <v>1.2609999999999999</v>
      </c>
      <c r="AU69" s="48">
        <v>0.64700000000000002</v>
      </c>
      <c r="AV69" s="6">
        <f>stableMED[[#This Row],[SAAcarrier
(g N g VSS-1d-1)]]+stableMED[[#This Row],[SAAsuspension
(g N g VSS-1d-1)]]</f>
        <v>1.9079999999999999</v>
      </c>
      <c r="AW69" s="21">
        <f>stableMED[[#This Row],[SAAcarrier
(g N g VSS-1d-1)]]/MAX(stableMED[SAAcombined
(g N g VSS-1d-1)])</f>
        <v>0.61572265624999989</v>
      </c>
      <c r="AX69" s="21">
        <f>stableMED[[#This Row],[SAAsuspension
(g N g VSS-1d-1)]]/MAX(stableMED[SAAcombined
(g N g VSS-1d-1)])</f>
        <v>0.31591796875</v>
      </c>
      <c r="AY69" s="6">
        <f>stableMED[[#This Row],[NH4-N 
(mg L-1)]]-20</f>
        <v>509.95000000000005</v>
      </c>
      <c r="AZ69" s="6">
        <f>stableMED[[#This Row],[Ammonia residual to reach target]]*2.9</f>
        <v>1478.855</v>
      </c>
      <c r="BA69" s="6">
        <f>stableMED[[#This Row],[Alkalinity 
(mg CaCO3 L-1) ]]-stableMED[[#This Row],[Alkalinity need]]-70</f>
        <v>528.14499999999998</v>
      </c>
    </row>
    <row r="70" spans="1:53" x14ac:dyDescent="0.3">
      <c r="A70" s="128">
        <v>43393</v>
      </c>
      <c r="B70" s="29">
        <v>67</v>
      </c>
      <c r="C70" s="42">
        <v>9.4499305777564633</v>
      </c>
      <c r="D70" s="28">
        <f>stableMED[[#This Row],[Flow 
(L h-1)]]/1000*24</f>
        <v>0.22679833386615511</v>
      </c>
      <c r="E70" s="42">
        <f>IF(IFERROR(Information!$R$47/stableMED[[#This Row],[Flow 
(m3 d-1)]]*24,0)&lt;0,0,IFERROR(Information!$R$47/stableMED[[#This Row],[Flow 
(m3 d-1)]]*24,0))</f>
        <v>126.98505985055561</v>
      </c>
      <c r="F70" s="42">
        <v>7.8067275270411063</v>
      </c>
      <c r="G70" s="42">
        <v>0.31200537969723874</v>
      </c>
      <c r="H70" s="41">
        <v>30.853061006698951</v>
      </c>
      <c r="I70" s="130"/>
      <c r="J70" s="130"/>
      <c r="K70" s="29">
        <v>1050</v>
      </c>
      <c r="L70" s="29">
        <f>stableMED[[#This Row],[COD 
(mg L-1)]]*Information!$AK$42</f>
        <v>745.5</v>
      </c>
      <c r="M70" s="29">
        <v>2252</v>
      </c>
      <c r="N70" s="29">
        <v>8.3000000000000007</v>
      </c>
      <c r="O70" s="29">
        <v>43.3</v>
      </c>
      <c r="Q70" s="29">
        <v>8.02</v>
      </c>
      <c r="R70" s="29">
        <v>6.6</v>
      </c>
      <c r="S70" s="4">
        <f>stableMED[[#This Row],[NH4-N 
(mg L-1)]]*1.288</f>
        <v>746.71800000000007</v>
      </c>
      <c r="T70" s="6">
        <f>stableMED[[#This Row],[NO2-N 
(mg L-1)]]*3.284</f>
        <v>14.705751999999999</v>
      </c>
      <c r="U70" s="6">
        <f>(stableMED[[#This Row],[NO3-N 
(mg L-1)]])*4.426</f>
        <v>9.3919719999999991</v>
      </c>
      <c r="V70" s="6">
        <v>579.75</v>
      </c>
      <c r="W70" s="6">
        <v>4.4779999999999998</v>
      </c>
      <c r="X70" s="4">
        <f>IF(stableMED[[#This Row],[TON 
(mg L-1)]]-stableMED[[#This Row],[NO2-N 
(mg L-1)]]&lt;0,0.192,stableMED[[#This Row],[TON 
(mg L-1)]]-stableMED[[#This Row],[NO2-N 
(mg L-1)]])</f>
        <v>2.1219999999999999</v>
      </c>
      <c r="Y70" s="4">
        <f>SUM(stableMED[[#This Row],[NH4-N 
(mg L-1)]],stableMED[[#This Row],[NO3-N 
(mg L-1)]],stableMED[[#This Row],[NO2-N 
(mg L-1)]])</f>
        <v>586.34999999999991</v>
      </c>
      <c r="Z70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3.2578490826744456E-3</v>
      </c>
      <c r="AA70" s="48">
        <f>IF(IFERROR(stableMED[[#This Row],[NO2-N 
(mg L-1)]]/stableMED[[#This Row],[NH4-N 
(mg L-1)]],0)&lt;0,0,IFERROR(stableMED[[#This Row],[NO2-N 
(mg L-1)]]/stableMED[[#This Row],[NH4-N 
(mg L-1)]],0))</f>
        <v>7.7240189736955582E-3</v>
      </c>
      <c r="AB70" s="48">
        <f>stableMED[[#This Row],[NO2-N 
(mg L-1)]]/(stableMED[[#This Row],[NO3-N 
(mg L-1)]]+stableMED[[#This Row],[NO2-N 
(mg L-1)]])</f>
        <v>0.67848484848484847</v>
      </c>
      <c r="AC70" s="20">
        <f>46/14*stableMED[[#This Row],[NO2-N 
(mg L-1)]]/(EXP(-2300/(stableMED[[#This Row],[Temp. 
(°C)]]+273))*10^(stableMED[[#This Row],[pHreactor]]))</f>
        <v>4.4499582291710957E-4</v>
      </c>
      <c r="AD70" s="6">
        <f>17/14*stableMED[NH4-N 
(mg L-1)]*10^stableMED[[#This Row],[pHreactor]]/(EXP((6344/(273+stableMED[[#This Row],[Temp. 
(°C)]])))+10^stableMED[pHreactor])</f>
        <v>36.615834707482406</v>
      </c>
      <c r="AE70" s="6">
        <f>Influent[[#This Row],[NH4-N (mg L-1)]]*stableMED[[#This Row],[Flow 
(m3 d-1)]]/(Information!$R$48*Information!$R$49)</f>
        <v>0.58169047671379903</v>
      </c>
      <c r="AF70" s="6">
        <f>(Influent[[#This Row],[NH4-N (mg L-1)]]-stableMED[[#This Row],[NH4-N 
(mg L-1)]])*stableMED[[#This Row],[Flow 
(m3 d-1)]]/(Information!$R$48*Information!$R$49)</f>
        <v>0.30776061409108357</v>
      </c>
      <c r="AG70" s="6">
        <f>Influent[[#This Row],[COD (mg L-1)]]*stableMED[[#This Row],[Flow 
(m3 d-1)]]/(Information!$R$48*Information!$R$49)</f>
        <v>1.3513400726191742</v>
      </c>
      <c r="AH70" s="6">
        <f>(Influent[[#This Row],[COD (mg L-1)]]-stableMED[[#This Row],[COD 
(mg L-1)]])*stableMED[[#This Row],[Flow 
(m3 d-1)]]/(Information!$R$48*Information!$R$49)</f>
        <v>0.85521871728695986</v>
      </c>
      <c r="AI70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644.75</v>
      </c>
      <c r="AJ70" s="6">
        <f>IFERROR(IF(Influent[[#This Row],[COD (mg L-1)]]-stableMED[[#This Row],[COD 
(mg L-1)]]&lt;0,0,Influent[[#This Row],[COD (mg L-1)]]-stableMED[[#This Row],[COD 
(mg L-1)]]),0)</f>
        <v>1810</v>
      </c>
      <c r="AK70" s="6">
        <f>IFERROR(IF(Influent[[#This Row],[Alkalinity (mg CaCO3 L-1) ]]-stableMED[[#This Row],[Alkalinity 
(mg CaCO3 L-1) ]]&lt;0,0,Influent[[#This Row],[Alkalinity (mg CaCO3 L-1) ]]-stableMED[[#This Row],[Alkalinity 
(mg CaCO3 L-1) ]]),0)</f>
        <v>2239</v>
      </c>
      <c r="AL70" s="6">
        <f>Influent[[#This Row],[COD (mg L-1)]]/stableMED[[#This Row],[HRT 
(h)]]*24/1000</f>
        <v>0.54053602904766962</v>
      </c>
      <c r="AM70" s="6">
        <f>IF(((stableMED[[#This Row],[ΔC (mg L-1)]])*24/stableMED[[#This Row],[HRT 
(h)]]/1000) &lt;0,0, (stableMED[[#This Row],[ΔC (mg L-1)]])*24/stableMED[[#This Row],[HRT 
(h)]]/1000)</f>
        <v>0.34208748691478391</v>
      </c>
      <c r="AN70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0.12310424563643341</v>
      </c>
      <c r="AO70" s="6">
        <f>Influent[[#This Row],[TN (mg L-1)]]/stableMED[[#This Row],[HRT 
(h)]]*24/1000</f>
        <v>0.2342949637934893</v>
      </c>
      <c r="AP70" s="6">
        <f>stableMED[[#This Row],[NRE 
(%)]]*stableMED[[#This Row],[NLR 
(kg N m-3 d-1)]]</f>
        <v>0.12347562790813928</v>
      </c>
      <c r="AQ70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0.52907968483470069</v>
      </c>
      <c r="AR70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0.52700931299988307</v>
      </c>
      <c r="AS70" s="48"/>
      <c r="AT70" s="48"/>
      <c r="AU70" s="48"/>
      <c r="AV70" s="6"/>
      <c r="AW70" s="21"/>
      <c r="AX70" s="21"/>
      <c r="AY70" s="6">
        <f>stableMED[[#This Row],[NH4-N 
(mg L-1)]]-20</f>
        <v>559.75</v>
      </c>
      <c r="AZ70" s="6">
        <f>stableMED[[#This Row],[Ammonia residual to reach target]]*2.9</f>
        <v>1623.2749999999999</v>
      </c>
      <c r="BA70" s="6">
        <f>stableMED[[#This Row],[Alkalinity 
(mg CaCO3 L-1) ]]-stableMED[[#This Row],[Alkalinity need]]-70</f>
        <v>558.72500000000014</v>
      </c>
    </row>
    <row r="71" spans="1:53" x14ac:dyDescent="0.3">
      <c r="A71" s="128">
        <v>43394</v>
      </c>
      <c r="B71" s="29">
        <v>68</v>
      </c>
      <c r="C71" s="42">
        <v>11.537345973785781</v>
      </c>
      <c r="D71" s="28">
        <f>stableMED[[#This Row],[Flow 
(L h-1)]]/1000*24</f>
        <v>0.27689630337085874</v>
      </c>
      <c r="E71" s="42">
        <f>IF(IFERROR(Information!$R$47/stableMED[[#This Row],[Flow 
(m3 d-1)]]*24,0)&lt;0,0,IFERROR(Information!$R$47/stableMED[[#This Row],[Flow 
(m3 d-1)]]*24,0))</f>
        <v>104.01005592850751</v>
      </c>
      <c r="F71" s="42">
        <v>7.7782950412891925</v>
      </c>
      <c r="G71" s="42">
        <v>0.40876518529204603</v>
      </c>
      <c r="H71" s="41">
        <v>30.879448339534441</v>
      </c>
      <c r="I71" s="130"/>
      <c r="J71" s="130"/>
      <c r="K71" s="29">
        <v>1075</v>
      </c>
      <c r="L71" s="29">
        <f>stableMED[[#This Row],[COD 
(mg L-1)]]*Information!$AK$42</f>
        <v>763.25</v>
      </c>
      <c r="M71" s="29">
        <v>2291</v>
      </c>
      <c r="N71" s="29">
        <v>8.4</v>
      </c>
      <c r="O71" s="29">
        <v>70</v>
      </c>
      <c r="Q71" s="29">
        <v>8.9</v>
      </c>
      <c r="R71" s="29">
        <v>5.5</v>
      </c>
      <c r="S71" s="4">
        <f>stableMED[[#This Row],[NH4-N 
(mg L-1)]]*1.288</f>
        <v>788.03704000000005</v>
      </c>
      <c r="T71" s="6">
        <f>stableMED[[#This Row],[NO2-N 
(mg L-1)]]*3.284</f>
        <v>14.420043999999999</v>
      </c>
      <c r="U71" s="6">
        <f>(stableMED[[#This Row],[NO3-N 
(mg L-1)]])*4.426</f>
        <v>4.9084339999999997</v>
      </c>
      <c r="V71" s="6">
        <v>611.83000000000004</v>
      </c>
      <c r="W71" s="6">
        <v>4.391</v>
      </c>
      <c r="X71" s="4">
        <f>IF(stableMED[[#This Row],[TON 
(mg L-1)]]-stableMED[[#This Row],[NO2-N 
(mg L-1)]]&lt;0,0.192,stableMED[[#This Row],[TON 
(mg L-1)]]-stableMED[[#This Row],[NO2-N 
(mg L-1)]])</f>
        <v>1.109</v>
      </c>
      <c r="Y71" s="4">
        <f>SUM(stableMED[[#This Row],[NH4-N 
(mg L-1)]],stableMED[[#This Row],[NO3-N 
(mg L-1)]],stableMED[[#This Row],[NO2-N 
(mg L-1)]])</f>
        <v>617.33000000000004</v>
      </c>
      <c r="Z71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1.8190168451785393E-3</v>
      </c>
      <c r="AA71" s="48">
        <f>IF(IFERROR(stableMED[[#This Row],[NO2-N 
(mg L-1)]]/stableMED[[#This Row],[NH4-N 
(mg L-1)]],0)&lt;0,0,IFERROR(stableMED[[#This Row],[NO2-N 
(mg L-1)]]/stableMED[[#This Row],[NH4-N 
(mg L-1)]],0))</f>
        <v>7.1768301652419784E-3</v>
      </c>
      <c r="AB71" s="48">
        <f>stableMED[[#This Row],[NO2-N 
(mg L-1)]]/(stableMED[[#This Row],[NO3-N 
(mg L-1)]]+stableMED[[#This Row],[NO2-N 
(mg L-1)]])</f>
        <v>0.79836363636363639</v>
      </c>
      <c r="AC71" s="20">
        <f>46/14*stableMED[[#This Row],[NO2-N 
(mg L-1)]]/(EXP(-2300/(stableMED[[#This Row],[Temp. 
(°C)]]+273))*10^(stableMED[[#This Row],[pHreactor]]))</f>
        <v>4.655671289595832E-4</v>
      </c>
      <c r="AD71" s="6">
        <f>17/14*stableMED[NH4-N 
(mg L-1)]*10^stableMED[[#This Row],[pHreactor]]/(EXP((6344/(273+stableMED[[#This Row],[Temp. 
(°C)]])))+10^stableMED[pHreactor])</f>
        <v>36.375515178946017</v>
      </c>
      <c r="AE71" s="6">
        <f>Influent[[#This Row],[NH4-N (mg L-1)]]*stableMED[[#This Row],[Flow 
(m3 d-1)]]/(Information!$R$48*Information!$R$49)</f>
        <v>0.70464340534896652</v>
      </c>
      <c r="AF71" s="6">
        <f>(Influent[[#This Row],[NH4-N (mg L-1)]]-stableMED[[#This Row],[NH4-N 
(mg L-1)]])*stableMED[[#This Row],[Flow 
(m3 d-1)]]/(Information!$R$48*Information!$R$49)</f>
        <v>0.3516986859918988</v>
      </c>
      <c r="AG71" s="6">
        <f>Influent[[#This Row],[COD (mg L-1)]]*stableMED[[#This Row],[Flow 
(m3 d-1)]]/(Information!$R$48*Information!$R$49)</f>
        <v>1.5604260429545269</v>
      </c>
      <c r="AH71" s="6">
        <f>(Influent[[#This Row],[COD (mg L-1)]]-stableMED[[#This Row],[COD 
(mg L-1)]])*stableMED[[#This Row],[Flow 
(m3 d-1)]]/(Information!$R$48*Information!$R$49)</f>
        <v>0.94029369686354114</v>
      </c>
      <c r="AI71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604.16999999999996</v>
      </c>
      <c r="AJ71" s="6">
        <f>IFERROR(IF(Influent[[#This Row],[COD (mg L-1)]]-stableMED[[#This Row],[COD 
(mg L-1)]]&lt;0,0,Influent[[#This Row],[COD (mg L-1)]]-stableMED[[#This Row],[COD 
(mg L-1)]]),0)</f>
        <v>1630</v>
      </c>
      <c r="AK71" s="6">
        <f>IFERROR(IF(Influent[[#This Row],[Alkalinity (mg CaCO3 L-1) ]]-stableMED[[#This Row],[Alkalinity 
(mg CaCO3 L-1) ]]&lt;0,0,Influent[[#This Row],[Alkalinity (mg CaCO3 L-1) ]]-stableMED[[#This Row],[Alkalinity 
(mg CaCO3 L-1) ]]),0)</f>
        <v>2175</v>
      </c>
      <c r="AL71" s="6">
        <f>Influent[[#This Row],[COD (mg L-1)]]/stableMED[[#This Row],[HRT 
(h)]]*24/1000</f>
        <v>0.62417041718181077</v>
      </c>
      <c r="AM71" s="6">
        <f>IF(((stableMED[[#This Row],[ΔC (mg L-1)]])*24/stableMED[[#This Row],[HRT 
(h)]]/1000) &lt;0,0, (stableMED[[#This Row],[ΔC (mg L-1)]])*24/stableMED[[#This Row],[HRT 
(h)]]/1000)</f>
        <v>0.37611747874541646</v>
      </c>
      <c r="AN71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0.14067947439675954</v>
      </c>
      <c r="AO71" s="6">
        <f>Influent[[#This Row],[TN (mg L-1)]]/stableMED[[#This Row],[HRT 
(h)]]*24/1000</f>
        <v>0.28190351152348175</v>
      </c>
      <c r="AP71" s="6">
        <f>stableMED[[#This Row],[NRE 
(%)]]*stableMED[[#This Row],[NLR 
(kg N m-3 d-1)]]</f>
        <v>0.13945651572353823</v>
      </c>
      <c r="AQ71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0.49911584117887842</v>
      </c>
      <c r="AR71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0.49469591552754355</v>
      </c>
      <c r="AS71" s="48"/>
      <c r="AT71" s="48"/>
      <c r="AU71" s="48"/>
      <c r="AV71" s="6"/>
      <c r="AW71" s="21"/>
      <c r="AX71" s="21"/>
      <c r="AY71" s="6">
        <f>stableMED[[#This Row],[NH4-N 
(mg L-1)]]-20</f>
        <v>591.83000000000004</v>
      </c>
      <c r="AZ71" s="6">
        <f>stableMED[[#This Row],[Ammonia residual to reach target]]*2.9</f>
        <v>1716.307</v>
      </c>
      <c r="BA71" s="6">
        <f>stableMED[[#This Row],[Alkalinity 
(mg CaCO3 L-1) ]]-stableMED[[#This Row],[Alkalinity need]]-70</f>
        <v>504.69299999999998</v>
      </c>
    </row>
    <row r="72" spans="1:53" x14ac:dyDescent="0.3">
      <c r="A72" s="128">
        <v>43395</v>
      </c>
      <c r="B72" s="29">
        <v>69</v>
      </c>
      <c r="C72" s="42">
        <v>15.232037486652665</v>
      </c>
      <c r="D72" s="28">
        <f>stableMED[[#This Row],[Flow 
(L h-1)]]/1000*24</f>
        <v>0.36556889967966394</v>
      </c>
      <c r="E72" s="42">
        <f>IF(IFERROR(Information!$R$47/stableMED[[#This Row],[Flow 
(m3 d-1)]]*24,0)&lt;0,0,IFERROR(Information!$R$47/stableMED[[#This Row],[Flow 
(m3 d-1)]]*24,0))</f>
        <v>78.781318720592736</v>
      </c>
      <c r="F72" s="42">
        <v>7.75656460672979</v>
      </c>
      <c r="G72" s="42">
        <v>0.47933009363573814</v>
      </c>
      <c r="H72" s="41">
        <v>30.898301408920631</v>
      </c>
      <c r="I72" s="130"/>
      <c r="J72" s="130"/>
      <c r="K72" s="29">
        <v>1055</v>
      </c>
      <c r="L72" s="29">
        <f>stableMED[[#This Row],[COD 
(mg L-1)]]*Information!$AK$42</f>
        <v>749.05</v>
      </c>
      <c r="M72" s="29">
        <v>2338</v>
      </c>
      <c r="N72" s="29">
        <v>8.4</v>
      </c>
      <c r="O72" s="29">
        <v>63.3</v>
      </c>
      <c r="Q72" s="29">
        <v>8.35</v>
      </c>
      <c r="R72" s="29">
        <v>12.2</v>
      </c>
      <c r="S72" s="4">
        <f>stableMED[[#This Row],[NH4-N 
(mg L-1)]]*1.288</f>
        <v>784.54656</v>
      </c>
      <c r="T72" s="6">
        <f>stableMED[[#This Row],[NO2-N 
(mg L-1)]]*3.284</f>
        <v>28.406600000000001</v>
      </c>
      <c r="U72" s="6">
        <f>(stableMED[[#This Row],[NO3-N 
(mg L-1)]])*4.426</f>
        <v>15.712299999999995</v>
      </c>
      <c r="V72" s="6">
        <v>609.12</v>
      </c>
      <c r="W72" s="6">
        <v>8.65</v>
      </c>
      <c r="X72" s="4">
        <f>IF(stableMED[[#This Row],[TON 
(mg L-1)]]-stableMED[[#This Row],[NO2-N 
(mg L-1)]]&lt;0,0.192,stableMED[[#This Row],[TON 
(mg L-1)]]-stableMED[[#This Row],[NO2-N 
(mg L-1)]])</f>
        <v>3.5499999999999989</v>
      </c>
      <c r="Y72" s="4">
        <f>SUM(stableMED[[#This Row],[NH4-N 
(mg L-1)]],stableMED[[#This Row],[NO3-N 
(mg L-1)]],stableMED[[#This Row],[NO2-N 
(mg L-1)]])</f>
        <v>621.31999999999994</v>
      </c>
      <c r="Z72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5.5306287779647266E-3</v>
      </c>
      <c r="AA72" s="48">
        <f>IF(IFERROR(stableMED[[#This Row],[NO2-N 
(mg L-1)]]/stableMED[[#This Row],[NH4-N 
(mg L-1)]],0)&lt;0,0,IFERROR(stableMED[[#This Row],[NO2-N 
(mg L-1)]]/stableMED[[#This Row],[NH4-N 
(mg L-1)]],0))</f>
        <v>1.4200814289466773E-2</v>
      </c>
      <c r="AB72" s="48">
        <f>stableMED[[#This Row],[NO2-N 
(mg L-1)]]/(stableMED[[#This Row],[NO3-N 
(mg L-1)]]+stableMED[[#This Row],[NO2-N 
(mg L-1)]])</f>
        <v>0.70901639344262302</v>
      </c>
      <c r="AC72" s="20">
        <f>46/14*stableMED[[#This Row],[NO2-N 
(mg L-1)]]/(EXP(-2300/(stableMED[[#This Row],[Temp. 
(°C)]]+273))*10^(stableMED[[#This Row],[pHreactor]]))</f>
        <v>9.6374356742310729E-4</v>
      </c>
      <c r="AD72" s="6">
        <f>17/14*stableMED[NH4-N 
(mg L-1)]*10^stableMED[[#This Row],[pHreactor]]/(EXP((6344/(273+stableMED[[#This Row],[Temp. 
(°C)]])))+10^stableMED[pHreactor])</f>
        <v>34.57212141944521</v>
      </c>
      <c r="AE72" s="6">
        <f>Influent[[#This Row],[NH4-N (mg L-1)]]*stableMED[[#This Row],[Flow 
(m3 d-1)]]/(Information!$R$48*Information!$R$49)</f>
        <v>0.95276394479012416</v>
      </c>
      <c r="AF72" s="6">
        <f>(Influent[[#This Row],[NH4-N (mg L-1)]]-stableMED[[#This Row],[NH4-N 
(mg L-1)]])*stableMED[[#This Row],[Flow 
(m3 d-1)]]/(Information!$R$48*Information!$R$49)</f>
        <v>0.4888570110966306</v>
      </c>
      <c r="AG72" s="6">
        <f>Influent[[#This Row],[COD (mg L-1)]]*stableMED[[#This Row],[Flow 
(m3 d-1)]]/(Information!$R$48*Information!$R$49)</f>
        <v>1.7288362547350775</v>
      </c>
      <c r="AH72" s="6">
        <f>(Influent[[#This Row],[COD (mg L-1)]]-stableMED[[#This Row],[COD 
(mg L-1)]])*stableMED[[#This Row],[Flow 
(m3 d-1)]]/(Information!$R$48*Information!$R$49)</f>
        <v>0.92534627731414931</v>
      </c>
      <c r="AI72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629.68000000000006</v>
      </c>
      <c r="AJ72" s="6">
        <f>IFERROR(IF(Influent[[#This Row],[COD (mg L-1)]]-stableMED[[#This Row],[COD 
(mg L-1)]]&lt;0,0,Influent[[#This Row],[COD (mg L-1)]]-stableMED[[#This Row],[COD 
(mg L-1)]]),0)</f>
        <v>1215</v>
      </c>
      <c r="AK72" s="6">
        <f>IFERROR(IF(Influent[[#This Row],[Alkalinity (mg CaCO3 L-1) ]]-stableMED[[#This Row],[Alkalinity 
(mg CaCO3 L-1) ]]&lt;0,0,Influent[[#This Row],[Alkalinity (mg CaCO3 L-1) ]]-stableMED[[#This Row],[Alkalinity 
(mg CaCO3 L-1) ]]),0)</f>
        <v>2186</v>
      </c>
      <c r="AL72" s="6">
        <f>Influent[[#This Row],[COD (mg L-1)]]/stableMED[[#This Row],[HRT 
(h)]]*24/1000</f>
        <v>0.69153450189403098</v>
      </c>
      <c r="AM72" s="6">
        <f>IF(((stableMED[[#This Row],[ΔC (mg L-1)]])*24/stableMED[[#This Row],[HRT 
(h)]]/1000) &lt;0,0, (stableMED[[#This Row],[ΔC (mg L-1)]])*24/stableMED[[#This Row],[HRT 
(h)]]/1000)</f>
        <v>0.37013851092565975</v>
      </c>
      <c r="AN72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0.19554280443865227</v>
      </c>
      <c r="AO72" s="6">
        <f>Influent[[#This Row],[TN (mg L-1)]]/stableMED[[#This Row],[HRT 
(h)]]*24/1000</f>
        <v>0.38116650606599634</v>
      </c>
      <c r="AP72" s="6">
        <f>stableMED[[#This Row],[NRE 
(%)]]*stableMED[[#This Row],[NLR 
(kg N m-3 d-1)]]</f>
        <v>0.19188711544185566</v>
      </c>
      <c r="AQ72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0.51309352517985607</v>
      </c>
      <c r="AR72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0.50342071611253203</v>
      </c>
      <c r="AS72" s="48"/>
      <c r="AT72" s="48"/>
      <c r="AU72" s="48"/>
      <c r="AV72" s="6"/>
      <c r="AW72" s="21"/>
      <c r="AX72" s="21"/>
      <c r="AY72" s="6">
        <f>stableMED[[#This Row],[NH4-N 
(mg L-1)]]-20</f>
        <v>589.12</v>
      </c>
      <c r="AZ72" s="6">
        <f>stableMED[[#This Row],[Ammonia residual to reach target]]*2.9</f>
        <v>1708.4479999999999</v>
      </c>
      <c r="BA72" s="6">
        <f>stableMED[[#This Row],[Alkalinity 
(mg CaCO3 L-1) ]]-stableMED[[#This Row],[Alkalinity need]]-70</f>
        <v>559.55200000000013</v>
      </c>
    </row>
    <row r="73" spans="1:53" x14ac:dyDescent="0.3">
      <c r="A73" s="128">
        <v>43396</v>
      </c>
      <c r="B73" s="29">
        <v>70</v>
      </c>
      <c r="C73" s="42">
        <v>2.2412248351266921</v>
      </c>
      <c r="D73" s="28">
        <f>stableMED[[#This Row],[Flow 
(L h-1)]]/1000*24</f>
        <v>5.3789396043040616E-2</v>
      </c>
      <c r="E73" s="42">
        <f>IF(IFERROR(Information!$R$47/stableMED[[#This Row],[Flow 
(m3 d-1)]]*24,0)&lt;0,0,IFERROR(Information!$R$47/stableMED[[#This Row],[Flow 
(m3 d-1)]]*24,0))</f>
        <v>535.42151648170818</v>
      </c>
      <c r="F73" s="42">
        <v>7.8558365723524854</v>
      </c>
      <c r="G73" s="42">
        <v>0.87906325740642077</v>
      </c>
      <c r="H73" s="41">
        <v>29.496246962860116</v>
      </c>
      <c r="I73" s="130"/>
      <c r="J73" s="130"/>
      <c r="K73" s="29">
        <v>1345</v>
      </c>
      <c r="L73" s="29">
        <f>stableMED[[#This Row],[COD 
(mg L-1)]]*Information!$AK$42</f>
        <v>954.94999999999993</v>
      </c>
      <c r="M73" s="29">
        <v>2787</v>
      </c>
      <c r="N73" s="29">
        <v>8.4</v>
      </c>
      <c r="O73" s="29">
        <v>68</v>
      </c>
      <c r="P73" s="29">
        <v>13</v>
      </c>
      <c r="Q73" s="29">
        <v>11.24</v>
      </c>
      <c r="R73" s="29">
        <v>17.600000000000001</v>
      </c>
      <c r="S73" s="4">
        <f>stableMED[[#This Row],[NH4-N 
(mg L-1)]]*1.288</f>
        <v>971.30655999999999</v>
      </c>
      <c r="T73" s="6">
        <f>stableMED[[#This Row],[NO2-N 
(mg L-1)]]*3.284</f>
        <v>78.343103999999997</v>
      </c>
      <c r="U73" s="6">
        <f>(stableMED[[#This Row],[NO3-N 
(mg L-1)]])*4.426</f>
        <v>0.8497920000000001</v>
      </c>
      <c r="V73" s="6">
        <v>754.12</v>
      </c>
      <c r="W73" s="6">
        <v>23.856000000000002</v>
      </c>
      <c r="X73" s="4">
        <f>IF(stableMED[[#This Row],[TON 
(mg L-1)]]-stableMED[[#This Row],[NO2-N 
(mg L-1)]]&lt;0,0.192,stableMED[[#This Row],[TON 
(mg L-1)]]-stableMED[[#This Row],[NO2-N 
(mg L-1)]])</f>
        <v>0.192</v>
      </c>
      <c r="Y73" s="4">
        <f>SUM(stableMED[[#This Row],[NH4-N 
(mg L-1)]],stableMED[[#This Row],[NO3-N 
(mg L-1)]],stableMED[[#This Row],[NO2-N 
(mg L-1)]])</f>
        <v>778.16800000000001</v>
      </c>
      <c r="Z73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3.9926800865080689E-4</v>
      </c>
      <c r="AA73" s="48">
        <f>IF(IFERROR(stableMED[[#This Row],[NO2-N 
(mg L-1)]]/stableMED[[#This Row],[NH4-N 
(mg L-1)]],0)&lt;0,0,IFERROR(stableMED[[#This Row],[NO2-N 
(mg L-1)]]/stableMED[[#This Row],[NH4-N 
(mg L-1)]],0))</f>
        <v>3.1634222670132078E-2</v>
      </c>
      <c r="AB73" s="48">
        <f>stableMED[[#This Row],[NO2-N 
(mg L-1)]]/(stableMED[[#This Row],[NO3-N 
(mg L-1)]]+stableMED[[#This Row],[NO2-N 
(mg L-1)]])</f>
        <v>0.99201596806387227</v>
      </c>
      <c r="AC73" s="20">
        <f>46/14*stableMED[[#This Row],[NO2-N 
(mg L-1)]]/(EXP(-2300/(stableMED[[#This Row],[Temp. 
(°C)]]+273))*10^(stableMED[[#This Row],[pHreactor]]))</f>
        <v>2.1903098938778139E-3</v>
      </c>
      <c r="AD73" s="6">
        <f>17/14*stableMED[NH4-N 
(mg L-1)]*10^stableMED[[#This Row],[pHreactor]]/(EXP((6344/(273+stableMED[[#This Row],[Temp. 
(°C)]])))+10^stableMED[pHreactor])</f>
        <v>48.513632486050334</v>
      </c>
      <c r="AE73" s="6">
        <f>Influent[[#This Row],[NH4-N (mg L-1)]]*stableMED[[#This Row],[Flow 
(m3 d-1)]]/(Information!$R$48*Information!$R$49)</f>
        <v>0.13839563356907325</v>
      </c>
      <c r="AF73" s="6">
        <f>(Influent[[#This Row],[NH4-N (mg L-1)]]-stableMED[[#This Row],[NH4-N 
(mg L-1)]])*stableMED[[#This Row],[Flow 
(m3 d-1)]]/(Information!$R$48*Information!$R$49)</f>
        <v>5.3888009935786192E-2</v>
      </c>
      <c r="AG73" s="6">
        <f>Influent[[#This Row],[COD (mg L-1)]]*stableMED[[#This Row],[Flow 
(m3 d-1)]]/(Information!$R$48*Information!$R$49)</f>
        <v>0.24597442565515448</v>
      </c>
      <c r="AH73" s="6">
        <f>(Influent[[#This Row],[COD (mg L-1)]]-stableMED[[#This Row],[COD 
(mg L-1)]])*stableMED[[#This Row],[Flow 
(m3 d-1)]]/(Information!$R$48*Information!$R$49)</f>
        <v>9.5252055492884416E-2</v>
      </c>
      <c r="AI73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456.83199999999999</v>
      </c>
      <c r="AJ73" s="6">
        <f>IFERROR(IF(Influent[[#This Row],[COD (mg L-1)]]-stableMED[[#This Row],[COD 
(mg L-1)]]&lt;0,0,Influent[[#This Row],[COD (mg L-1)]]-stableMED[[#This Row],[COD 
(mg L-1)]]),0)</f>
        <v>850</v>
      </c>
      <c r="AK73" s="6">
        <f>IFERROR(IF(Influent[[#This Row],[Alkalinity (mg CaCO3 L-1) ]]-stableMED[[#This Row],[Alkalinity 
(mg CaCO3 L-1) ]]&lt;0,0,Influent[[#This Row],[Alkalinity (mg CaCO3 L-1) ]]-stableMED[[#This Row],[Alkalinity 
(mg CaCO3 L-1) ]]),0)</f>
        <v>1737</v>
      </c>
      <c r="AL73" s="6">
        <f>Influent[[#This Row],[COD (mg L-1)]]/stableMED[[#This Row],[HRT 
(h)]]*24/1000</f>
        <v>9.8389770262061804E-2</v>
      </c>
      <c r="AM73" s="6">
        <f>IF(((stableMED[[#This Row],[ΔC (mg L-1)]])*24/stableMED[[#This Row],[HRT 
(h)]]/1000) &lt;0,0, (stableMED[[#This Row],[ΔC (mg L-1)]])*24/stableMED[[#This Row],[HRT 
(h)]]/1000)</f>
        <v>3.8100822197153765E-2</v>
      </c>
      <c r="AN73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2.1555203974314475E-2</v>
      </c>
      <c r="AO73" s="6">
        <f>Influent[[#This Row],[TN (mg L-1)]]/stableMED[[#This Row],[HRT 
(h)]]*24/1000</f>
        <v>5.5367218326969815E-2</v>
      </c>
      <c r="AP73" s="6">
        <f>stableMED[[#This Row],[NRE 
(%)]]*stableMED[[#This Row],[NLR 
(kg N m-3 d-1)]]</f>
        <v>2.0486229376952454E-2</v>
      </c>
      <c r="AQ73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0.38937651821862346</v>
      </c>
      <c r="AR73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0.37000647668393782</v>
      </c>
      <c r="AS73" s="48"/>
      <c r="AT73" s="48"/>
      <c r="AU73" s="48"/>
      <c r="AV73" s="6"/>
      <c r="AW73" s="21"/>
      <c r="AX73" s="21"/>
      <c r="AY73" s="6">
        <f>stableMED[[#This Row],[NH4-N 
(mg L-1)]]-20</f>
        <v>734.12</v>
      </c>
      <c r="AZ73" s="6">
        <f>stableMED[[#This Row],[Ammonia residual to reach target]]*2.9</f>
        <v>2128.9479999999999</v>
      </c>
      <c r="BA73" s="6">
        <f>stableMED[[#This Row],[Alkalinity 
(mg CaCO3 L-1) ]]-stableMED[[#This Row],[Alkalinity need]]-70</f>
        <v>588.05200000000013</v>
      </c>
    </row>
    <row r="74" spans="1:53" x14ac:dyDescent="0.3">
      <c r="A74" s="128">
        <v>43397</v>
      </c>
      <c r="B74" s="29">
        <v>71</v>
      </c>
      <c r="C74" s="42">
        <v>20.334898905636578</v>
      </c>
      <c r="D74" s="28">
        <f>stableMED[[#This Row],[Flow 
(L h-1)]]/1000*24</f>
        <v>0.48803757373527784</v>
      </c>
      <c r="E74" s="42">
        <f>IF(IFERROR(Information!$R$47/stableMED[[#This Row],[Flow 
(m3 d-1)]]*24,0)&lt;0,0,IFERROR(Information!$R$47/stableMED[[#This Row],[Flow 
(m3 d-1)]]*24,0))</f>
        <v>59.01184980405165</v>
      </c>
      <c r="F74" s="42">
        <v>7.949387756084163</v>
      </c>
      <c r="G74" s="42">
        <v>0.86478089172676265</v>
      </c>
      <c r="H74" s="41">
        <v>28.733163359594691</v>
      </c>
      <c r="I74" s="130"/>
      <c r="J74" s="130"/>
      <c r="K74" s="29">
        <v>1815</v>
      </c>
      <c r="L74" s="29">
        <f>stableMED[[#This Row],[COD 
(mg L-1)]]*Information!$AK$42</f>
        <v>1288.6499999999999</v>
      </c>
      <c r="M74" s="29">
        <v>2964</v>
      </c>
      <c r="N74" s="29">
        <v>8.4</v>
      </c>
      <c r="O74" s="29">
        <v>690</v>
      </c>
      <c r="P74" s="29">
        <v>238</v>
      </c>
      <c r="Q74" s="29">
        <v>11.59</v>
      </c>
      <c r="R74" s="29">
        <v>8.8000000000000007</v>
      </c>
      <c r="S74" s="4">
        <f>stableMED[[#This Row],[NH4-N 
(mg L-1)]]*1.288</f>
        <v>1006.4689599999999</v>
      </c>
      <c r="T74" s="6">
        <f>stableMED[[#This Row],[NO2-N 
(mg L-1)]]*3.284</f>
        <v>25.083191999999997</v>
      </c>
      <c r="U74" s="6">
        <f>(stableMED[[#This Row],[NO3-N 
(mg L-1)]])*4.426</f>
        <v>5.1430120000000041</v>
      </c>
      <c r="V74" s="6">
        <v>781.42</v>
      </c>
      <c r="W74" s="6">
        <v>7.6379999999999999</v>
      </c>
      <c r="X74" s="4">
        <f>IF(stableMED[[#This Row],[TON 
(mg L-1)]]-stableMED[[#This Row],[NO2-N 
(mg L-1)]]&lt;0,0.192,stableMED[[#This Row],[TON 
(mg L-1)]]-stableMED[[#This Row],[NO2-N 
(mg L-1)]])</f>
        <v>1.1620000000000008</v>
      </c>
      <c r="Y74" s="4">
        <f>SUM(stableMED[[#This Row],[NH4-N 
(mg L-1)]],stableMED[[#This Row],[NO3-N 
(mg L-1)]],stableMED[[#This Row],[NO2-N 
(mg L-1)]])</f>
        <v>790.22</v>
      </c>
      <c r="Z74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2.5011838649963425E-3</v>
      </c>
      <c r="AA74" s="48">
        <f>IF(IFERROR(stableMED[[#This Row],[NO2-N 
(mg L-1)]]/stableMED[[#This Row],[NH4-N 
(mg L-1)]],0)&lt;0,0,IFERROR(stableMED[[#This Row],[NO2-N 
(mg L-1)]]/stableMED[[#This Row],[NH4-N 
(mg L-1)]],0))</f>
        <v>9.7745130659568479E-3</v>
      </c>
      <c r="AB74" s="48">
        <f>stableMED[[#This Row],[NO2-N 
(mg L-1)]]/(stableMED[[#This Row],[NO3-N 
(mg L-1)]]+stableMED[[#This Row],[NO2-N 
(mg L-1)]])</f>
        <v>0.86795454545454542</v>
      </c>
      <c r="AC74" s="20">
        <f>46/14*stableMED[[#This Row],[NO2-N 
(mg L-1)]]/(EXP(-2300/(stableMED[[#This Row],[Temp. 
(°C)]]+273))*10^(stableMED[[#This Row],[pHreactor]]))</f>
        <v>5.7635154537457982E-4</v>
      </c>
      <c r="AD74" s="6">
        <f>17/14*stableMED[NH4-N 
(mg L-1)]*10^stableMED[[#This Row],[pHreactor]]/(EXP((6344/(273+stableMED[[#This Row],[Temp. 
(°C)]])))+10^stableMED[pHreactor])</f>
        <v>58.585100788846667</v>
      </c>
      <c r="AE74" s="6">
        <f>Influent[[#This Row],[NH4-N (mg L-1)]]*stableMED[[#This Row],[Flow 
(m3 d-1)]]/(Information!$R$48*Information!$R$49)</f>
        <v>1.2668642018211587</v>
      </c>
      <c r="AF74" s="6">
        <f>(Influent[[#This Row],[NH4-N (mg L-1)]]-stableMED[[#This Row],[NH4-N 
(mg L-1)]])*stableMED[[#This Row],[Flow 
(m3 d-1)]]/(Information!$R$48*Information!$R$49)</f>
        <v>0.47235936667903206</v>
      </c>
      <c r="AG74" s="6">
        <f>Influent[[#This Row],[COD (mg L-1)]]*stableMED[[#This Row],[Flow 
(m3 d-1)]]/(Information!$R$48*Information!$R$49)</f>
        <v>2.0741596883749307</v>
      </c>
      <c r="AH74" s="6">
        <f>(Influent[[#This Row],[COD (mg L-1)]]-stableMED[[#This Row],[COD 
(mg L-1)]])*stableMED[[#This Row],[Flow 
(m3 d-1)]]/(Information!$R$48*Information!$R$49)</f>
        <v>0.22876761268841148</v>
      </c>
      <c r="AI74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455.78</v>
      </c>
      <c r="AJ74" s="6">
        <f>IFERROR(IF(Influent[[#This Row],[COD (mg L-1)]]-stableMED[[#This Row],[COD 
(mg L-1)]]&lt;0,0,Influent[[#This Row],[COD (mg L-1)]]-stableMED[[#This Row],[COD 
(mg L-1)]]),0)</f>
        <v>225</v>
      </c>
      <c r="AK74" s="6">
        <f>IFERROR(IF(Influent[[#This Row],[Alkalinity (mg CaCO3 L-1) ]]-stableMED[[#This Row],[Alkalinity 
(mg CaCO3 L-1) ]]&lt;0,0,Influent[[#This Row],[Alkalinity (mg CaCO3 L-1) ]]-stableMED[[#This Row],[Alkalinity 
(mg CaCO3 L-1) ]]),0)</f>
        <v>1419</v>
      </c>
      <c r="AL74" s="6">
        <f>Influent[[#This Row],[COD (mg L-1)]]/stableMED[[#This Row],[HRT 
(h)]]*24/1000</f>
        <v>0.82966387534997244</v>
      </c>
      <c r="AM74" s="6">
        <f>IF(((stableMED[[#This Row],[ΔC (mg L-1)]])*24/stableMED[[#This Row],[HRT 
(h)]]/1000) &lt;0,0, (stableMED[[#This Row],[ΔC (mg L-1)]])*24/stableMED[[#This Row],[HRT 
(h)]]/1000)</f>
        <v>9.1507045075364599E-2</v>
      </c>
      <c r="AN74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0.18894374667161284</v>
      </c>
      <c r="AO74" s="6">
        <f>Influent[[#This Row],[TN (mg L-1)]]/stableMED[[#This Row],[HRT 
(h)]]*24/1000</f>
        <v>0.51520499867320835</v>
      </c>
      <c r="AP74" s="6">
        <f>stableMED[[#This Row],[NRE 
(%)]]*stableMED[[#This Row],[NLR 
(kg N m-3 d-1)]]</f>
        <v>0.1938241224089656</v>
      </c>
      <c r="AQ74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0.37285714285714289</v>
      </c>
      <c r="AR74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0.37620776760341013</v>
      </c>
      <c r="AS74" s="48"/>
      <c r="AT74" s="48"/>
      <c r="AU74" s="48"/>
      <c r="AV74" s="6"/>
      <c r="AW74" s="21"/>
      <c r="AX74" s="21"/>
      <c r="AY74" s="6">
        <f>stableMED[[#This Row],[NH4-N 
(mg L-1)]]-20</f>
        <v>761.42</v>
      </c>
      <c r="AZ74" s="6">
        <f>stableMED[[#This Row],[Ammonia residual to reach target]]*2.9</f>
        <v>2208.1179999999999</v>
      </c>
      <c r="BA74" s="6">
        <f>stableMED[[#This Row],[Alkalinity 
(mg CaCO3 L-1) ]]-stableMED[[#This Row],[Alkalinity need]]-70</f>
        <v>685.88200000000006</v>
      </c>
    </row>
    <row r="75" spans="1:53" x14ac:dyDescent="0.3">
      <c r="A75" s="128">
        <v>43398</v>
      </c>
      <c r="B75" s="29">
        <v>72</v>
      </c>
      <c r="C75" s="42"/>
      <c r="D75" s="28"/>
      <c r="E75" s="42"/>
      <c r="F75" s="42"/>
      <c r="G75" s="42"/>
      <c r="H75" s="41"/>
      <c r="I75" s="130"/>
      <c r="J75" s="130"/>
      <c r="S75" s="4"/>
      <c r="T75" s="6"/>
      <c r="U75" s="6"/>
      <c r="V75" s="6"/>
      <c r="W75" s="6"/>
      <c r="X75" s="4"/>
      <c r="Y75" s="4"/>
      <c r="Z75" s="89"/>
      <c r="AA75" s="48"/>
      <c r="AB75" s="48"/>
      <c r="AC75" s="20"/>
      <c r="AD75" s="6"/>
      <c r="AE75" s="6"/>
      <c r="AF75" s="6"/>
      <c r="AG75" s="6"/>
      <c r="AH75" s="6"/>
      <c r="AI75" s="48"/>
      <c r="AJ75" s="6"/>
      <c r="AK75" s="6"/>
      <c r="AL75" s="6"/>
      <c r="AM75" s="6"/>
      <c r="AN75" s="6"/>
      <c r="AO75" s="6"/>
      <c r="AP75" s="6"/>
      <c r="AQ75" s="26"/>
      <c r="AR75" s="26"/>
      <c r="AS75" s="48"/>
      <c r="AT75" s="48"/>
      <c r="AU75" s="48"/>
      <c r="AV75" s="6"/>
      <c r="AW75" s="21"/>
      <c r="AX75" s="21"/>
      <c r="AY75" s="6"/>
      <c r="AZ75" s="6"/>
      <c r="BA75" s="6"/>
    </row>
    <row r="76" spans="1:53" x14ac:dyDescent="0.3">
      <c r="A76" s="128">
        <v>43399</v>
      </c>
      <c r="B76" s="29">
        <v>73</v>
      </c>
      <c r="C76" s="42"/>
      <c r="D76" s="28"/>
      <c r="E76" s="42"/>
      <c r="F76" s="42"/>
      <c r="G76" s="42"/>
      <c r="H76" s="41"/>
      <c r="I76" s="41">
        <f>stableMED[[#This Row],[MLVSS 
(mg L-1)]]/0.29</f>
        <v>572.41379310344837</v>
      </c>
      <c r="J76" s="130">
        <f>83*2</f>
        <v>166</v>
      </c>
      <c r="S76" s="4"/>
      <c r="T76" s="6"/>
      <c r="U76" s="6"/>
      <c r="V76" s="6"/>
      <c r="W76" s="6"/>
      <c r="X76" s="4"/>
      <c r="Y76" s="4"/>
      <c r="Z76" s="89"/>
      <c r="AA76" s="48"/>
      <c r="AB76" s="48"/>
      <c r="AC76" s="20"/>
      <c r="AD76" s="6"/>
      <c r="AE76" s="6"/>
      <c r="AF76" s="6"/>
      <c r="AG76" s="6"/>
      <c r="AH76" s="6"/>
      <c r="AI76" s="48"/>
      <c r="AJ76" s="6"/>
      <c r="AK76" s="6"/>
      <c r="AL76" s="6"/>
      <c r="AM76" s="6"/>
      <c r="AN76" s="6"/>
      <c r="AO76" s="6"/>
      <c r="AP76" s="6"/>
      <c r="AQ76" s="26"/>
      <c r="AR76" s="26"/>
      <c r="AS76" s="48">
        <f>80/30</f>
        <v>2.6666666666666665</v>
      </c>
      <c r="AT76" s="48">
        <v>0.95899999999999996</v>
      </c>
      <c r="AU76" s="48">
        <v>1.089</v>
      </c>
      <c r="AV76" s="6">
        <f>stableMED[[#This Row],[SAAcarrier
(g N g VSS-1d-1)]]+stableMED[[#This Row],[SAAsuspension
(g N g VSS-1d-1)]]</f>
        <v>2.048</v>
      </c>
      <c r="AW76" s="21">
        <f>stableMED[[#This Row],[SAAcarrier
(g N g VSS-1d-1)]]/MAX(stableMED[SAAcombined
(g N g VSS-1d-1)])</f>
        <v>0.46826171875</v>
      </c>
      <c r="AX76" s="21">
        <f>stableMED[[#This Row],[SAAsuspension
(g N g VSS-1d-1)]]/MAX(stableMED[SAAcombined
(g N g VSS-1d-1)])</f>
        <v>0.53173828125</v>
      </c>
      <c r="AY76" s="6"/>
      <c r="AZ76" s="6"/>
      <c r="BA76" s="6"/>
    </row>
    <row r="77" spans="1:53" x14ac:dyDescent="0.3">
      <c r="A77" s="128">
        <v>43400</v>
      </c>
      <c r="B77" s="29">
        <v>74</v>
      </c>
      <c r="C77" s="42">
        <v>2.4084085377087736</v>
      </c>
      <c r="D77" s="28">
        <f>stableMED[[#This Row],[Flow 
(L h-1)]]/1000*24</f>
        <v>5.7801804905010565E-2</v>
      </c>
      <c r="E77" s="42">
        <f>IF(IFERROR(Information!$R$47/stableMED[[#This Row],[Flow 
(m3 d-1)]]*24,0)&lt;0,0,IFERROR(Information!$R$47/stableMED[[#This Row],[Flow 
(m3 d-1)]]*24,0))</f>
        <v>498.25433733996533</v>
      </c>
      <c r="F77" s="42">
        <v>7.4721467845020344</v>
      </c>
      <c r="G77" s="42">
        <v>0.48723316550285856</v>
      </c>
      <c r="H77" s="41">
        <v>30.217921336795339</v>
      </c>
      <c r="I77" s="130"/>
      <c r="J77" s="130"/>
      <c r="K77" s="29">
        <v>1260</v>
      </c>
      <c r="L77" s="29">
        <f>stableMED[[#This Row],[COD 
(mg L-1)]]*Information!$AK$42</f>
        <v>894.59999999999991</v>
      </c>
      <c r="M77" s="29">
        <v>2267</v>
      </c>
      <c r="N77" s="29">
        <v>8.4</v>
      </c>
      <c r="O77" s="29">
        <v>58</v>
      </c>
      <c r="P77" s="29">
        <v>13</v>
      </c>
      <c r="Q77" s="29">
        <v>8.4</v>
      </c>
      <c r="R77" s="29">
        <v>59.2</v>
      </c>
      <c r="S77" s="4">
        <f>stableMED[[#This Row],[NH4-N 
(mg L-1)]]*1.288</f>
        <v>830.99183999999991</v>
      </c>
      <c r="T77" s="6">
        <f>stableMED[[#This Row],[NO2-N 
(mg L-1)]]*3.284</f>
        <v>184.42615599999999</v>
      </c>
      <c r="U77" s="6">
        <f>(stableMED[[#This Row],[NO3-N 
(mg L-1)]])*4.426</f>
        <v>13.459466000000019</v>
      </c>
      <c r="V77" s="6">
        <v>645.17999999999995</v>
      </c>
      <c r="W77" s="6">
        <v>56.158999999999999</v>
      </c>
      <c r="X77" s="4">
        <f>IF(stableMED[[#This Row],[TON 
(mg L-1)]]-stableMED[[#This Row],[NO2-N 
(mg L-1)]]&lt;0,0.192,stableMED[[#This Row],[TON 
(mg L-1)]]-stableMED[[#This Row],[NO2-N 
(mg L-1)]])</f>
        <v>3.0410000000000039</v>
      </c>
      <c r="Y77" s="4">
        <f>SUM(stableMED[[#This Row],[NH4-N 
(mg L-1)]],stableMED[[#This Row],[NO3-N 
(mg L-1)]],stableMED[[#This Row],[NO2-N 
(mg L-1)]])</f>
        <v>704.38</v>
      </c>
      <c r="Z77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5.4771081733367014E-3</v>
      </c>
      <c r="AA77" s="48">
        <f>IF(IFERROR(stableMED[[#This Row],[NO2-N 
(mg L-1)]]/stableMED[[#This Row],[NH4-N 
(mg L-1)]],0)&lt;0,0,IFERROR(stableMED[[#This Row],[NO2-N 
(mg L-1)]]/stableMED[[#This Row],[NH4-N 
(mg L-1)]],0))</f>
        <v>8.7043925726153951E-2</v>
      </c>
      <c r="AB77" s="48">
        <f>stableMED[[#This Row],[NO2-N 
(mg L-1)]]/(stableMED[[#This Row],[NO3-N 
(mg L-1)]]+stableMED[[#This Row],[NO2-N 
(mg L-1)]])</f>
        <v>0.94863175675675671</v>
      </c>
      <c r="AC77" s="20">
        <f>46/14*stableMED[[#This Row],[NO2-N 
(mg L-1)]]/(EXP(-2300/(stableMED[[#This Row],[Temp. 
(°C)]]+273))*10^(stableMED[[#This Row],[pHreactor]]))</f>
        <v>1.225061491015075E-2</v>
      </c>
      <c r="AD77" s="6">
        <f>17/14*stableMED[NH4-N 
(mg L-1)]*10^stableMED[[#This Row],[pHreactor]]/(EXP((6344/(273+stableMED[[#This Row],[Temp. 
(°C)]])))+10^stableMED[pHreactor])</f>
        <v>18.590983735801522</v>
      </c>
      <c r="AE77" s="6">
        <f>Influent[[#This Row],[NH4-N (mg L-1)]]*stableMED[[#This Row],[Flow 
(m3 d-1)]]/(Information!$R$48*Information!$R$49)</f>
        <v>0.14455268043328059</v>
      </c>
      <c r="AF77" s="6">
        <f>(Influent[[#This Row],[NH4-N (mg L-1)]]-stableMED[[#This Row],[NH4-N 
(mg L-1)]])*stableMED[[#This Row],[Flow 
(m3 d-1)]]/(Information!$R$48*Information!$R$49)</f>
        <v>6.6859829415333277E-2</v>
      </c>
      <c r="AG77" s="6">
        <f>Influent[[#This Row],[COD (mg L-1)]]*stableMED[[#This Row],[Flow 
(m3 d-1)]]/(Information!$R$48*Information!$R$49)</f>
        <v>0.26853755195452828</v>
      </c>
      <c r="AH77" s="6">
        <f>(Influent[[#This Row],[COD (mg L-1)]]-stableMED[[#This Row],[COD 
(mg L-1)]])*stableMED[[#This Row],[Flow 
(m3 d-1)]]/(Information!$R$48*Information!$R$49)</f>
        <v>0.11680781407887551</v>
      </c>
      <c r="AI77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496.0200000000001</v>
      </c>
      <c r="AJ77" s="6">
        <f>IFERROR(IF(Influent[[#This Row],[COD (mg L-1)]]-stableMED[[#This Row],[COD 
(mg L-1)]]&lt;0,0,Influent[[#This Row],[COD (mg L-1)]]-stableMED[[#This Row],[COD 
(mg L-1)]]),0)</f>
        <v>970</v>
      </c>
      <c r="AK77" s="6">
        <f>IFERROR(IF(Influent[[#This Row],[Alkalinity (mg CaCO3 L-1) ]]-stableMED[[#This Row],[Alkalinity 
(mg CaCO3 L-1) ]]&lt;0,0,Influent[[#This Row],[Alkalinity (mg CaCO3 L-1) ]]-stableMED[[#This Row],[Alkalinity 
(mg CaCO3 L-1) ]]),0)</f>
        <v>2083</v>
      </c>
      <c r="AL77" s="6">
        <f>Influent[[#This Row],[COD (mg L-1)]]/stableMED[[#This Row],[HRT 
(h)]]*24/1000</f>
        <v>0.10741502078181132</v>
      </c>
      <c r="AM77" s="6">
        <f>IF(((stableMED[[#This Row],[ΔC (mg L-1)]])*24/stableMED[[#This Row],[HRT 
(h)]]/1000) &lt;0,0, (stableMED[[#This Row],[ΔC (mg L-1)]])*24/stableMED[[#This Row],[HRT 
(h)]]/1000)</f>
        <v>4.6723125631550212E-2</v>
      </c>
      <c r="AN77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2.6743931766133315E-2</v>
      </c>
      <c r="AO77" s="6">
        <f>Influent[[#This Row],[TN (mg L-1)]]/stableMED[[#This Row],[HRT 
(h)]]*24/1000</f>
        <v>5.7830705807463079E-2</v>
      </c>
      <c r="AP77" s="6">
        <f>stableMED[[#This Row],[NRE 
(%)]]*stableMED[[#This Row],[NLR 
(kg N m-3 d-1)]]</f>
        <v>2.3902009691636958E-2</v>
      </c>
      <c r="AQ77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0.46252915694768421</v>
      </c>
      <c r="AR77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0.41331001166083631</v>
      </c>
      <c r="AS77" s="48"/>
      <c r="AT77" s="48"/>
      <c r="AU77" s="48"/>
      <c r="AV77" s="6"/>
      <c r="AW77" s="21"/>
      <c r="AX77" s="21"/>
      <c r="AY77" s="6">
        <f>stableMED[[#This Row],[NH4-N 
(mg L-1)]]-20</f>
        <v>625.17999999999995</v>
      </c>
      <c r="AZ77" s="6">
        <f>stableMED[[#This Row],[Ammonia residual to reach target]]*2.9</f>
        <v>1813.0219999999997</v>
      </c>
      <c r="BA77" s="6">
        <f>stableMED[[#This Row],[Alkalinity 
(mg CaCO3 L-1) ]]-stableMED[[#This Row],[Alkalinity need]]-70</f>
        <v>383.97800000000029</v>
      </c>
    </row>
    <row r="78" spans="1:53" x14ac:dyDescent="0.3">
      <c r="A78" s="128">
        <v>43401</v>
      </c>
      <c r="B78" s="29">
        <v>75</v>
      </c>
      <c r="C78" s="42">
        <v>2.7792867066669036</v>
      </c>
      <c r="D78" s="28">
        <f>stableMED[[#This Row],[Flow 
(L h-1)]]/1000*24</f>
        <v>6.6702880960005678E-2</v>
      </c>
      <c r="E78" s="42">
        <f>IF(IFERROR(Information!$R$47/stableMED[[#This Row],[Flow 
(m3 d-1)]]*24,0)&lt;0,0,IFERROR(Information!$R$47/stableMED[[#This Row],[Flow 
(m3 d-1)]]*24,0))</f>
        <v>431.76545878532841</v>
      </c>
      <c r="F78" s="42">
        <v>7.2308909698560475</v>
      </c>
      <c r="G78" s="42">
        <v>0.40644047139564848</v>
      </c>
      <c r="H78" s="41">
        <v>30.799532478859508</v>
      </c>
      <c r="I78" s="130"/>
      <c r="J78" s="130"/>
      <c r="K78" s="29">
        <v>1240</v>
      </c>
      <c r="L78" s="29">
        <f>stableMED[[#This Row],[COD 
(mg L-1)]]*Information!$AK$42</f>
        <v>880.4</v>
      </c>
      <c r="M78" s="29">
        <v>2229</v>
      </c>
      <c r="N78" s="29">
        <v>8.4</v>
      </c>
      <c r="O78" s="29">
        <v>44</v>
      </c>
      <c r="P78" s="29">
        <v>13</v>
      </c>
      <c r="Q78" s="29">
        <v>7.87</v>
      </c>
      <c r="R78" s="29">
        <v>56.9</v>
      </c>
      <c r="S78" s="4">
        <f>stableMED[[#This Row],[NH4-N 
(mg L-1)]]*1.288</f>
        <v>822.32360000000006</v>
      </c>
      <c r="T78" s="6">
        <f>stableMED[[#This Row],[NO2-N 
(mg L-1)]]*3.284</f>
        <v>177.198072</v>
      </c>
      <c r="U78" s="6">
        <f>(stableMED[[#This Row],[NO3-N 
(mg L-1)]])*4.426</f>
        <v>13.021292000000001</v>
      </c>
      <c r="V78" s="6">
        <v>638.45000000000005</v>
      </c>
      <c r="W78" s="6">
        <v>53.957999999999998</v>
      </c>
      <c r="X78" s="4">
        <f>IF(stableMED[[#This Row],[TON 
(mg L-1)]]-stableMED[[#This Row],[NO2-N 
(mg L-1)]]&lt;0,0.192,stableMED[[#This Row],[TON 
(mg L-1)]]-stableMED[[#This Row],[NO2-N 
(mg L-1)]])</f>
        <v>2.9420000000000002</v>
      </c>
      <c r="Y78" s="4">
        <f>SUM(stableMED[[#This Row],[NH4-N 
(mg L-1)]],stableMED[[#This Row],[NO3-N 
(mg L-1)]],stableMED[[#This Row],[NO2-N 
(mg L-1)]])</f>
        <v>695.35</v>
      </c>
      <c r="Z78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5.0737259636112796E-3</v>
      </c>
      <c r="AA78" s="48">
        <f>IF(IFERROR(stableMED[[#This Row],[NO2-N 
(mg L-1)]]/stableMED[[#This Row],[NH4-N 
(mg L-1)]],0)&lt;0,0,IFERROR(stableMED[[#This Row],[NO2-N 
(mg L-1)]]/stableMED[[#This Row],[NH4-N 
(mg L-1)]],0))</f>
        <v>8.4514057482966545E-2</v>
      </c>
      <c r="AB78" s="48">
        <f>stableMED[[#This Row],[NO2-N 
(mg L-1)]]/(stableMED[[#This Row],[NO3-N 
(mg L-1)]]+stableMED[[#This Row],[NO2-N 
(mg L-1)]])</f>
        <v>0.94829525483304045</v>
      </c>
      <c r="AC78" s="20">
        <f>46/14*stableMED[[#This Row],[NO2-N 
(mg L-1)]]/(EXP(-2300/(stableMED[[#This Row],[Temp. 
(°C)]]+273))*10^(stableMED[[#This Row],[pHreactor]]))</f>
        <v>2.0218245718308724E-2</v>
      </c>
      <c r="AD78" s="6">
        <f>17/14*stableMED[NH4-N 
(mg L-1)]*10^stableMED[[#This Row],[pHreactor]]/(EXP((6344/(273+stableMED[[#This Row],[Temp. 
(°C)]])))+10^stableMED[pHreactor])</f>
        <v>11.093254910527069</v>
      </c>
      <c r="AE78" s="6">
        <f>Influent[[#This Row],[NH4-N (mg L-1)]]*stableMED[[#This Row],[Flow 
(m3 d-1)]]/(Information!$R$48*Information!$R$49)</f>
        <v>0.16930024973661439</v>
      </c>
      <c r="AF78" s="6">
        <f>(Influent[[#This Row],[NH4-N (mg L-1)]]-stableMED[[#This Row],[NH4-N 
(mg L-1)]])*stableMED[[#This Row],[Flow 
(m3 d-1)]]/(Information!$R$48*Information!$R$49)</f>
        <v>8.0578469843040193E-2</v>
      </c>
      <c r="AG78" s="6">
        <f>Influent[[#This Row],[COD (mg L-1)]]*stableMED[[#This Row],[Flow 
(m3 d-1)]]/(Information!$R$48*Information!$R$49)</f>
        <v>0.32239725797336077</v>
      </c>
      <c r="AH78" s="6">
        <f>(Influent[[#This Row],[COD (mg L-1)]]-stableMED[[#This Row],[COD 
(mg L-1)]])*stableMED[[#This Row],[Flow 
(m3 d-1)]]/(Information!$R$48*Information!$R$49)</f>
        <v>0.1500814821600128</v>
      </c>
      <c r="AI78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522.94999999999993</v>
      </c>
      <c r="AJ78" s="6">
        <f>IFERROR(IF(Influent[[#This Row],[COD (mg L-1)]]-stableMED[[#This Row],[COD 
(mg L-1)]]&lt;0,0,Influent[[#This Row],[COD (mg L-1)]]-stableMED[[#This Row],[COD 
(mg L-1)]]),0)</f>
        <v>1080</v>
      </c>
      <c r="AK78" s="6">
        <f>IFERROR(IF(Influent[[#This Row],[Alkalinity (mg CaCO3 L-1) ]]-stableMED[[#This Row],[Alkalinity 
(mg CaCO3 L-1) ]]&lt;0,0,Influent[[#This Row],[Alkalinity (mg CaCO3 L-1) ]]-stableMED[[#This Row],[Alkalinity 
(mg CaCO3 L-1) ]]),0)</f>
        <v>2196</v>
      </c>
      <c r="AL78" s="6">
        <f>Influent[[#This Row],[COD (mg L-1)]]/stableMED[[#This Row],[HRT 
(h)]]*24/1000</f>
        <v>0.1289589031893443</v>
      </c>
      <c r="AM78" s="6">
        <f>IF(((stableMED[[#This Row],[ΔC (mg L-1)]])*24/stableMED[[#This Row],[HRT 
(h)]]/1000) &lt;0,0, (stableMED[[#This Row],[ΔC (mg L-1)]])*24/stableMED[[#This Row],[HRT 
(h)]]/1000)</f>
        <v>6.0032592864005113E-2</v>
      </c>
      <c r="AN78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3.2231387937216069E-2</v>
      </c>
      <c r="AO78" s="6">
        <f>Influent[[#This Row],[TN (mg L-1)]]/stableMED[[#This Row],[HRT 
(h)]]*24/1000</f>
        <v>6.8716974450593063E-2</v>
      </c>
      <c r="AP78" s="6">
        <f>stableMED[[#This Row],[NRE 
(%)]]*stableMED[[#This Row],[NLR 
(kg N m-3 d-1)]]</f>
        <v>3.0065434220976427E-2</v>
      </c>
      <c r="AQ78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0.47595009439382741</v>
      </c>
      <c r="AR78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0.43752558172643685</v>
      </c>
      <c r="AS78" s="48"/>
      <c r="AT78" s="48"/>
      <c r="AU78" s="48"/>
      <c r="AV78" s="6"/>
      <c r="AW78" s="21"/>
      <c r="AX78" s="21"/>
      <c r="AY78" s="6">
        <f>stableMED[[#This Row],[NH4-N 
(mg L-1)]]-20</f>
        <v>618.45000000000005</v>
      </c>
      <c r="AZ78" s="6">
        <f>stableMED[[#This Row],[Ammonia residual to reach target]]*2.9</f>
        <v>1793.5050000000001</v>
      </c>
      <c r="BA78" s="6">
        <f>stableMED[[#This Row],[Alkalinity 
(mg CaCO3 L-1) ]]-stableMED[[#This Row],[Alkalinity need]]-70</f>
        <v>365.49499999999989</v>
      </c>
    </row>
    <row r="79" spans="1:53" x14ac:dyDescent="0.3">
      <c r="A79" s="128">
        <v>43402</v>
      </c>
      <c r="B79" s="29">
        <v>76</v>
      </c>
      <c r="C79" s="42"/>
      <c r="D79" s="28"/>
      <c r="E79" s="42"/>
      <c r="F79" s="42"/>
      <c r="G79" s="42"/>
      <c r="H79" s="41"/>
      <c r="I79" s="130"/>
      <c r="J79" s="130"/>
      <c r="S79" s="4"/>
      <c r="T79" s="6"/>
      <c r="U79" s="6"/>
      <c r="V79" s="6"/>
      <c r="W79" s="6"/>
      <c r="X79" s="4"/>
      <c r="Y79" s="4"/>
      <c r="Z79" s="89"/>
      <c r="AA79" s="48"/>
      <c r="AB79" s="48"/>
      <c r="AC79" s="20"/>
      <c r="AD79" s="6"/>
      <c r="AE79" s="6"/>
      <c r="AF79" s="6"/>
      <c r="AG79" s="6"/>
      <c r="AH79" s="6"/>
      <c r="AI79" s="48"/>
      <c r="AJ79" s="6"/>
      <c r="AK79" s="6"/>
      <c r="AL79" s="6"/>
      <c r="AM79" s="6"/>
      <c r="AN79" s="6"/>
      <c r="AO79" s="6"/>
      <c r="AP79" s="6"/>
      <c r="AQ79" s="26"/>
      <c r="AR79" s="26"/>
      <c r="AS79" s="48"/>
      <c r="AT79" s="48"/>
      <c r="AU79" s="48"/>
      <c r="AV79" s="6"/>
      <c r="AW79" s="21"/>
      <c r="AX79" s="21"/>
      <c r="AY79" s="6"/>
      <c r="AZ79" s="6"/>
      <c r="BA79" s="6"/>
    </row>
    <row r="80" spans="1:53" x14ac:dyDescent="0.3">
      <c r="A80" s="128">
        <v>43403</v>
      </c>
      <c r="B80" s="29">
        <v>77</v>
      </c>
      <c r="C80" s="42"/>
      <c r="D80" s="28"/>
      <c r="E80" s="42"/>
      <c r="F80" s="42"/>
      <c r="G80" s="42"/>
      <c r="H80" s="41"/>
      <c r="I80" s="130">
        <v>46</v>
      </c>
      <c r="J80" s="130">
        <v>13</v>
      </c>
      <c r="S80" s="4"/>
      <c r="T80" s="6"/>
      <c r="U80" s="6"/>
      <c r="V80" s="6"/>
      <c r="W80" s="6"/>
      <c r="X80" s="4"/>
      <c r="Y80" s="4"/>
      <c r="Z80" s="89"/>
      <c r="AA80" s="48"/>
      <c r="AB80" s="48"/>
      <c r="AC80" s="20"/>
      <c r="AD80" s="6"/>
      <c r="AE80" s="6"/>
      <c r="AF80" s="6"/>
      <c r="AG80" s="6"/>
      <c r="AH80" s="6"/>
      <c r="AI80" s="48"/>
      <c r="AJ80" s="6"/>
      <c r="AK80" s="6"/>
      <c r="AL80" s="6"/>
      <c r="AM80" s="6"/>
      <c r="AN80" s="6"/>
      <c r="AO80" s="6"/>
      <c r="AP80" s="6"/>
      <c r="AQ80" s="26"/>
      <c r="AR80" s="26"/>
      <c r="AS80" s="48"/>
      <c r="AT80" s="48"/>
      <c r="AU80" s="48"/>
      <c r="AV80" s="6"/>
      <c r="AW80" s="21"/>
      <c r="AX80" s="21"/>
      <c r="AY80" s="6"/>
      <c r="AZ80" s="6"/>
      <c r="BA80" s="6"/>
    </row>
    <row r="81" spans="1:56" x14ac:dyDescent="0.3">
      <c r="A81" s="128">
        <v>43404</v>
      </c>
      <c r="B81" s="29">
        <v>78</v>
      </c>
      <c r="C81" s="42">
        <v>2.5649839457187831</v>
      </c>
      <c r="D81" s="28">
        <f>stableMED[[#This Row],[Flow 
(L h-1)]]/1000*24</f>
        <v>6.1559614697250797E-2</v>
      </c>
      <c r="E81" s="42">
        <f>IF(IFERROR(Information!$R$47/stableMED[[#This Row],[Flow 
(m3 d-1)]]*24,0)&lt;0,0,IFERROR(Information!$R$47/stableMED[[#This Row],[Flow 
(m3 d-1)]]*24,0))</f>
        <v>467.83918550559389</v>
      </c>
      <c r="F81" s="42">
        <v>7.5589069305547039</v>
      </c>
      <c r="G81" s="42">
        <v>0.65513970859346193</v>
      </c>
      <c r="H81" s="41">
        <v>27.706791260390595</v>
      </c>
      <c r="I81" s="130">
        <f>stableMED[[#This Row],[MLVSS 
(mg L-1)]]/0.4</f>
        <v>260</v>
      </c>
      <c r="J81" s="130">
        <f>52*2</f>
        <v>104</v>
      </c>
      <c r="K81" s="29">
        <v>3040</v>
      </c>
      <c r="L81" s="29">
        <f>stableMED[[#This Row],[COD 
(mg L-1)]]*Information!$AK$42</f>
        <v>2158.4</v>
      </c>
      <c r="M81" s="29">
        <v>1986</v>
      </c>
      <c r="N81" s="29">
        <v>8.3000000000000007</v>
      </c>
      <c r="O81" s="29">
        <v>3112</v>
      </c>
      <c r="Q81" s="29">
        <v>7.44</v>
      </c>
      <c r="R81" s="29">
        <v>62.9</v>
      </c>
      <c r="S81" s="4">
        <f>stableMED[[#This Row],[NH4-N 
(mg L-1)]]*1.288</f>
        <v>719.30936000000008</v>
      </c>
      <c r="T81" s="6">
        <f>stableMED[[#This Row],[NO2-N 
(mg L-1)]]*3.284</f>
        <v>255.95824399999998</v>
      </c>
      <c r="U81" s="6">
        <f>(stableMED[[#This Row],[NO3-N 
(mg L-1)]])*4.426</f>
        <v>0.8497920000000001</v>
      </c>
      <c r="V81" s="6">
        <v>558.47</v>
      </c>
      <c r="W81" s="6">
        <v>77.941000000000003</v>
      </c>
      <c r="X81" s="4">
        <f>IF(stableMED[[#This Row],[TON 
(mg L-1)]]-stableMED[[#This Row],[NO2-N 
(mg L-1)]]&lt;0,0.192,stableMED[[#This Row],[TON 
(mg L-1)]]-stableMED[[#This Row],[NO2-N 
(mg L-1)]])</f>
        <v>0.192</v>
      </c>
      <c r="Y81" s="4">
        <f>SUM(stableMED[[#This Row],[NH4-N 
(mg L-1)]],stableMED[[#This Row],[NO3-N 
(mg L-1)]],stableMED[[#This Row],[NO2-N 
(mg L-1)]])</f>
        <v>636.60300000000007</v>
      </c>
      <c r="Z81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2.6271499527933995E-4</v>
      </c>
      <c r="AA81" s="48">
        <f>IF(IFERROR(stableMED[[#This Row],[NO2-N 
(mg L-1)]]/stableMED[[#This Row],[NH4-N 
(mg L-1)]],0)&lt;0,0,IFERROR(stableMED[[#This Row],[NO2-N 
(mg L-1)]]/stableMED[[#This Row],[NH4-N 
(mg L-1)]],0))</f>
        <v>0.1395616595340842</v>
      </c>
      <c r="AB81" s="48">
        <f>stableMED[[#This Row],[NO2-N 
(mg L-1)]]/(stableMED[[#This Row],[NO3-N 
(mg L-1)]]+stableMED[[#This Row],[NO2-N 
(mg L-1)]])</f>
        <v>0.99754265163247291</v>
      </c>
      <c r="AC81" s="20">
        <f>46/14*stableMED[[#This Row],[NO2-N 
(mg L-1)]]/(EXP(-2300/(stableMED[[#This Row],[Temp. 
(°C)]]+273))*10^(stableMED[[#This Row],[pHreactor]]))</f>
        <v>1.4833850074137962E-2</v>
      </c>
      <c r="AD81" s="6">
        <f>17/14*stableMED[NH4-N 
(mg L-1)]*10^stableMED[[#This Row],[pHreactor]]/(EXP((6344/(273+stableMED[[#This Row],[Temp. 
(°C)]])))+10^stableMED[pHreactor])</f>
        <v>16.490794785840947</v>
      </c>
      <c r="AE81" s="6">
        <f>Influent[[#This Row],[NH4-N (mg L-1)]]*stableMED[[#This Row],[Flow 
(m3 d-1)]]/(Information!$R$48*Information!$R$49)</f>
        <v>0.16535169006076134</v>
      </c>
      <c r="AF81" s="6">
        <f>(Influent[[#This Row],[NH4-N (mg L-1)]]-stableMED[[#This Row],[NH4-N 
(mg L-1)]])*stableMED[[#This Row],[Flow 
(m3 d-1)]]/(Information!$R$48*Information!$R$49)</f>
        <v>9.37283608524829E-2</v>
      </c>
      <c r="AG81" s="6">
        <f>Influent[[#This Row],[COD (mg L-1)]]*stableMED[[#This Row],[Flow 
(m3 d-1)]]/(Information!$R$48*Information!$R$49)</f>
        <v>0.31292804137769159</v>
      </c>
      <c r="AH81" s="6">
        <f>(Influent[[#This Row],[COD (mg L-1)]]-stableMED[[#This Row],[COD 
(mg L-1)]])*stableMED[[#This Row],[Flow 
(m3 d-1)]]/(Information!$R$48*Information!$R$49)</f>
        <v>-7.6949518371563511E-2</v>
      </c>
      <c r="AI81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652.69699999999989</v>
      </c>
      <c r="AJ81" s="6">
        <f>IFERROR(IF(Influent[[#This Row],[COD (mg L-1)]]-stableMED[[#This Row],[COD 
(mg L-1)]]&lt;0,0,Influent[[#This Row],[COD (mg L-1)]]-stableMED[[#This Row],[COD 
(mg L-1)]]),0)</f>
        <v>0</v>
      </c>
      <c r="AK81" s="6">
        <f>IFERROR(IF(Influent[[#This Row],[Alkalinity (mg CaCO3 L-1) ]]-stableMED[[#This Row],[Alkalinity 
(mg CaCO3 L-1) ]]&lt;0,0,Influent[[#This Row],[Alkalinity (mg CaCO3 L-1) ]]-stableMED[[#This Row],[Alkalinity 
(mg CaCO3 L-1) ]]),0)</f>
        <v>2733</v>
      </c>
      <c r="AL81" s="6">
        <f>Influent[[#This Row],[COD (mg L-1)]]/stableMED[[#This Row],[HRT 
(h)]]*24/1000</f>
        <v>0.12517121655107663</v>
      </c>
      <c r="AM81" s="6"/>
      <c r="AN81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3.7491344340993167E-2</v>
      </c>
      <c r="AO81" s="6">
        <f>Influent[[#This Row],[TN (mg L-1)]]/stableMED[[#This Row],[HRT 
(h)]]*24/1000</f>
        <v>6.615093596008742E-2</v>
      </c>
      <c r="AP81" s="6">
        <f>stableMED[[#This Row],[NRE 
(%)]]*stableMED[[#This Row],[NLR 
(kg N m-3 d-1)]]</f>
        <v>3.3493406464159124E-2</v>
      </c>
      <c r="AQ81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0.56684247265958265</v>
      </c>
      <c r="AR81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0.50631795269484292</v>
      </c>
      <c r="AS81" s="48">
        <f>82/30</f>
        <v>2.7333333333333334</v>
      </c>
      <c r="AT81" s="48">
        <v>0.60499999999999998</v>
      </c>
      <c r="AU81" s="48">
        <v>1.014</v>
      </c>
      <c r="AV81" s="6">
        <f>stableMED[[#This Row],[SAAcarrier
(g N g VSS-1d-1)]]+stableMED[[#This Row],[SAAsuspension
(g N g VSS-1d-1)]]</f>
        <v>1.619</v>
      </c>
      <c r="AW81" s="21">
        <f>stableMED[[#This Row],[SAAcarrier
(g N g VSS-1d-1)]]/MAX(stableMED[SAAcombined
(g N g VSS-1d-1)])</f>
        <v>0.29541015625</v>
      </c>
      <c r="AX81" s="21">
        <f>stableMED[[#This Row],[SAAsuspension
(g N g VSS-1d-1)]]/MAX(stableMED[SAAcombined
(g N g VSS-1d-1)])</f>
        <v>0.4951171875</v>
      </c>
      <c r="AY81" s="6">
        <f>stableMED[[#This Row],[NH4-N 
(mg L-1)]]-20</f>
        <v>538.47</v>
      </c>
      <c r="AZ81" s="6">
        <f>stableMED[[#This Row],[Ammonia residual to reach target]]*2.9</f>
        <v>1561.5630000000001</v>
      </c>
      <c r="BA81" s="6">
        <f>stableMED[[#This Row],[Alkalinity 
(mg CaCO3 L-1) ]]-stableMED[[#This Row],[Alkalinity need]]-70</f>
        <v>354.4369999999999</v>
      </c>
    </row>
    <row r="82" spans="1:56" x14ac:dyDescent="0.3">
      <c r="A82" s="128">
        <v>43405</v>
      </c>
      <c r="B82" s="29">
        <v>79</v>
      </c>
      <c r="C82" s="42">
        <v>2.8267745587694195</v>
      </c>
      <c r="D82" s="28">
        <f>stableMED[[#This Row],[Flow 
(L h-1)]]/1000*24</f>
        <v>6.7842589410466059E-2</v>
      </c>
      <c r="E82" s="42">
        <f>IF(IFERROR(Information!$R$47/stableMED[[#This Row],[Flow 
(m3 d-1)]]*24,0)&lt;0,0,IFERROR(Information!$R$47/stableMED[[#This Row],[Flow 
(m3 d-1)]]*24,0))</f>
        <v>424.51209852489842</v>
      </c>
      <c r="F82" s="42">
        <v>7.1745878500642153</v>
      </c>
      <c r="G82" s="42">
        <v>3.0341903840303837</v>
      </c>
      <c r="H82" s="41">
        <v>25.653600126701441</v>
      </c>
      <c r="I82" s="130"/>
      <c r="J82" s="130"/>
      <c r="K82" s="29">
        <v>1165</v>
      </c>
      <c r="L82" s="29">
        <f>stableMED[[#This Row],[COD 
(mg L-1)]]*Information!$AK$42</f>
        <v>827.15</v>
      </c>
      <c r="M82" s="29">
        <v>1905</v>
      </c>
      <c r="N82" s="29">
        <v>8.4</v>
      </c>
      <c r="O82" s="29">
        <v>144</v>
      </c>
      <c r="Q82" s="29">
        <v>5.22</v>
      </c>
      <c r="R82" s="29">
        <v>52.3</v>
      </c>
      <c r="S82" s="4">
        <f>stableMED[[#This Row],[NH4-N 
(mg L-1)]]*1.288</f>
        <v>1094.8901600000002</v>
      </c>
      <c r="T82" s="6">
        <f>stableMED[[#This Row],[NO2-N 
(mg L-1)]]*3.284</f>
        <v>149.62560799999997</v>
      </c>
      <c r="U82" s="6">
        <f>(stableMED[[#This Row],[NO3-N 
(mg L-1)]])*4.426</f>
        <v>29.822388</v>
      </c>
      <c r="V82" s="6">
        <v>850.07</v>
      </c>
      <c r="W82" s="6">
        <v>45.561999999999998</v>
      </c>
      <c r="X82" s="4">
        <f>IF(stableMED[[#This Row],[TON 
(mg L-1)]]-stableMED[[#This Row],[NO2-N 
(mg L-1)]]&lt;0,0.192,stableMED[[#This Row],[TON 
(mg L-1)]]-stableMED[[#This Row],[NO2-N 
(mg L-1)]])</f>
        <v>6.7379999999999995</v>
      </c>
      <c r="Y82" s="4">
        <f>SUM(stableMED[[#This Row],[NH4-N 
(mg L-1)]],stableMED[[#This Row],[NO3-N 
(mg L-1)]],stableMED[[#This Row],[NO2-N 
(mg L-1)]])</f>
        <v>902.37</v>
      </c>
      <c r="Z82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1.1984206033010815E-2</v>
      </c>
      <c r="AA82" s="48">
        <f>IF(IFERROR(stableMED[[#This Row],[NO2-N 
(mg L-1)]]/stableMED[[#This Row],[NH4-N 
(mg L-1)]],0)&lt;0,0,IFERROR(stableMED[[#This Row],[NO2-N 
(mg L-1)]]/stableMED[[#This Row],[NH4-N 
(mg L-1)]],0))</f>
        <v>5.3597938993259375E-2</v>
      </c>
      <c r="AB82" s="48">
        <f>stableMED[[#This Row],[NO2-N 
(mg L-1)]]/(stableMED[[#This Row],[NO3-N 
(mg L-1)]]+stableMED[[#This Row],[NO2-N 
(mg L-1)]])</f>
        <v>0.87116634799235182</v>
      </c>
      <c r="AC82" s="20">
        <f>46/14*stableMED[[#This Row],[NO2-N 
(mg L-1)]]/(EXP(-2300/(stableMED[[#This Row],[Temp. 
(°C)]]+273))*10^(stableMED[[#This Row],[pHreactor]]))</f>
        <v>2.2143502937820626E-2</v>
      </c>
      <c r="AD82" s="6">
        <f>17/14*stableMED[NH4-N 
(mg L-1)]*10^stableMED[[#This Row],[pHreactor]]/(EXP((6344/(273+stableMED[[#This Row],[Temp. 
(°C)]])))+10^stableMED[pHreactor])</f>
        <v>9.1040020624199105</v>
      </c>
      <c r="AE82" s="6">
        <f>Influent[[#This Row],[NH4-N (mg L-1)]]*stableMED[[#This Row],[Flow 
(m3 d-1)]]/(Information!$R$48*Information!$R$49)</f>
        <v>0.19961409885478193</v>
      </c>
      <c r="AF82" s="6">
        <f>(Influent[[#This Row],[NH4-N (mg L-1)]]-stableMED[[#This Row],[NH4-N 
(mg L-1)]])*stableMED[[#This Row],[Flow 
(m3 d-1)]]/(Information!$R$48*Information!$R$49)</f>
        <v>7.9466286396125893E-2</v>
      </c>
      <c r="AG82" s="6">
        <f>Influent[[#This Row],[COD (mg L-1)]]*stableMED[[#This Row],[Flow 
(m3 d-1)]]/(Information!$R$48*Information!$R$49)</f>
        <v>0.41694924741848932</v>
      </c>
      <c r="AH82" s="6">
        <f>(Influent[[#This Row],[COD (mg L-1)]]-stableMED[[#This Row],[COD 
(mg L-1)]])*stableMED[[#This Row],[Flow 
(m3 d-1)]]/(Information!$R$48*Information!$R$49)</f>
        <v>0.25228962937017063</v>
      </c>
      <c r="AI82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509.93999999999983</v>
      </c>
      <c r="AJ82" s="6">
        <f>IFERROR(IF(Influent[[#This Row],[COD (mg L-1)]]-stableMED[[#This Row],[COD 
(mg L-1)]]&lt;0,0,Influent[[#This Row],[COD (mg L-1)]]-stableMED[[#This Row],[COD 
(mg L-1)]]),0)</f>
        <v>1785</v>
      </c>
      <c r="AK82" s="6">
        <f>IFERROR(IF(Influent[[#This Row],[Alkalinity (mg CaCO3 L-1) ]]-stableMED[[#This Row],[Alkalinity 
(mg CaCO3 L-1) ]]&lt;0,0,Influent[[#This Row],[Alkalinity (mg CaCO3 L-1) ]]-stableMED[[#This Row],[Alkalinity 
(mg CaCO3 L-1) ]]),0)</f>
        <v>2988</v>
      </c>
      <c r="AL82" s="6">
        <f>Influent[[#This Row],[COD (mg L-1)]]/stableMED[[#This Row],[HRT 
(h)]]*24/1000</f>
        <v>0.16677969896739575</v>
      </c>
      <c r="AM82" s="6">
        <f>IF(((stableMED[[#This Row],[ΔC (mg L-1)]])*24/stableMED[[#This Row],[HRT 
(h)]]/1000) &lt;0,0, (stableMED[[#This Row],[ΔC (mg L-1)]])*24/stableMED[[#This Row],[HRT 
(h)]]/1000)</f>
        <v>0.10091585174806826</v>
      </c>
      <c r="AN82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3.1786514558450357E-2</v>
      </c>
      <c r="AO82" s="6">
        <f>Influent[[#This Row],[TN (mg L-1)]]/stableMED[[#This Row],[HRT 
(h)]]*24/1000</f>
        <v>7.9856946640147836E-2</v>
      </c>
      <c r="AP82" s="6">
        <f>stableMED[[#This Row],[NRE 
(%)]]*stableMED[[#This Row],[NLR 
(kg N m-3 d-1)]]</f>
        <v>2.8841015468212626E-2</v>
      </c>
      <c r="AQ82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0.3980995673754345</v>
      </c>
      <c r="AR82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0.36115850507253044</v>
      </c>
      <c r="AS82" s="48"/>
      <c r="AT82" s="48"/>
      <c r="AU82" s="48"/>
      <c r="AV82" s="6"/>
      <c r="AW82" s="21"/>
      <c r="AX82" s="21"/>
      <c r="AY82" s="6">
        <f>stableMED[[#This Row],[NH4-N 
(mg L-1)]]-20</f>
        <v>830.07</v>
      </c>
      <c r="AZ82" s="6">
        <f>stableMED[[#This Row],[Ammonia residual to reach target]]*2.9</f>
        <v>2407.203</v>
      </c>
      <c r="BA82" s="6">
        <f>stableMED[[#This Row],[Alkalinity 
(mg CaCO3 L-1) ]]-stableMED[[#This Row],[Alkalinity need]]-70</f>
        <v>-572.20299999999997</v>
      </c>
    </row>
    <row r="83" spans="1:56" x14ac:dyDescent="0.3">
      <c r="A83" s="128">
        <v>43406</v>
      </c>
      <c r="B83" s="29">
        <v>80</v>
      </c>
      <c r="C83" s="42">
        <v>21.925123654898155</v>
      </c>
      <c r="D83" s="28">
        <f>stableMED[[#This Row],[Flow 
(L h-1)]]/1000*24</f>
        <v>0.5262029677175557</v>
      </c>
      <c r="E83" s="42">
        <f>IF(IFERROR(Information!$R$47/stableMED[[#This Row],[Flow 
(m3 d-1)]]*24,0)&lt;0,0,IFERROR(Information!$R$47/stableMED[[#This Row],[Flow 
(m3 d-1)]]*24,0))</f>
        <v>54.731732367307103</v>
      </c>
      <c r="F83" s="42">
        <v>6.8846060035544028</v>
      </c>
      <c r="G83" s="42">
        <v>0.73704616367785891</v>
      </c>
      <c r="H83" s="41">
        <v>29.841574110450203</v>
      </c>
      <c r="I83" s="130"/>
      <c r="J83" s="130"/>
      <c r="K83" s="29">
        <v>1290</v>
      </c>
      <c r="L83" s="29">
        <f>stableMED[[#This Row],[COD 
(mg L-1)]]*Information!$AK$42</f>
        <v>915.9</v>
      </c>
      <c r="M83" s="29">
        <v>2181</v>
      </c>
      <c r="N83" s="29">
        <v>8.3000000000000007</v>
      </c>
      <c r="O83" s="29">
        <v>96</v>
      </c>
      <c r="Q83" s="29">
        <v>7.3</v>
      </c>
      <c r="R83" s="29">
        <v>59.1</v>
      </c>
      <c r="S83" s="4">
        <f>stableMED[[#This Row],[NH4-N 
(mg L-1)]]*1.288</f>
        <v>1181.0316</v>
      </c>
      <c r="T83" s="6">
        <f>stableMED[[#This Row],[NO2-N 
(mg L-1)]]*3.284</f>
        <v>196.567104</v>
      </c>
      <c r="U83" s="6">
        <f>(stableMED[[#This Row],[NO3-N 
(mg L-1)]])*4.426</f>
        <v>0.8497920000000001</v>
      </c>
      <c r="V83" s="6">
        <v>916.95</v>
      </c>
      <c r="W83" s="6">
        <v>59.856000000000002</v>
      </c>
      <c r="X83" s="4">
        <f>IF(stableMED[[#This Row],[TON 
(mg L-1)]]-stableMED[[#This Row],[NO2-N 
(mg L-1)]]&lt;0,0.192,stableMED[[#This Row],[TON 
(mg L-1)]]-stableMED[[#This Row],[NO2-N 
(mg L-1)]])</f>
        <v>0.192</v>
      </c>
      <c r="Y83" s="4">
        <f>SUM(stableMED[[#This Row],[NH4-N 
(mg L-1)]],stableMED[[#This Row],[NO3-N 
(mg L-1)]],stableMED[[#This Row],[NO2-N 
(mg L-1)]])</f>
        <v>976.99800000000005</v>
      </c>
      <c r="Z83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3.6519258202567762E-4</v>
      </c>
      <c r="AA83" s="48">
        <f>IF(IFERROR(stableMED[[#This Row],[NO2-N 
(mg L-1)]]/stableMED[[#This Row],[NH4-N 
(mg L-1)]],0)&lt;0,0,IFERROR(stableMED[[#This Row],[NO2-N 
(mg L-1)]]/stableMED[[#This Row],[NH4-N 
(mg L-1)]],0))</f>
        <v>6.5277277932275474E-2</v>
      </c>
      <c r="AB83" s="48">
        <f>stableMED[[#This Row],[NO2-N 
(mg L-1)]]/(stableMED[[#This Row],[NO3-N 
(mg L-1)]]+stableMED[[#This Row],[NO2-N 
(mg L-1)]])</f>
        <v>0.99680255795363704</v>
      </c>
      <c r="AC83" s="20">
        <f>46/14*stableMED[[#This Row],[NO2-N 
(mg L-1)]]/(EXP(-2300/(stableMED[[#This Row],[Temp. 
(°C)]]+273))*10^(stableMED[[#This Row],[pHreactor]]))</f>
        <v>5.0989509102392687E-2</v>
      </c>
      <c r="AD83" s="6">
        <f>17/14*stableMED[NH4-N 
(mg L-1)]*10^stableMED[[#This Row],[pHreactor]]/(EXP((6344/(273+stableMED[[#This Row],[Temp. 
(°C)]])))+10^stableMED[pHreactor])</f>
        <v>6.7750722405657742</v>
      </c>
      <c r="AE83" s="6">
        <f>Influent[[#This Row],[NH4-N (mg L-1)]]*stableMED[[#This Row],[Flow 
(m3 d-1)]]/(Information!$R$48*Information!$R$49)</f>
        <v>1.5815687948460784</v>
      </c>
      <c r="AF83" s="6">
        <f>(Influent[[#This Row],[NH4-N (mg L-1)]]-stableMED[[#This Row],[NH4-N 
(mg L-1)]])*stableMED[[#This Row],[Flow 
(m3 d-1)]]/(Information!$R$48*Information!$R$49)</f>
        <v>0.57635668807813523</v>
      </c>
      <c r="AG83" s="6">
        <f>Influent[[#This Row],[COD (mg L-1)]]*stableMED[[#This Row],[Flow 
(m3 d-1)]]/(Information!$R$48*Information!$R$49)</f>
        <v>3.2394370200112022</v>
      </c>
      <c r="AH83" s="6">
        <f>(Influent[[#This Row],[COD (mg L-1)]]-stableMED[[#This Row],[COD 
(mg L-1)]])*stableMED[[#This Row],[Flow 
(m3 d-1)]]/(Information!$R$48*Information!$R$49)</f>
        <v>1.8252665442702714</v>
      </c>
      <c r="AI83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465.702</v>
      </c>
      <c r="AJ83" s="6">
        <f>IFERROR(IF(Influent[[#This Row],[COD (mg L-1)]]-stableMED[[#This Row],[COD 
(mg L-1)]]&lt;0,0,Influent[[#This Row],[COD (mg L-1)]]-stableMED[[#This Row],[COD 
(mg L-1)]]),0)</f>
        <v>1665</v>
      </c>
      <c r="AK83" s="6">
        <f>IFERROR(IF(Influent[[#This Row],[Alkalinity (mg CaCO3 L-1) ]]-stableMED[[#This Row],[Alkalinity 
(mg CaCO3 L-1) ]]&lt;0,0,Influent[[#This Row],[Alkalinity (mg CaCO3 L-1) ]]-stableMED[[#This Row],[Alkalinity 
(mg CaCO3 L-1) ]]),0)</f>
        <v>2672</v>
      </c>
      <c r="AL83" s="6">
        <f>Influent[[#This Row],[COD (mg L-1)]]/stableMED[[#This Row],[HRT 
(h)]]*24/1000</f>
        <v>1.2957748080044811</v>
      </c>
      <c r="AM83" s="6">
        <f>IF(((stableMED[[#This Row],[ΔC (mg L-1)]])*24/stableMED[[#This Row],[HRT 
(h)]]/1000) &lt;0,0, (stableMED[[#This Row],[ΔC (mg L-1)]])*24/stableMED[[#This Row],[HRT 
(h)]]/1000)</f>
        <v>0.73010661770810859</v>
      </c>
      <c r="AN83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0.2305426752312541</v>
      </c>
      <c r="AO83" s="6">
        <f>Influent[[#This Row],[TN (mg L-1)]]/stableMED[[#This Row],[HRT 
(h)]]*24/1000</f>
        <v>0.6327152184330509</v>
      </c>
      <c r="AP83" s="6">
        <f>stableMED[[#This Row],[NRE 
(%)]]*stableMED[[#This Row],[NLR 
(kg N m-3 d-1)]]</f>
        <v>0.20429917922128718</v>
      </c>
      <c r="AQ83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0.36442087752131419</v>
      </c>
      <c r="AR83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0.32289278536281102</v>
      </c>
      <c r="AS83" s="48"/>
      <c r="AT83" s="48"/>
      <c r="AU83" s="48"/>
      <c r="AV83" s="6"/>
      <c r="AW83" s="21"/>
      <c r="AX83" s="21"/>
      <c r="AY83" s="6">
        <f>stableMED[[#This Row],[NH4-N 
(mg L-1)]]-20</f>
        <v>896.95</v>
      </c>
      <c r="AZ83" s="6">
        <f>stableMED[[#This Row],[Ammonia residual to reach target]]*2.9</f>
        <v>2601.1550000000002</v>
      </c>
      <c r="BA83" s="6">
        <f>stableMED[[#This Row],[Alkalinity 
(mg CaCO3 L-1) ]]-stableMED[[#This Row],[Alkalinity need]]-70</f>
        <v>-490.1550000000002</v>
      </c>
    </row>
    <row r="84" spans="1:56" x14ac:dyDescent="0.3">
      <c r="A84" s="128">
        <v>43407</v>
      </c>
      <c r="B84" s="29">
        <v>81</v>
      </c>
      <c r="C84" s="42">
        <v>35.527486116511255</v>
      </c>
      <c r="D84" s="28">
        <f>stableMED[[#This Row],[Flow 
(L h-1)]]/1000*24</f>
        <v>0.85265966679627014</v>
      </c>
      <c r="E84" s="42">
        <f>IF(IFERROR(Information!$R$47/stableMED[[#This Row],[Flow 
(m3 d-1)]]*24,0)&lt;0,0,IFERROR(Information!$R$47/stableMED[[#This Row],[Flow 
(m3 d-1)]]*24,0))</f>
        <v>33.77666508867636</v>
      </c>
      <c r="F84" s="42">
        <v>7.4738849428369534</v>
      </c>
      <c r="G84" s="42">
        <v>0.43361289468450043</v>
      </c>
      <c r="H84" s="41">
        <v>30.901050032033393</v>
      </c>
      <c r="I84" s="130"/>
      <c r="J84" s="130"/>
      <c r="K84" s="29">
        <v>1490</v>
      </c>
      <c r="L84" s="29">
        <f>stableMED[[#This Row],[COD 
(mg L-1)]]*Information!$AK$42</f>
        <v>1057.8999999999999</v>
      </c>
      <c r="M84" s="29">
        <v>3089</v>
      </c>
      <c r="N84" s="29">
        <v>8.5</v>
      </c>
      <c r="O84" s="29">
        <v>126</v>
      </c>
      <c r="Q84" s="29">
        <v>7.89</v>
      </c>
      <c r="R84" s="29">
        <v>9.1999999999999993</v>
      </c>
      <c r="S84" s="4">
        <f>stableMED[[#This Row],[NH4-N 
(mg L-1)]]*1.288</f>
        <v>1051.5747200000001</v>
      </c>
      <c r="T84" s="6">
        <f>stableMED[[#This Row],[NO2-N 
(mg L-1)]]*3.284</f>
        <v>1.3792799999999998</v>
      </c>
      <c r="U84" s="6">
        <f>(stableMED[[#This Row],[NO3-N 
(mg L-1)]])*4.426</f>
        <v>38.860279999999996</v>
      </c>
      <c r="V84" s="6">
        <v>816.44</v>
      </c>
      <c r="W84" s="6">
        <v>0.42</v>
      </c>
      <c r="X84" s="4">
        <f>IF(stableMED[[#This Row],[TON 
(mg L-1)]]-stableMED[[#This Row],[NO2-N 
(mg L-1)]]&lt;0,0.192,stableMED[[#This Row],[TON 
(mg L-1)]]-stableMED[[#This Row],[NO2-N 
(mg L-1)]])</f>
        <v>8.7799999999999994</v>
      </c>
      <c r="Y84" s="4">
        <f>SUM(stableMED[[#This Row],[NH4-N 
(mg L-1)]],stableMED[[#This Row],[NO3-N 
(mg L-1)]],stableMED[[#This Row],[NO2-N 
(mg L-1)]])</f>
        <v>825.64</v>
      </c>
      <c r="Z84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1.4864727592862224E-2</v>
      </c>
      <c r="AA84" s="48">
        <f>IF(IFERROR(stableMED[[#This Row],[NO2-N 
(mg L-1)]]/stableMED[[#This Row],[NH4-N 
(mg L-1)]],0)&lt;0,0,IFERROR(stableMED[[#This Row],[NO2-N 
(mg L-1)]]/stableMED[[#This Row],[NH4-N 
(mg L-1)]],0))</f>
        <v>5.1442849443927288E-4</v>
      </c>
      <c r="AB84" s="48">
        <f>stableMED[[#This Row],[NO2-N 
(mg L-1)]]/(stableMED[[#This Row],[NO3-N 
(mg L-1)]]+stableMED[[#This Row],[NO2-N 
(mg L-1)]])</f>
        <v>4.5652173913043478E-2</v>
      </c>
      <c r="AC84" s="20">
        <f>46/14*stableMED[[#This Row],[NO2-N 
(mg L-1)]]/(EXP(-2300/(stableMED[[#This Row],[Temp. 
(°C)]]+273))*10^(stableMED[[#This Row],[pHreactor]]))</f>
        <v>8.9710775532330514E-5</v>
      </c>
      <c r="AD84" s="6">
        <f>17/14*stableMED[NH4-N 
(mg L-1)]*10^stableMED[[#This Row],[pHreactor]]/(EXP((6344/(273+stableMED[[#This Row],[Temp. 
(°C)]])))+10^stableMED[pHreactor])</f>
        <v>24.726901348223219</v>
      </c>
      <c r="AE84" s="6">
        <f>Influent[[#This Row],[NH4-N (mg L-1)]]*stableMED[[#This Row],[Flow 
(m3 d-1)]]/(Information!$R$48*Information!$R$49)</f>
        <v>2.499536285727149</v>
      </c>
      <c r="AF84" s="6">
        <f>(Influent[[#This Row],[NH4-N (mg L-1)]]-stableMED[[#This Row],[NH4-N 
(mg L-1)]])*stableMED[[#This Row],[Flow 
(m3 d-1)]]/(Information!$R$48*Information!$R$49)</f>
        <v>1.0492332474789265</v>
      </c>
      <c r="AG84" s="6">
        <f>Influent[[#This Row],[COD (mg L-1)]]*stableMED[[#This Row],[Flow 
(m3 d-1)]]/(Information!$R$48*Information!$R$49)</f>
        <v>5.3380047890058169</v>
      </c>
      <c r="AH84" s="6">
        <f>(Influent[[#This Row],[COD (mg L-1)]]-stableMED[[#This Row],[COD 
(mg L-1)]])*stableMED[[#This Row],[Flow 
(m3 d-1)]]/(Information!$R$48*Information!$R$49)</f>
        <v>2.6912070733257276</v>
      </c>
      <c r="AI84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581.45999999999992</v>
      </c>
      <c r="AJ84" s="6">
        <f>IFERROR(IF(Influent[[#This Row],[COD (mg L-1)]]-stableMED[[#This Row],[COD 
(mg L-1)]]&lt;0,0,Influent[[#This Row],[COD (mg L-1)]]-stableMED[[#This Row],[COD 
(mg L-1)]]),0)</f>
        <v>1515</v>
      </c>
      <c r="AK84" s="6">
        <f>IFERROR(IF(Influent[[#This Row],[Alkalinity (mg CaCO3 L-1) ]]-stableMED[[#This Row],[Alkalinity 
(mg CaCO3 L-1) ]]&lt;0,0,Influent[[#This Row],[Alkalinity (mg CaCO3 L-1) ]]-stableMED[[#This Row],[Alkalinity 
(mg CaCO3 L-1) ]]),0)</f>
        <v>1786</v>
      </c>
      <c r="AL84" s="6">
        <f>Influent[[#This Row],[COD (mg L-1)]]/stableMED[[#This Row],[HRT 
(h)]]*24/1000</f>
        <v>2.1352019156023272</v>
      </c>
      <c r="AM84" s="6">
        <f>IF(((stableMED[[#This Row],[ΔC (mg L-1)]])*24/stableMED[[#This Row],[HRT 
(h)]]/1000) &lt;0,0, (stableMED[[#This Row],[ΔC (mg L-1)]])*24/stableMED[[#This Row],[HRT 
(h)]]/1000)</f>
        <v>1.0764828293302913</v>
      </c>
      <c r="AN84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0.41969329899157071</v>
      </c>
      <c r="AO84" s="6">
        <f>Influent[[#This Row],[TN (mg L-1)]]/stableMED[[#This Row],[HRT 
(h)]]*24/1000</f>
        <v>0.99995662423532594</v>
      </c>
      <c r="AP84" s="6">
        <f>stableMED[[#This Row],[NRE 
(%)]]*stableMED[[#This Row],[NLR 
(kg N m-3 d-1)]]</f>
        <v>0.41329835149059879</v>
      </c>
      <c r="AQ84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0.4197711605429606</v>
      </c>
      <c r="AR84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0.41331627940026999</v>
      </c>
      <c r="AS84" s="48"/>
      <c r="AT84" s="48"/>
      <c r="AU84" s="48"/>
      <c r="AV84" s="6"/>
      <c r="AW84" s="21"/>
      <c r="AX84" s="21"/>
      <c r="AY84" s="6">
        <f>stableMED[[#This Row],[NH4-N 
(mg L-1)]]-20</f>
        <v>796.44</v>
      </c>
      <c r="AZ84" s="6">
        <f>stableMED[[#This Row],[Ammonia residual to reach target]]*2.9</f>
        <v>2309.6759999999999</v>
      </c>
      <c r="BA84" s="6">
        <f>stableMED[[#This Row],[Alkalinity 
(mg CaCO3 L-1) ]]-stableMED[[#This Row],[Alkalinity need]]-70</f>
        <v>709.32400000000007</v>
      </c>
    </row>
    <row r="85" spans="1:56" x14ac:dyDescent="0.3">
      <c r="A85" s="128">
        <v>43408</v>
      </c>
      <c r="B85" s="29">
        <v>82</v>
      </c>
      <c r="C85" s="42">
        <v>6.8305059025495343</v>
      </c>
      <c r="D85" s="28">
        <f>stableMED[[#This Row],[Flow 
(L h-1)]]/1000*24</f>
        <v>0.1639321416611888</v>
      </c>
      <c r="E85" s="42">
        <f>IF(IFERROR(Information!$R$47/stableMED[[#This Row],[Flow 
(m3 d-1)]]*24,0)&lt;0,0,IFERROR(Information!$R$47/stableMED[[#This Row],[Flow 
(m3 d-1)]]*24,0))</f>
        <v>175.68244828718935</v>
      </c>
      <c r="F85" s="42">
        <v>7.7156385377395988</v>
      </c>
      <c r="G85" s="42">
        <v>0.51758373778278488</v>
      </c>
      <c r="H85" s="41">
        <v>30.869536382297145</v>
      </c>
      <c r="I85" s="130"/>
      <c r="J85" s="130"/>
      <c r="K85" s="29">
        <v>1490</v>
      </c>
      <c r="L85" s="29">
        <f>stableMED[[#This Row],[COD 
(mg L-1)]]*Information!$AK$42</f>
        <v>1057.8999999999999</v>
      </c>
      <c r="M85" s="29">
        <v>2901</v>
      </c>
      <c r="N85" s="29">
        <v>8.5</v>
      </c>
      <c r="O85" s="29">
        <v>50</v>
      </c>
      <c r="Q85" s="29">
        <v>6.58</v>
      </c>
      <c r="R85" s="29">
        <v>9.6</v>
      </c>
      <c r="S85" s="4">
        <f>stableMED[[#This Row],[NH4-N 
(mg L-1)]]*1.288</f>
        <v>1051.5747200000001</v>
      </c>
      <c r="T85" s="6">
        <f>stableMED[[#This Row],[NO2-N 
(mg L-1)]]*3.284</f>
        <v>21.552891999999996</v>
      </c>
      <c r="U85" s="6">
        <f>(stableMED[[#This Row],[NO3-N 
(mg L-1)]])*4.426</f>
        <v>13.441762000000001</v>
      </c>
      <c r="V85" s="6">
        <v>816.44</v>
      </c>
      <c r="W85" s="6">
        <v>6.5629999999999997</v>
      </c>
      <c r="X85" s="4">
        <f>IF(stableMED[[#This Row],[TON 
(mg L-1)]]-stableMED[[#This Row],[NO2-N 
(mg L-1)]]&lt;0,0.192,stableMED[[#This Row],[TON 
(mg L-1)]]-stableMED[[#This Row],[NO2-N 
(mg L-1)]])</f>
        <v>3.0369999999999999</v>
      </c>
      <c r="Y85" s="4">
        <f>SUM(stableMED[[#This Row],[NH4-N 
(mg L-1)]],stableMED[[#This Row],[NO3-N 
(mg L-1)]],stableMED[[#This Row],[NO2-N 
(mg L-1)]])</f>
        <v>826.04000000000008</v>
      </c>
      <c r="Z85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5.1135693960364373E-3</v>
      </c>
      <c r="AA85" s="48">
        <f>IF(IFERROR(stableMED[[#This Row],[NO2-N 
(mg L-1)]]/stableMED[[#This Row],[NH4-N 
(mg L-1)]],0)&lt;0,0,IFERROR(stableMED[[#This Row],[NO2-N 
(mg L-1)]]/stableMED[[#This Row],[NH4-N 
(mg L-1)]],0))</f>
        <v>8.0385576404879717E-3</v>
      </c>
      <c r="AB85" s="48">
        <f>stableMED[[#This Row],[NO2-N 
(mg L-1)]]/(stableMED[[#This Row],[NO3-N 
(mg L-1)]]+stableMED[[#This Row],[NO2-N 
(mg L-1)]])</f>
        <v>0.68364583333333329</v>
      </c>
      <c r="AC85" s="20">
        <f>46/14*stableMED[[#This Row],[NO2-N 
(mg L-1)]]/(EXP(-2300/(stableMED[[#This Row],[Temp. 
(°C)]]+273))*10^(stableMED[[#This Row],[pHreactor]]))</f>
        <v>8.0405360262094543E-4</v>
      </c>
      <c r="AD85" s="6">
        <f>17/14*stableMED[NH4-N 
(mg L-1)]*10^stableMED[[#This Row],[pHreactor]]/(EXP((6344/(273+stableMED[[#This Row],[Temp. 
(°C)]])))+10^stableMED[pHreactor])</f>
        <v>42.269704217428533</v>
      </c>
      <c r="AE85" s="6">
        <f>Influent[[#This Row],[NH4-N (mg L-1)]]*stableMED[[#This Row],[Flow 
(m3 d-1)]]/(Information!$R$48*Information!$R$49)</f>
        <v>0.48167019998303667</v>
      </c>
      <c r="AF85" s="6">
        <f>(Influent[[#This Row],[NH4-N (mg L-1)]]-stableMED[[#This Row],[NH4-N 
(mg L-1)]])*stableMED[[#This Row],[Flow 
(m3 d-1)]]/(Information!$R$48*Information!$R$49)</f>
        <v>0.20283528802915962</v>
      </c>
      <c r="AG85" s="6">
        <f>Influent[[#This Row],[COD (mg L-1)]]*stableMED[[#This Row],[Flow 
(m3 d-1)]]/(Information!$R$48*Information!$R$49)</f>
        <v>1.0228682589067926</v>
      </c>
      <c r="AH85" s="6">
        <f>(Influent[[#This Row],[COD (mg L-1)]]-stableMED[[#This Row],[COD 
(mg L-1)]])*stableMED[[#This Row],[Flow 
(m3 d-1)]]/(Information!$R$48*Information!$R$49)</f>
        <v>0.51399556916685241</v>
      </c>
      <c r="AI85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584.30999999999983</v>
      </c>
      <c r="AJ85" s="6">
        <f>IFERROR(IF(Influent[[#This Row],[COD (mg L-1)]]-stableMED[[#This Row],[COD 
(mg L-1)]]&lt;0,0,Influent[[#This Row],[COD (mg L-1)]]-stableMED[[#This Row],[COD 
(mg L-1)]]),0)</f>
        <v>1505</v>
      </c>
      <c r="AK85" s="6">
        <f>IFERROR(IF(Influent[[#This Row],[Alkalinity (mg CaCO3 L-1) ]]-stableMED[[#This Row],[Alkalinity 
(mg CaCO3 L-1) ]]&lt;0,0,Influent[[#This Row],[Alkalinity (mg CaCO3 L-1) ]]-stableMED[[#This Row],[Alkalinity 
(mg CaCO3 L-1) ]]),0)</f>
        <v>1957</v>
      </c>
      <c r="AL85" s="6">
        <f>Influent[[#This Row],[COD (mg L-1)]]/stableMED[[#This Row],[HRT 
(h)]]*24/1000</f>
        <v>0.40914730356271706</v>
      </c>
      <c r="AM85" s="6">
        <f>IF(((stableMED[[#This Row],[ΔC (mg L-1)]])*24/stableMED[[#This Row],[HRT 
(h)]]/1000) &lt;0,0, (stableMED[[#This Row],[ΔC (mg L-1)]])*24/stableMED[[#This Row],[HRT 
(h)]]/1000)</f>
        <v>0.20559822766674096</v>
      </c>
      <c r="AN85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8.113411521166386E-2</v>
      </c>
      <c r="AO85" s="6">
        <f>Influent[[#This Row],[TN (mg L-1)]]/stableMED[[#This Row],[HRT 
(h)]]*24/1000</f>
        <v>0.19269540201682486</v>
      </c>
      <c r="AP85" s="6">
        <f>stableMED[[#This Row],[NRE 
(%)]]*stableMED[[#This Row],[NLR 
(kg N m-3 d-1)]]</f>
        <v>7.9849980101984533E-2</v>
      </c>
      <c r="AQ85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0.42110823554436833</v>
      </c>
      <c r="AR85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0.41438445996242596</v>
      </c>
      <c r="AS85" s="48"/>
      <c r="AT85" s="48"/>
      <c r="AU85" s="48"/>
      <c r="AV85" s="6"/>
      <c r="AW85" s="21"/>
      <c r="AX85" s="21"/>
      <c r="AY85" s="6">
        <f>stableMED[[#This Row],[NH4-N 
(mg L-1)]]-20</f>
        <v>796.44</v>
      </c>
      <c r="AZ85" s="6">
        <f>stableMED[[#This Row],[Ammonia residual to reach target]]*2.9</f>
        <v>2309.6759999999999</v>
      </c>
      <c r="BA85" s="6">
        <f>stableMED[[#This Row],[Alkalinity 
(mg CaCO3 L-1) ]]-stableMED[[#This Row],[Alkalinity need]]-70</f>
        <v>521.32400000000007</v>
      </c>
    </row>
    <row r="86" spans="1:56" x14ac:dyDescent="0.3">
      <c r="A86" s="128">
        <v>43409</v>
      </c>
      <c r="B86" s="29">
        <v>83</v>
      </c>
      <c r="C86" s="42">
        <v>1.0524774384722035</v>
      </c>
      <c r="D86" s="28">
        <f>stableMED[[#This Row],[Flow 
(L h-1)]]/1000*24</f>
        <v>2.5259458523332882E-2</v>
      </c>
      <c r="E86" s="42">
        <f>IF(IFERROR(Information!$R$47/stableMED[[#This Row],[Flow 
(m3 d-1)]]*24,0)&lt;0,0,IFERROR(Information!$R$47/stableMED[[#This Row],[Flow 
(m3 d-1)]]*24,0))</f>
        <v>1140.1669585829252</v>
      </c>
      <c r="F86" s="42">
        <v>7.834439008528058</v>
      </c>
      <c r="G86" s="42">
        <v>0.79096667806810905</v>
      </c>
      <c r="H86" s="41">
        <v>29.124351353829041</v>
      </c>
      <c r="I86" s="130">
        <v>48</v>
      </c>
      <c r="J86" s="130">
        <v>13</v>
      </c>
      <c r="K86" s="29">
        <v>1440</v>
      </c>
      <c r="L86" s="29">
        <f>stableMED[[#This Row],[COD 
(mg L-1)]]*Information!$AK$42</f>
        <v>1022.4</v>
      </c>
      <c r="M86" s="29">
        <v>2913</v>
      </c>
      <c r="N86" s="29">
        <v>8.4</v>
      </c>
      <c r="Q86" s="29">
        <v>6.57</v>
      </c>
      <c r="R86" s="29">
        <v>8.6</v>
      </c>
      <c r="S86" s="4">
        <f>stableMED[[#This Row],[NH4-N 
(mg L-1)]]*1.288</f>
        <v>1040.61384</v>
      </c>
      <c r="T86" s="6">
        <f>stableMED[[#This Row],[NO2-N 
(mg L-1)]]*3.284</f>
        <v>19.378883999999999</v>
      </c>
      <c r="U86" s="6">
        <f>(stableMED[[#This Row],[NO3-N 
(mg L-1)]])*4.426</f>
        <v>11.945774</v>
      </c>
      <c r="V86" s="6">
        <v>807.93</v>
      </c>
      <c r="W86" s="6">
        <v>5.9009999999999998</v>
      </c>
      <c r="X86" s="4">
        <f>IF(stableMED[[#This Row],[TON 
(mg L-1)]]-stableMED[[#This Row],[NO2-N 
(mg L-1)]]&lt;0,0.192,stableMED[[#This Row],[TON 
(mg L-1)]]-stableMED[[#This Row],[NO2-N 
(mg L-1)]])</f>
        <v>2.6989999999999998</v>
      </c>
      <c r="Y86" s="4">
        <f>SUM(stableMED[[#This Row],[NH4-N 
(mg L-1)]],stableMED[[#This Row],[NO3-N 
(mg L-1)]],stableMED[[#This Row],[NO2-N 
(mg L-1)]])</f>
        <v>816.52999999999986</v>
      </c>
      <c r="Z86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5.7307259485742173E-3</v>
      </c>
      <c r="AA86" s="48">
        <f>IF(IFERROR(stableMED[[#This Row],[NO2-N 
(mg L-1)]]/stableMED[[#This Row],[NH4-N 
(mg L-1)]],0)&lt;0,0,IFERROR(stableMED[[#This Row],[NO2-N 
(mg L-1)]]/stableMED[[#This Row],[NH4-N 
(mg L-1)]],0))</f>
        <v>7.3038505811147004E-3</v>
      </c>
      <c r="AB86" s="48">
        <f>stableMED[[#This Row],[NO2-N 
(mg L-1)]]/(stableMED[[#This Row],[NO3-N 
(mg L-1)]]+stableMED[[#This Row],[NO2-N 
(mg L-1)]])</f>
        <v>0.68616279069767439</v>
      </c>
      <c r="AC86" s="20">
        <f>46/14*stableMED[[#This Row],[NO2-N 
(mg L-1)]]/(EXP(-2300/(stableMED[[#This Row],[Temp. 
(°C)]]+273))*10^(stableMED[[#This Row],[pHreactor]]))</f>
        <v>5.7450763901879646E-4</v>
      </c>
      <c r="AD86" s="6">
        <f>17/14*stableMED[NH4-N 
(mg L-1)]*10^stableMED[[#This Row],[pHreactor]]/(EXP((6344/(273+stableMED[[#This Row],[Temp. 
(°C)]])))+10^stableMED[pHreactor])</f>
        <v>48.401135544672606</v>
      </c>
      <c r="AE86" s="6">
        <f>Influent[[#This Row],[NH4-N (mg L-1)]]*stableMED[[#This Row],[Flow 
(m3 d-1)]]/(Information!$R$48*Information!$R$49)</f>
        <v>6.7300669803105062E-2</v>
      </c>
      <c r="AF86" s="6">
        <f>(Influent[[#This Row],[NH4-N (mg L-1)]]-stableMED[[#This Row],[NH4-N 
(mg L-1)]])*stableMED[[#This Row],[Flow 
(m3 d-1)]]/(Information!$R$48*Information!$R$49)</f>
        <v>2.478426495986269E-2</v>
      </c>
      <c r="AG86" s="6">
        <f>Influent[[#This Row],[COD (mg L-1)]]*stableMED[[#This Row],[Flow 
(m3 d-1)]]/(Information!$R$48*Information!$R$49)</f>
        <v>0.13471711212444204</v>
      </c>
      <c r="AH86" s="6">
        <f>(Influent[[#This Row],[COD (mg L-1)]]-stableMED[[#This Row],[COD 
(mg L-1)]])*stableMED[[#This Row],[Flow 
(m3 d-1)]]/(Information!$R$48*Information!$R$49)</f>
        <v>5.8938736554443392E-2</v>
      </c>
      <c r="AI86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462.37000000000023</v>
      </c>
      <c r="AJ86" s="6">
        <f>IFERROR(IF(Influent[[#This Row],[COD (mg L-1)]]-stableMED[[#This Row],[COD 
(mg L-1)]]&lt;0,0,Influent[[#This Row],[COD (mg L-1)]]-stableMED[[#This Row],[COD 
(mg L-1)]]),0)</f>
        <v>1120</v>
      </c>
      <c r="AK86" s="6">
        <f>IFERROR(IF(Influent[[#This Row],[Alkalinity (mg CaCO3 L-1) ]]-stableMED[[#This Row],[Alkalinity 
(mg CaCO3 L-1) ]]&lt;0,0,Influent[[#This Row],[Alkalinity (mg CaCO3 L-1) ]]-stableMED[[#This Row],[Alkalinity 
(mg CaCO3 L-1) ]]),0)</f>
        <v>1609</v>
      </c>
      <c r="AL86" s="6">
        <f>Influent[[#This Row],[COD (mg L-1)]]/stableMED[[#This Row],[HRT 
(h)]]*24/1000</f>
        <v>5.3886844849776815E-2</v>
      </c>
      <c r="AM86" s="6">
        <f>IF(((stableMED[[#This Row],[ΔC (mg L-1)]])*24/stableMED[[#This Row],[HRT 
(h)]]/1000) &lt;0,0, (stableMED[[#This Row],[ΔC (mg L-1)]])*24/stableMED[[#This Row],[HRT 
(h)]]/1000)</f>
        <v>2.3575494621777358E-2</v>
      </c>
      <c r="AN86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9.9137059839450765E-3</v>
      </c>
      <c r="AO86" s="6">
        <f>Influent[[#This Row],[TN (mg L-1)]]/stableMED[[#This Row],[HRT 
(h)]]*24/1000</f>
        <v>2.6924477830995913E-2</v>
      </c>
      <c r="AP86" s="6">
        <f>stableMED[[#This Row],[NRE 
(%)]]*stableMED[[#This Row],[NLR 
(kg N m-3 d-1)]]</f>
        <v>9.7368897742817484E-3</v>
      </c>
      <c r="AQ86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0.36826178747361021</v>
      </c>
      <c r="AR86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0.3616370885779065</v>
      </c>
      <c r="AS86" s="48"/>
      <c r="AT86" s="48"/>
      <c r="AU86" s="48"/>
      <c r="AV86" s="6"/>
      <c r="AW86" s="21"/>
      <c r="AX86" s="21"/>
      <c r="AY86" s="6">
        <f>stableMED[[#This Row],[NH4-N 
(mg L-1)]]-20</f>
        <v>787.93</v>
      </c>
      <c r="AZ86" s="6">
        <f>stableMED[[#This Row],[Ammonia residual to reach target]]*2.9</f>
        <v>2284.9969999999998</v>
      </c>
      <c r="BA86" s="6">
        <f>stableMED[[#This Row],[Alkalinity 
(mg CaCO3 L-1) ]]-stableMED[[#This Row],[Alkalinity need]]-70</f>
        <v>558.00300000000016</v>
      </c>
    </row>
    <row r="87" spans="1:56" x14ac:dyDescent="0.3">
      <c r="A87" s="128">
        <v>43410</v>
      </c>
      <c r="B87" s="29">
        <v>84</v>
      </c>
      <c r="C87" s="42">
        <v>2.2177520799620289</v>
      </c>
      <c r="D87" s="28">
        <f>stableMED[[#This Row],[Flow 
(L h-1)]]/1000*24</f>
        <v>5.3226049919088698E-2</v>
      </c>
      <c r="E87" s="42">
        <f>IF(IFERROR(Information!$R$47/stableMED[[#This Row],[Flow 
(m3 d-1)]]*24,0)&lt;0,0,IFERROR(Information!$R$47/stableMED[[#This Row],[Flow 
(m3 d-1)]]*24,0))</f>
        <v>541.0884340239445</v>
      </c>
      <c r="F87" s="42">
        <v>7.8958946000946266</v>
      </c>
      <c r="G87" s="42">
        <v>0.89767268284281188</v>
      </c>
      <c r="H87" s="41">
        <v>29.152223672439803</v>
      </c>
      <c r="I87" s="130"/>
      <c r="J87" s="130"/>
      <c r="K87" s="29">
        <v>1350</v>
      </c>
      <c r="L87" s="29">
        <f>stableMED[[#This Row],[COD 
(mg L-1)]]*Information!$AK$42</f>
        <v>958.5</v>
      </c>
      <c r="M87" s="29">
        <v>2747</v>
      </c>
      <c r="N87" s="29">
        <v>8.5</v>
      </c>
      <c r="O87" s="29">
        <v>180</v>
      </c>
      <c r="Q87" s="29">
        <v>6.69</v>
      </c>
      <c r="R87" s="29">
        <v>19.399999999999999</v>
      </c>
      <c r="S87" s="4"/>
      <c r="T87" s="6"/>
      <c r="U87" s="6"/>
      <c r="V87" s="6">
        <v>766.36</v>
      </c>
      <c r="W87" s="6">
        <v>13.57</v>
      </c>
      <c r="X87" s="4">
        <f>IF(stableMED[[#This Row],[TON 
(mg L-1)]]-stableMED[[#This Row],[NO2-N 
(mg L-1)]]&lt;0,0.192,stableMED[[#This Row],[TON 
(mg L-1)]]-stableMED[[#This Row],[NO2-N 
(mg L-1)]])</f>
        <v>5.8299999999999983</v>
      </c>
      <c r="Y87" s="4">
        <f>SUM(stableMED[[#This Row],[NH4-N 
(mg L-1)]],stableMED[[#This Row],[NO3-N 
(mg L-1)]],stableMED[[#This Row],[NO2-N 
(mg L-1)]])</f>
        <v>785.7600000000001</v>
      </c>
      <c r="Z87" s="89">
        <f>IF(IFERROR(stableMED[[#This Row],[NO3-N 
(mg L-1)]]/(Influent[[#This Row],[NH4-N (mg L-1)]]-stableMED[[#This Row],[NH4-N 
(mg L-1)]]),0)&lt;0,0,IFERROR(stableMED[[#This Row],[NO3-N 
(mg L-1)]]/(Influent[[#This Row],[NH4-N (mg L-1)]]-stableMED[[#This Row],[NH4-N 
(mg L-1)]]),0))</f>
        <v>1.2593424633861837E-2</v>
      </c>
      <c r="AA87" s="48">
        <f>IF(IFERROR(stableMED[[#This Row],[NO2-N 
(mg L-1)]]/stableMED[[#This Row],[NH4-N 
(mg L-1)]],0)&lt;0,0,IFERROR(stableMED[[#This Row],[NO2-N 
(mg L-1)]]/stableMED[[#This Row],[NH4-N 
(mg L-1)]],0))</f>
        <v>1.7707082833133252E-2</v>
      </c>
      <c r="AB87" s="48">
        <f>stableMED[[#This Row],[NO2-N 
(mg L-1)]]/(stableMED[[#This Row],[NO3-N 
(mg L-1)]]+stableMED[[#This Row],[NO2-N 
(mg L-1)]])</f>
        <v>0.6994845360824743</v>
      </c>
      <c r="AC87" s="20">
        <f>46/14*stableMED[[#This Row],[NO2-N 
(mg L-1)]]/(EXP(-2300/(stableMED[[#This Row],[Temp. 
(°C)]]+273))*10^(stableMED[[#This Row],[pHreactor]]))</f>
        <v>1.1460127977641764E-3</v>
      </c>
      <c r="AD87" s="6">
        <f>17/14*stableMED[NH4-N 
(mg L-1)]*10^stableMED[[#This Row],[pHreactor]]/(EXP((6344/(273+stableMED[[#This Row],[Temp. 
(°C)]])))+10^stableMED[pHreactor])</f>
        <v>52.591934905715725</v>
      </c>
      <c r="AE87" s="6">
        <f>Influent[[#This Row],[NH4-N (mg L-1)]]*stableMED[[#This Row],[Flow 
(m3 d-1)]]/(Information!$R$48*Information!$R$49)</f>
        <v>0.13631413159486611</v>
      </c>
      <c r="AF87" s="6">
        <f>(Influent[[#This Row],[NH4-N (mg L-1)]]-stableMED[[#This Row],[NH4-N 
(mg L-1)]])*stableMED[[#This Row],[Flow 
(m3 d-1)]]/(Information!$R$48*Information!$R$49)</f>
        <v>5.1334307394881082E-2</v>
      </c>
      <c r="AG87" s="6">
        <f>Influent[[#This Row],[COD (mg L-1)]]*stableMED[[#This Row],[Flow 
(m3 d-1)]]/(Information!$R$48*Information!$R$49)</f>
        <v>0.27500125791529162</v>
      </c>
      <c r="AH87" s="6">
        <f>(Influent[[#This Row],[COD (mg L-1)]]-stableMED[[#This Row],[COD 
(mg L-1)]])*stableMED[[#This Row],[Flow 
(m3 d-1)]]/(Information!$R$48*Information!$R$49)</f>
        <v>0.12530299251785465</v>
      </c>
      <c r="AI87" s="48">
        <f>IF(IFERROR(Influent[[#This Row],[NH4-N (mg L-1)]]-(stableMED[[#This Row],[NH4-N 
(mg L-1)]]+stableMED[[#This Row],[NO2-N 
(mg L-1)]]+stableMED[[#This Row],[NO3-N 
(mg L-1)]]),0)&lt;0,0,IFERROR(Influent[[#This Row],[NH4-N (mg L-1)]]-(stableMED[[#This Row],[NH4-N 
(mg L-1)]]+stableMED[[#This Row],[NO2-N 
(mg L-1)]]+stableMED[[#This Row],[NO3-N 
(mg L-1)]]),0))</f>
        <v>443.53999999999985</v>
      </c>
      <c r="AJ87" s="6">
        <f>IFERROR(IF(Influent[[#This Row],[COD (mg L-1)]]-stableMED[[#This Row],[COD 
(mg L-1)]]&lt;0,0,Influent[[#This Row],[COD (mg L-1)]]-stableMED[[#This Row],[COD 
(mg L-1)]]),0)</f>
        <v>1130</v>
      </c>
      <c r="AK87" s="6">
        <f>IFERROR(IF(Influent[[#This Row],[Alkalinity (mg CaCO3 L-1) ]]-stableMED[[#This Row],[Alkalinity 
(mg CaCO3 L-1) ]]&lt;0,0,Influent[[#This Row],[Alkalinity (mg CaCO3 L-1) ]]-stableMED[[#This Row],[Alkalinity 
(mg CaCO3 L-1) ]]),0)</f>
        <v>1679</v>
      </c>
      <c r="AL87" s="6">
        <f>Influent[[#This Row],[COD (mg L-1)]]/stableMED[[#This Row],[HRT 
(h)]]*24/1000</f>
        <v>0.11000050316611663</v>
      </c>
      <c r="AM87" s="6">
        <f>IF(((stableMED[[#This Row],[ΔC (mg L-1)]])*24/stableMED[[#This Row],[HRT 
(h)]]/1000) &lt;0,0, (stableMED[[#This Row],[ΔC (mg L-1)]])*24/stableMED[[#This Row],[HRT 
(h)]]/1000)</f>
        <v>5.0121197007141849E-2</v>
      </c>
      <c r="AN87" s="6">
        <f>IF(IFERROR((Influent[[#This Row],[NH4-N (mg L-1)]]-stableMED[[#This Row],[NH4-N 
(mg L-1)]])/stableMED[[#This Row],[HRT 
(h)]]*24/1000,0)&lt;0,0,IFERROR((Influent[[#This Row],[NH4-N (mg L-1)]]-stableMED[[#This Row],[NH4-N 
(mg L-1)]])/stableMED[[#This Row],[HRT 
(h)]]*24/1000,0))</f>
        <v>2.053372295795243E-2</v>
      </c>
      <c r="AO87" s="6">
        <f>Influent[[#This Row],[TN (mg L-1)]]/stableMED[[#This Row],[HRT 
(h)]]*24/1000</f>
        <v>5.4534523646266292E-2</v>
      </c>
      <c r="AP87" s="6">
        <f>stableMED[[#This Row],[NRE 
(%)]]*stableMED[[#This Row],[NLR 
(kg N m-3 d-1)]]</f>
        <v>1.9682106159247009E-2</v>
      </c>
      <c r="AQ87" s="26">
        <f>IFERROR(IF((Influent[[#This Row],[NH4-N (mg L-1)]]-stableMED[[#This Row],[NH4-N 
(mg L-1)]])/Influent[[#This Row],[NH4-N (mg L-1)]]&lt;0,0,(Influent[[#This Row],[NH4-N (mg L-1)]]-stableMED[[#This Row],[NH4-N 
(mg L-1)]])/Influent[[#This Row],[NH4-N (mg L-1)]]),0)</f>
        <v>0.37658830228585372</v>
      </c>
      <c r="AR87" s="26">
        <f>IF(IFERROR((Influent[[#This Row],[TN (mg L-1)]]-stableMED[[#This Row],[TN 
(mg L-1)]])/Influent[[#This Row],[TN (mg L-1)]],0)&lt;0,0,IFERROR((Influent[[#This Row],[TN (mg L-1)]]-stableMED[[#This Row],[TN 
(mg L-1)]])/Influent[[#This Row],[TN (mg L-1)]],0))</f>
        <v>0.36091093940626262</v>
      </c>
      <c r="AS87" s="48"/>
      <c r="AT87" s="48"/>
      <c r="AU87" s="48"/>
      <c r="AV87" s="6"/>
      <c r="AW87" s="21"/>
      <c r="AX87" s="21"/>
      <c r="AY87" s="6">
        <f>stableMED[[#This Row],[NH4-N 
(mg L-1)]]-20</f>
        <v>746.36</v>
      </c>
      <c r="AZ87" s="6">
        <f>stableMED[[#This Row],[Ammonia residual to reach target]]*2.9</f>
        <v>2164.444</v>
      </c>
      <c r="BA87" s="6">
        <f>stableMED[[#This Row],[Alkalinity 
(mg CaCO3 L-1) ]]-stableMED[[#This Row],[Alkalinity need]]-70</f>
        <v>512.55600000000004</v>
      </c>
    </row>
    <row r="88" spans="1:56" x14ac:dyDescent="0.3">
      <c r="A88" s="128"/>
      <c r="C88" s="42"/>
      <c r="D88" s="28"/>
      <c r="E88" s="42"/>
      <c r="F88" s="42"/>
      <c r="G88" s="42"/>
      <c r="H88" s="41"/>
      <c r="I88" s="130"/>
      <c r="J88" s="130"/>
      <c r="S88" s="4"/>
      <c r="T88" s="6"/>
      <c r="U88" s="6"/>
      <c r="V88" s="6"/>
      <c r="W88" s="6"/>
      <c r="X88" s="4"/>
      <c r="Y88" s="4"/>
      <c r="Z88" s="89"/>
      <c r="AA88" s="48"/>
      <c r="AB88" s="48"/>
      <c r="AF88" s="20"/>
      <c r="AG88" s="6"/>
      <c r="AH88" s="6"/>
      <c r="AI88" s="6"/>
      <c r="AJ88" s="6"/>
      <c r="AK88" s="6"/>
      <c r="AL88" s="48"/>
      <c r="AM88" s="6"/>
      <c r="AN88" s="6"/>
      <c r="AO88" s="6"/>
      <c r="AP88" s="6"/>
      <c r="AQ88" s="6"/>
      <c r="AR88" s="6"/>
      <c r="AS88" s="6"/>
      <c r="AT88" s="6"/>
      <c r="AU88" s="6"/>
      <c r="AV88" s="26"/>
      <c r="AW88" s="26"/>
      <c r="AX88" s="26"/>
      <c r="AY88" s="26"/>
      <c r="AZ88" s="26"/>
      <c r="BA88" s="26"/>
      <c r="BB88" s="26"/>
      <c r="BC88" s="6"/>
      <c r="BD88" s="6"/>
    </row>
    <row r="89" spans="1:56" x14ac:dyDescent="0.3">
      <c r="A89" s="128"/>
      <c r="C89" s="42"/>
      <c r="D89" s="28"/>
      <c r="E89" s="42"/>
      <c r="F89" s="42"/>
      <c r="G89" s="42"/>
      <c r="H89" s="41"/>
      <c r="I89" s="130"/>
      <c r="J89" s="130"/>
      <c r="S89" s="4"/>
      <c r="T89" s="6"/>
      <c r="U89" s="6"/>
      <c r="V89" s="6"/>
      <c r="W89" s="6"/>
      <c r="X89" s="4"/>
      <c r="Y89" s="4"/>
      <c r="Z89" s="89"/>
      <c r="AA89" s="48"/>
      <c r="AB89" s="48"/>
      <c r="AF89" s="20"/>
      <c r="AG89" s="6"/>
      <c r="AH89" s="6"/>
      <c r="AI89" s="6"/>
      <c r="AJ89" s="6"/>
      <c r="AK89" s="6"/>
      <c r="AL89" s="48"/>
      <c r="AM89" s="6"/>
      <c r="AN89" s="6"/>
      <c r="AO89" s="6"/>
      <c r="AP89" s="6"/>
      <c r="AQ89" s="6"/>
      <c r="AR89" s="6"/>
      <c r="AS89" s="6"/>
      <c r="AT89" s="6"/>
      <c r="AU89" s="6"/>
      <c r="AV89" s="26"/>
      <c r="AW89" s="26"/>
      <c r="AX89" s="26"/>
      <c r="AY89" s="26"/>
      <c r="AZ89" s="26"/>
      <c r="BA89" s="26"/>
      <c r="BB89" s="26"/>
      <c r="BC89" s="6"/>
      <c r="BD89" s="6"/>
    </row>
    <row r="90" spans="1:56" x14ac:dyDescent="0.3">
      <c r="A90" s="128"/>
      <c r="C90" s="42"/>
      <c r="D90" s="28"/>
      <c r="E90" s="42"/>
      <c r="F90" s="42"/>
      <c r="G90" s="42"/>
      <c r="H90" s="41"/>
      <c r="I90" s="130"/>
      <c r="J90" s="130"/>
      <c r="S90" s="4"/>
      <c r="T90" s="6"/>
      <c r="U90" s="6"/>
      <c r="V90" s="6"/>
      <c r="W90" s="6"/>
      <c r="X90" s="4"/>
      <c r="Y90" s="4"/>
      <c r="Z90" s="48"/>
      <c r="AA90" s="48"/>
      <c r="AB90" s="48"/>
      <c r="AF90" s="20"/>
      <c r="AG90" s="6"/>
      <c r="AH90" s="6"/>
      <c r="AI90" s="6"/>
      <c r="AJ90" s="6"/>
      <c r="AK90" s="6"/>
      <c r="AL90" s="48"/>
      <c r="AM90" s="6"/>
      <c r="AN90" s="6"/>
      <c r="AO90" s="6"/>
      <c r="AP90" s="6"/>
      <c r="AQ90" s="6"/>
      <c r="AR90" s="6"/>
      <c r="AS90" s="6"/>
      <c r="AT90" s="6"/>
      <c r="AU90" s="6"/>
      <c r="AV90" s="26"/>
      <c r="AW90" s="26"/>
      <c r="AX90" s="26"/>
      <c r="AY90" s="26"/>
      <c r="AZ90" s="26"/>
      <c r="BA90" s="26"/>
      <c r="BB90" s="26"/>
      <c r="BC90" s="6"/>
      <c r="BD90" s="6"/>
    </row>
  </sheetData>
  <mergeCells count="2">
    <mergeCell ref="C2:H2"/>
    <mergeCell ref="K2:Y2"/>
  </mergeCells>
  <conditionalFormatting sqref="AJ1">
    <cfRule type="aboveAverage" dxfId="228" priority="12" stdDev="2"/>
  </conditionalFormatting>
  <conditionalFormatting sqref="AJ1">
    <cfRule type="aboveAverage" dxfId="227" priority="11" aboveAverage="0" stdDev="2"/>
  </conditionalFormatting>
  <conditionalFormatting sqref="AC1">
    <cfRule type="aboveAverage" dxfId="226" priority="10" stdDev="2"/>
  </conditionalFormatting>
  <conditionalFormatting sqref="AC1">
    <cfRule type="aboveAverage" dxfId="225" priority="9" aboveAverage="0" stdDev="2"/>
  </conditionalFormatting>
  <conditionalFormatting sqref="A4:BA9 Q10:BA10 A10:N10 AV33:BA33 A33:H33 K33:AS33 A11:BA32 A55:BA87 A54:H54 J54:BA54 A34:BA53">
    <cfRule type="cellIs" dxfId="224" priority="8" operator="lessThanOrEqual">
      <formula>0</formula>
    </cfRule>
  </conditionalFormatting>
  <conditionalFormatting sqref="AO4:AO87">
    <cfRule type="cellIs" dxfId="223" priority="1" operator="notBetween">
      <formula>0.37-0.39</formula>
      <formula>0.37+0.39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greaterThanOrEqual" id="{4F89870A-1774-4606-BC99-349B57A810CD}">
            <xm:f>Information!$AK$48</xm:f>
            <x14:dxf>
              <font>
                <b/>
                <i/>
                <color theme="8" tint="-0.499984740745262"/>
              </font>
              <fill>
                <patternFill>
                  <bgColor theme="8" tint="0.79998168889431442"/>
                </patternFill>
              </fill>
            </x14:dxf>
          </x14:cfRule>
          <xm:sqref>Z3:Z87</xm:sqref>
        </x14:conditionalFormatting>
        <x14:conditionalFormatting xmlns:xm="http://schemas.microsoft.com/office/excel/2006/main">
          <x14:cfRule type="cellIs" priority="6" operator="greaterThanOrEqual" id="{8CD07766-EDDC-4679-806F-2E2D9CC63BDD}">
            <xm:f>Information!$AK$49</xm:f>
            <x14:dxf>
              <font>
                <b/>
                <i/>
                <color theme="9" tint="-0.499984740745262"/>
              </font>
              <fill>
                <patternFill>
                  <bgColor theme="3" tint="0.59996337778862885"/>
                </patternFill>
              </fill>
            </x14:dxf>
          </x14:cfRule>
          <xm:sqref>AA3:AA87</xm:sqref>
        </x14:conditionalFormatting>
        <x14:conditionalFormatting xmlns:xm="http://schemas.microsoft.com/office/excel/2006/main">
          <x14:cfRule type="cellIs" priority="5" operator="greaterThanOrEqual" id="{7035601D-EA8F-476F-B9D3-29536B773636}">
            <xm:f>Information!$H$84</xm:f>
            <x14:dxf>
              <font>
                <b/>
                <i/>
                <color theme="7" tint="-0.499984740745262"/>
              </font>
              <fill>
                <patternFill>
                  <bgColor theme="7" tint="0.59996337778862885"/>
                </patternFill>
              </fill>
            </x14:dxf>
          </x14:cfRule>
          <xm:sqref>AC4:AC87</xm:sqref>
        </x14:conditionalFormatting>
        <x14:conditionalFormatting xmlns:xm="http://schemas.microsoft.com/office/excel/2006/main">
          <x14:cfRule type="cellIs" priority="4" operator="greaterThanOrEqual" id="{0FD7DFAF-BDAA-491C-A04D-16D6DEDDAEF1}">
            <xm:f>Information!$B$83</xm:f>
            <x14:dxf>
              <font>
                <b/>
                <i/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AD4:AD87</xm:sqref>
        </x14:conditionalFormatting>
        <x14:conditionalFormatting xmlns:xm="http://schemas.microsoft.com/office/excel/2006/main">
          <x14:cfRule type="cellIs" priority="3" operator="greaterThanOrEqual" id="{131B2E65-9B55-4E62-ADFA-64EEDC5858EE}">
            <xm:f>Information!$Y$51</xm:f>
            <x14:dxf>
              <font>
                <b/>
                <i/>
                <color theme="4" tint="-0.499984740745262"/>
              </font>
              <fill>
                <patternFill>
                  <bgColor theme="4" tint="0.79998168889431442"/>
                </patternFill>
              </fill>
            </x14:dxf>
          </x14:cfRule>
          <xm:sqref>G4:G87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59999389629810485"/>
  </sheetPr>
  <dimension ref="A1:AU93"/>
  <sheetViews>
    <sheetView zoomScale="70" zoomScaleNormal="70" workbookViewId="0">
      <pane xSplit="2" ySplit="3" topLeftCell="S88" activePane="bottomRight" state="frozen"/>
      <selection activeCell="F26" sqref="F26"/>
      <selection pane="topRight" activeCell="F26" sqref="F26"/>
      <selection pane="bottomLeft" activeCell="F26" sqref="F26"/>
      <selection pane="bottomRight" activeCell="AN4" sqref="AN4:AN93"/>
    </sheetView>
  </sheetViews>
  <sheetFormatPr defaultColWidth="8.88671875" defaultRowHeight="14.4" x14ac:dyDescent="0.3"/>
  <cols>
    <col min="1" max="1" width="14.6640625" style="29" customWidth="1"/>
    <col min="2" max="2" width="11.88671875" style="29" customWidth="1"/>
    <col min="3" max="3" width="8.44140625" style="29" customWidth="1"/>
    <col min="4" max="4" width="9.5546875" style="29" customWidth="1"/>
    <col min="5" max="5" width="9.109375" style="29" customWidth="1"/>
    <col min="6" max="6" width="10.6640625" style="29" customWidth="1"/>
    <col min="7" max="7" width="11.6640625" style="29" customWidth="1"/>
    <col min="8" max="8" width="10.109375" style="29" customWidth="1"/>
    <col min="9" max="11" width="9.109375" style="29" customWidth="1"/>
    <col min="12" max="13" width="8.109375" style="29" customWidth="1"/>
    <col min="14" max="14" width="14.88671875" style="29" customWidth="1"/>
    <col min="15" max="15" width="7.44140625" style="29" customWidth="1"/>
    <col min="16" max="16" width="9.44140625" style="29" customWidth="1"/>
    <col min="17" max="17" width="7.6640625" style="29" customWidth="1"/>
    <col min="18" max="18" width="9" style="29" customWidth="1"/>
    <col min="19" max="19" width="12.44140625" style="29" customWidth="1"/>
    <col min="20" max="20" width="8.5546875" style="29" hidden="1" customWidth="1"/>
    <col min="21" max="21" width="8.109375" style="29" hidden="1" customWidth="1"/>
    <col min="22" max="22" width="7.88671875" style="29" hidden="1" customWidth="1"/>
    <col min="23" max="23" width="9.33203125" style="29" customWidth="1"/>
    <col min="24" max="24" width="8.88671875" style="29"/>
    <col min="25" max="25" width="8.44140625" style="29" customWidth="1"/>
    <col min="26" max="26" width="10.33203125" style="29" customWidth="1"/>
    <col min="27" max="29" width="8.88671875" style="29"/>
    <col min="30" max="30" width="11.44140625" style="29" customWidth="1"/>
    <col min="31" max="31" width="8.88671875" style="29"/>
    <col min="32" max="32" width="0" style="29" hidden="1" customWidth="1"/>
    <col min="33" max="33" width="14.88671875" style="29" hidden="1" customWidth="1"/>
    <col min="34" max="34" width="11.109375" style="29" hidden="1" customWidth="1"/>
    <col min="35" max="35" width="15.5546875" style="29" customWidth="1"/>
    <col min="36" max="36" width="17.109375" style="29" customWidth="1"/>
    <col min="37" max="37" width="17.5546875" style="29" customWidth="1"/>
    <col min="38" max="38" width="13.33203125" style="29" customWidth="1"/>
    <col min="39" max="39" width="13.21875" style="29" customWidth="1"/>
    <col min="40" max="40" width="9.88671875" style="29" customWidth="1"/>
    <col min="41" max="41" width="10.44140625" style="29" customWidth="1"/>
    <col min="42" max="46" width="15.44140625" style="29" customWidth="1"/>
    <col min="47" max="47" width="60.5546875" style="29" customWidth="1"/>
    <col min="48" max="16384" width="8.88671875" style="29"/>
  </cols>
  <sheetData>
    <row r="1" spans="1:47" ht="20.399999999999999" thickBot="1" x14ac:dyDescent="0.45">
      <c r="A1" s="1" t="s">
        <v>315</v>
      </c>
      <c r="B1" s="1"/>
      <c r="F1" s="5"/>
      <c r="G1" s="5"/>
      <c r="H1" s="5"/>
      <c r="I1" s="5"/>
      <c r="J1" s="5"/>
      <c r="K1" s="5"/>
      <c r="L1" s="5"/>
      <c r="M1" s="5"/>
      <c r="O1" s="5"/>
      <c r="P1" s="5"/>
      <c r="Q1" s="46"/>
      <c r="T1" s="46"/>
      <c r="U1" s="46"/>
      <c r="V1" s="46"/>
      <c r="W1" s="144"/>
      <c r="X1" s="144"/>
      <c r="Y1" s="144"/>
    </row>
    <row r="2" spans="1:47" ht="15" thickTop="1" x14ac:dyDescent="0.3">
      <c r="C2" s="333" t="s">
        <v>24</v>
      </c>
      <c r="D2" s="333"/>
      <c r="E2" s="333"/>
      <c r="F2" s="336"/>
      <c r="G2" s="336"/>
      <c r="H2" s="336"/>
      <c r="I2" s="336"/>
      <c r="J2" s="231"/>
      <c r="K2" s="231"/>
      <c r="L2" s="296" t="s">
        <v>145</v>
      </c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</row>
    <row r="3" spans="1:47" ht="99.6" customHeight="1" x14ac:dyDescent="0.3">
      <c r="A3" s="2" t="s">
        <v>1</v>
      </c>
      <c r="B3" s="2" t="s">
        <v>2</v>
      </c>
      <c r="C3" s="24" t="s">
        <v>351</v>
      </c>
      <c r="D3" s="25" t="s">
        <v>354</v>
      </c>
      <c r="E3" s="25" t="s">
        <v>356</v>
      </c>
      <c r="F3" s="25" t="s">
        <v>158</v>
      </c>
      <c r="G3" s="25" t="s">
        <v>371</v>
      </c>
      <c r="H3" s="25" t="s">
        <v>372</v>
      </c>
      <c r="I3" s="25" t="s">
        <v>373</v>
      </c>
      <c r="J3" s="24" t="s">
        <v>357</v>
      </c>
      <c r="K3" s="24" t="s">
        <v>358</v>
      </c>
      <c r="L3" s="78" t="s">
        <v>359</v>
      </c>
      <c r="M3" s="78" t="s">
        <v>342</v>
      </c>
      <c r="N3" s="78" t="s">
        <v>374</v>
      </c>
      <c r="O3" s="78" t="s">
        <v>152</v>
      </c>
      <c r="P3" s="78" t="s">
        <v>375</v>
      </c>
      <c r="Q3" s="78" t="s">
        <v>376</v>
      </c>
      <c r="R3" s="78" t="s">
        <v>360</v>
      </c>
      <c r="S3" s="78" t="s">
        <v>361</v>
      </c>
      <c r="T3" s="78" t="s">
        <v>140</v>
      </c>
      <c r="U3" s="78" t="s">
        <v>128</v>
      </c>
      <c r="V3" s="78" t="s">
        <v>159</v>
      </c>
      <c r="W3" s="78" t="s">
        <v>362</v>
      </c>
      <c r="X3" s="78" t="s">
        <v>377</v>
      </c>
      <c r="Y3" s="78" t="s">
        <v>364</v>
      </c>
      <c r="Z3" s="78" t="s">
        <v>365</v>
      </c>
      <c r="AA3" s="2" t="s">
        <v>150</v>
      </c>
      <c r="AB3" s="2" t="s">
        <v>164</v>
      </c>
      <c r="AC3" s="2" t="s">
        <v>366</v>
      </c>
      <c r="AD3" s="2" t="s">
        <v>367</v>
      </c>
      <c r="AE3" s="2" t="s">
        <v>368</v>
      </c>
      <c r="AF3" s="47" t="s">
        <v>162</v>
      </c>
      <c r="AG3" s="2" t="s">
        <v>160</v>
      </c>
      <c r="AH3" s="2" t="s">
        <v>165</v>
      </c>
      <c r="AI3" s="2" t="s">
        <v>378</v>
      </c>
      <c r="AJ3" s="2" t="s">
        <v>344</v>
      </c>
      <c r="AK3" s="2" t="s">
        <v>345</v>
      </c>
      <c r="AL3" s="2" t="s">
        <v>346</v>
      </c>
      <c r="AM3" s="2" t="s">
        <v>347</v>
      </c>
      <c r="AN3" s="2" t="s">
        <v>369</v>
      </c>
      <c r="AO3" s="2" t="s">
        <v>370</v>
      </c>
      <c r="AP3" s="2" t="s">
        <v>379</v>
      </c>
      <c r="AQ3" s="2" t="s">
        <v>623</v>
      </c>
      <c r="AR3" s="47" t="s">
        <v>613</v>
      </c>
      <c r="AS3" s="47" t="s">
        <v>614</v>
      </c>
      <c r="AT3" s="47" t="s">
        <v>615</v>
      </c>
      <c r="AU3" s="78" t="s">
        <v>30</v>
      </c>
    </row>
    <row r="4" spans="1:47" x14ac:dyDescent="0.3">
      <c r="A4" s="128">
        <v>43327</v>
      </c>
      <c r="B4" s="29">
        <v>1</v>
      </c>
      <c r="C4" s="28">
        <f>Information!$R$54/stableGSBR[[#This Row],[HRT 
(h)]]*24</f>
        <v>9.9287529238108879E-2</v>
      </c>
      <c r="D4" s="42">
        <v>48.344439999999999</v>
      </c>
      <c r="E4" s="42">
        <v>25.477589999999999</v>
      </c>
      <c r="F4" s="42">
        <v>7.9762310000000003</v>
      </c>
      <c r="G4" s="42">
        <v>0.39491530000000002</v>
      </c>
      <c r="H4" s="42">
        <v>3.0461019999999999</v>
      </c>
      <c r="I4" s="42">
        <v>-0.40814210000000001</v>
      </c>
      <c r="J4" s="27"/>
      <c r="K4" s="27"/>
      <c r="L4" s="29">
        <v>457</v>
      </c>
      <c r="M4" s="29">
        <f>stableGSBR[[#This Row],[COD 
(mg L-1)]]*Information!$AK$43</f>
        <v>365.6</v>
      </c>
      <c r="N4" s="29">
        <v>630</v>
      </c>
      <c r="O4" s="29">
        <v>8.1999999999999993</v>
      </c>
      <c r="P4" s="29">
        <v>68</v>
      </c>
      <c r="Q4" s="29">
        <v>32</v>
      </c>
      <c r="R4" s="29">
        <v>0.1</v>
      </c>
      <c r="S4" s="6">
        <v>20.3</v>
      </c>
      <c r="T4" s="6">
        <f>stableGSBR[[#This Row],[NH4-N 
(mg L-1)]]*1.288</f>
        <v>89.670560000000009</v>
      </c>
      <c r="U4" s="6">
        <f>stableGSBR[[#This Row],[NO2-N 
(mg L-1)]]*3.284</f>
        <v>2.6272E-2</v>
      </c>
      <c r="V4" s="6">
        <f>(stableGSBR[[#This Row],[NO3-N 
(mg L-1)]])*4.426</f>
        <v>89.812392000000017</v>
      </c>
      <c r="W4" s="6">
        <v>69.62</v>
      </c>
      <c r="X4" s="29">
        <v>8.0000000000000002E-3</v>
      </c>
      <c r="Y4" s="6">
        <f>IF((stableGSBR[[#This Row],[TON 
(mg L-1)]]-stableGSBR[[#This Row],[NO2-N 
(mg L-1)]])&lt;0,0.2,(stableGSBR[[#This Row],[TON 
(mg L-1)]]-stableGSBR[[#This Row],[NO2-N 
(mg L-1)]]))</f>
        <v>20.292000000000002</v>
      </c>
      <c r="Z4" s="29">
        <f>SUM(stableGSBR[[#This Row],[NO3-N 
(mg L-1)]],stableGSBR[[#This Row],[NO2-N 
(mg L-1)]],stableGSBR[[#This Row],[NH4-N 
(mg L-1)]])</f>
        <v>89.92</v>
      </c>
      <c r="AA4" s="21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2.5639988880746003E-2</v>
      </c>
      <c r="AB4" s="6">
        <f>IF(IFERROR(stableGSBR[[#This Row],[NO2-N 
(mg L-1)]]/stableGSBR[[#This Row],[NH4-N 
(mg L-1)]],0)&lt;0,0,IFERROR(stableGSBR[[#This Row],[NO2-N 
(mg L-1)]]/stableGSBR[[#This Row],[NH4-N 
(mg L-1)]],0))</f>
        <v>1.1490950876185004E-4</v>
      </c>
      <c r="AC4" s="6">
        <f>stableGSBR[[#This Row],[NO2-N 
(mg L-1)]]/(stableGSBR[[#This Row],[NO2-N 
(mg L-1)]]+stableGSBR[[#This Row],[NO3-N 
(mg L-1)]])</f>
        <v>3.9408866995073889E-4</v>
      </c>
      <c r="AD4" s="20">
        <f>46/14*stableGSBR[[#This Row],[NO2-N 
(mg L-1)]]/(EXP(-2300/(stableGSBR[[#This Row],[Temp. 
(°C)]]+273))*10^(stableGSBR[[#This Row],[pHreactor]]))</f>
        <v>6.1668398397370141E-7</v>
      </c>
      <c r="AE4" s="19">
        <f>17/14*(stableGSBR[[#This Row],[NH4+ (mg L-1)]]*10^stableGSBR[[#This Row],[pHreactor]])/(EXP(6344/(273+stableGSBR[[#This Row],[Temp. 
(°C)]]))+10^stableGSBR[pHreactor])</f>
        <v>5.7405803708575984</v>
      </c>
      <c r="AF4" s="1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771.12</v>
      </c>
      <c r="AG4" s="19">
        <f>IFERROR(IF(Influent[[#This Row],[COD (mg L-1)]]-MEDIA[[#This Row],[COD 
(mg L-1)]]&lt;0,0,Influent[[#This Row],[COD (mg L-1)]]-MEDIA[[#This Row],[COD 
(mg L-1)]]),0)</f>
        <v>0</v>
      </c>
      <c r="AH4" s="29">
        <f>IF(IFERROR(Influent[[#This Row],[Alkalinity (mg CaCO3 L-1) ]]-stableGSBR[[#This Row],[Alkalinity 
(mg CaCO3 L-1) ]],0)&lt;0,0,IFERROR(Influent[[#This Row],[Alkalinity (mg CaCO3 L-1) ]]-stableGSBR[[#This Row],[Alkalinity 
(mg CaCO3 L-1) ]],0))</f>
        <v>2379</v>
      </c>
      <c r="AI4" s="20"/>
      <c r="AJ4" s="6"/>
      <c r="AK4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0.39289068194812055</v>
      </c>
      <c r="AL4" s="6">
        <f>Influent[[#This Row],[TN (mg L-1)]]/stableGSBR[[#This Row],[HRT 
(h)]]*24/1000</f>
        <v>0.42843015660125555</v>
      </c>
      <c r="AM4" s="6">
        <f>stableGSBR[[#This Row],[NLR 
(kg N m-3 d-1)]]*stableGSBR[[#This Row],[NRE 
(%)]]</f>
        <v>0.38379048345580186</v>
      </c>
      <c r="AN4" s="21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0.91914429062529035</v>
      </c>
      <c r="AO4" s="21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0.89580641685080931</v>
      </c>
      <c r="AP4" s="6"/>
      <c r="AQ4" s="21"/>
      <c r="AR4" s="6">
        <f>stableGSBR[[#This Row],[NH4-N 
(mg L-1)]]-20</f>
        <v>49.620000000000005</v>
      </c>
      <c r="AS4" s="6">
        <f>stableGSBR[[#This Row],[Ammonia residual to reach target]]*2.9</f>
        <v>143.898</v>
      </c>
      <c r="AT4" s="6">
        <f>stableGSBR[[#This Row],[Alkalinity 
(mg CaCO3 L-1) ]]-70-stableGSBR[[#This Row],[Alkalinity need]]</f>
        <v>416.10199999999998</v>
      </c>
      <c r="AU4" s="29" t="s">
        <v>524</v>
      </c>
    </row>
    <row r="5" spans="1:47" x14ac:dyDescent="0.3">
      <c r="A5" s="128">
        <v>43328</v>
      </c>
      <c r="B5" s="29">
        <v>2</v>
      </c>
      <c r="C5" s="28"/>
      <c r="D5" s="42"/>
      <c r="E5" s="42"/>
      <c r="F5" s="42"/>
      <c r="G5" s="42"/>
      <c r="H5" s="42"/>
      <c r="I5" s="42"/>
      <c r="J5" s="27"/>
      <c r="K5" s="27"/>
      <c r="S5" s="6"/>
      <c r="T5" s="4">
        <f>stableGSBR[[#This Row],[NH4-N 
(mg L-1)]]*1.288</f>
        <v>0</v>
      </c>
      <c r="U5" s="20">
        <f>stableGSBR[[#This Row],[NO2-N 
(mg L-1)]]*3.284</f>
        <v>0</v>
      </c>
      <c r="V5" s="6">
        <f>(stableGSBR[[#This Row],[NO3-N 
(mg L-1)]])*4.426</f>
        <v>0</v>
      </c>
      <c r="W5" s="6"/>
      <c r="Y5" s="6"/>
      <c r="Z5" s="4"/>
      <c r="AA5" s="26"/>
      <c r="AB5" s="48"/>
      <c r="AC5" s="48"/>
      <c r="AD5" s="20"/>
      <c r="AE5" s="19"/>
      <c r="AF5" s="129"/>
      <c r="AG5" s="19"/>
      <c r="AH5" s="4"/>
      <c r="AI5" s="20"/>
      <c r="AJ5" s="6"/>
      <c r="AK5" s="6"/>
      <c r="AL5" s="6"/>
      <c r="AM5" s="6"/>
      <c r="AN5" s="26"/>
      <c r="AO5" s="26"/>
      <c r="AP5" s="6"/>
      <c r="AQ5" s="21"/>
      <c r="AR5" s="6"/>
      <c r="AS5" s="6"/>
      <c r="AT5" s="6"/>
      <c r="AU5" s="4"/>
    </row>
    <row r="6" spans="1:47" x14ac:dyDescent="0.3">
      <c r="A6" s="128">
        <v>43329</v>
      </c>
      <c r="B6" s="29">
        <v>3</v>
      </c>
      <c r="C6" s="28"/>
      <c r="D6" s="42"/>
      <c r="E6" s="42"/>
      <c r="F6" s="42"/>
      <c r="G6" s="42"/>
      <c r="H6" s="42"/>
      <c r="I6" s="42"/>
      <c r="J6" s="27"/>
      <c r="K6" s="27"/>
      <c r="S6" s="6"/>
      <c r="T6" s="4">
        <f>stableGSBR[[#This Row],[NH4-N 
(mg L-1)]]*1.288</f>
        <v>0</v>
      </c>
      <c r="U6" s="20">
        <f>stableGSBR[[#This Row],[NO2-N 
(mg L-1)]]*3.284</f>
        <v>0</v>
      </c>
      <c r="V6" s="6">
        <f>(stableGSBR[[#This Row],[NO3-N 
(mg L-1)]])*4.426</f>
        <v>0</v>
      </c>
      <c r="W6" s="6"/>
      <c r="Y6" s="6"/>
      <c r="Z6" s="4"/>
      <c r="AA6" s="26"/>
      <c r="AB6" s="48"/>
      <c r="AC6" s="48"/>
      <c r="AD6" s="20"/>
      <c r="AE6" s="19"/>
      <c r="AF6" s="129"/>
      <c r="AG6" s="19"/>
      <c r="AH6" s="4"/>
      <c r="AI6" s="20"/>
      <c r="AJ6" s="6"/>
      <c r="AK6" s="6"/>
      <c r="AL6" s="6"/>
      <c r="AM6" s="6"/>
      <c r="AN6" s="26"/>
      <c r="AO6" s="26"/>
      <c r="AP6" s="6"/>
      <c r="AQ6" s="21"/>
      <c r="AR6" s="6"/>
      <c r="AS6" s="6"/>
      <c r="AT6" s="6"/>
      <c r="AU6" s="4"/>
    </row>
    <row r="7" spans="1:47" x14ac:dyDescent="0.3">
      <c r="A7" s="128">
        <v>43330</v>
      </c>
      <c r="B7" s="29">
        <v>4</v>
      </c>
      <c r="C7" s="28"/>
      <c r="D7" s="42"/>
      <c r="E7" s="42"/>
      <c r="F7" s="42"/>
      <c r="G7" s="42"/>
      <c r="H7" s="42"/>
      <c r="I7" s="42"/>
      <c r="J7" s="27"/>
      <c r="K7" s="27"/>
      <c r="S7" s="6"/>
      <c r="T7" s="4">
        <f>stableGSBR[[#This Row],[NH4-N 
(mg L-1)]]*1.288</f>
        <v>0</v>
      </c>
      <c r="U7" s="20">
        <f>stableGSBR[[#This Row],[NO2-N 
(mg L-1)]]*3.284</f>
        <v>0</v>
      </c>
      <c r="V7" s="6">
        <f>(stableGSBR[[#This Row],[NO3-N 
(mg L-1)]])*4.426</f>
        <v>0</v>
      </c>
      <c r="W7" s="6"/>
      <c r="Y7" s="6"/>
      <c r="Z7" s="4"/>
      <c r="AA7" s="26"/>
      <c r="AB7" s="48"/>
      <c r="AC7" s="48"/>
      <c r="AD7" s="20"/>
      <c r="AE7" s="19"/>
      <c r="AF7" s="129"/>
      <c r="AG7" s="19"/>
      <c r="AH7" s="4"/>
      <c r="AI7" s="20"/>
      <c r="AJ7" s="6"/>
      <c r="AK7" s="6"/>
      <c r="AL7" s="6"/>
      <c r="AM7" s="6"/>
      <c r="AN7" s="26"/>
      <c r="AO7" s="26"/>
      <c r="AP7" s="6"/>
      <c r="AQ7" s="21"/>
      <c r="AR7" s="6"/>
      <c r="AS7" s="6"/>
      <c r="AT7" s="6"/>
      <c r="AU7" s="4"/>
    </row>
    <row r="8" spans="1:47" x14ac:dyDescent="0.3">
      <c r="A8" s="128">
        <v>43331</v>
      </c>
      <c r="B8" s="29">
        <v>5</v>
      </c>
      <c r="C8" s="28"/>
      <c r="D8" s="42"/>
      <c r="E8" s="42"/>
      <c r="F8" s="42"/>
      <c r="G8" s="42"/>
      <c r="H8" s="42"/>
      <c r="I8" s="42"/>
      <c r="J8" s="27"/>
      <c r="K8" s="27"/>
      <c r="S8" s="6"/>
      <c r="T8" s="4">
        <f>stableGSBR[[#This Row],[NH4-N 
(mg L-1)]]*1.288</f>
        <v>0</v>
      </c>
      <c r="U8" s="20">
        <f>stableGSBR[[#This Row],[NO2-N 
(mg L-1)]]*3.284</f>
        <v>0</v>
      </c>
      <c r="V8" s="6">
        <f>(stableGSBR[[#This Row],[NO3-N 
(mg L-1)]])*4.426</f>
        <v>0</v>
      </c>
      <c r="W8" s="6"/>
      <c r="Y8" s="6"/>
      <c r="Z8" s="4"/>
      <c r="AA8" s="26"/>
      <c r="AB8" s="48"/>
      <c r="AC8" s="48"/>
      <c r="AD8" s="20"/>
      <c r="AE8" s="19"/>
      <c r="AF8" s="129"/>
      <c r="AG8" s="19"/>
      <c r="AH8" s="4"/>
      <c r="AI8" s="20"/>
      <c r="AJ8" s="6"/>
      <c r="AK8" s="6"/>
      <c r="AL8" s="6"/>
      <c r="AM8" s="6"/>
      <c r="AN8" s="26"/>
      <c r="AO8" s="26"/>
      <c r="AP8" s="6"/>
      <c r="AQ8" s="21"/>
      <c r="AR8" s="6"/>
      <c r="AS8" s="6"/>
      <c r="AT8" s="6"/>
      <c r="AU8" s="4"/>
    </row>
    <row r="9" spans="1:47" x14ac:dyDescent="0.3">
      <c r="A9" s="128">
        <v>43332</v>
      </c>
      <c r="B9" s="29">
        <v>6</v>
      </c>
      <c r="C9" s="28"/>
      <c r="D9" s="42"/>
      <c r="E9" s="42"/>
      <c r="F9" s="42"/>
      <c r="G9" s="42"/>
      <c r="H9" s="42"/>
      <c r="I9" s="42"/>
      <c r="J9" s="27"/>
      <c r="K9" s="27"/>
      <c r="S9" s="6"/>
      <c r="T9" s="4">
        <f>stableGSBR[[#This Row],[NH4-N 
(mg L-1)]]*1.288</f>
        <v>0</v>
      </c>
      <c r="U9" s="20">
        <f>stableGSBR[[#This Row],[NO2-N 
(mg L-1)]]*3.284</f>
        <v>0</v>
      </c>
      <c r="V9" s="6">
        <f>(stableGSBR[[#This Row],[NO3-N 
(mg L-1)]])*4.426</f>
        <v>0</v>
      </c>
      <c r="W9" s="6"/>
      <c r="Y9" s="6"/>
      <c r="Z9" s="4"/>
      <c r="AA9" s="26"/>
      <c r="AB9" s="48"/>
      <c r="AC9" s="48"/>
      <c r="AD9" s="20"/>
      <c r="AE9" s="19"/>
      <c r="AF9" s="129"/>
      <c r="AG9" s="19"/>
      <c r="AH9" s="4"/>
      <c r="AI9" s="20"/>
      <c r="AJ9" s="6"/>
      <c r="AK9" s="6"/>
      <c r="AL9" s="6"/>
      <c r="AM9" s="6"/>
      <c r="AN9" s="26"/>
      <c r="AO9" s="26"/>
      <c r="AP9" s="6"/>
      <c r="AQ9" s="21"/>
      <c r="AR9" s="6"/>
      <c r="AS9" s="6"/>
      <c r="AT9" s="6"/>
      <c r="AU9" s="4" t="s">
        <v>531</v>
      </c>
    </row>
    <row r="10" spans="1:47" x14ac:dyDescent="0.3">
      <c r="A10" s="128">
        <v>43333</v>
      </c>
      <c r="B10" s="29">
        <v>7</v>
      </c>
      <c r="C10" s="28"/>
      <c r="D10" s="42"/>
      <c r="E10" s="42"/>
      <c r="F10" s="42"/>
      <c r="G10" s="42"/>
      <c r="H10" s="42"/>
      <c r="I10" s="42"/>
      <c r="J10" s="27"/>
      <c r="K10" s="27"/>
      <c r="S10" s="6"/>
      <c r="T10" s="4">
        <f>stableGSBR[[#This Row],[NH4-N 
(mg L-1)]]*1.288</f>
        <v>0</v>
      </c>
      <c r="U10" s="20">
        <f>stableGSBR[[#This Row],[NO2-N 
(mg L-1)]]*3.284</f>
        <v>0</v>
      </c>
      <c r="V10" s="6">
        <f>(stableGSBR[[#This Row],[NO3-N 
(mg L-1)]])*4.426</f>
        <v>0</v>
      </c>
      <c r="W10" s="6"/>
      <c r="Y10" s="6"/>
      <c r="Z10" s="4"/>
      <c r="AA10" s="26"/>
      <c r="AB10" s="48"/>
      <c r="AC10" s="48"/>
      <c r="AD10" s="20"/>
      <c r="AE10" s="19"/>
      <c r="AF10" s="129"/>
      <c r="AG10" s="19"/>
      <c r="AH10" s="4"/>
      <c r="AI10" s="20"/>
      <c r="AJ10" s="6"/>
      <c r="AK10" s="6"/>
      <c r="AL10" s="6"/>
      <c r="AM10" s="6"/>
      <c r="AN10" s="26"/>
      <c r="AO10" s="26"/>
      <c r="AP10" s="6">
        <v>2.1000000000000001E-2</v>
      </c>
      <c r="AQ10" s="21">
        <f>stableGSBR[[#This Row],[SAA 
(g N  g VSS-1 d-1)]]/MAX(stableGSBR[SAA 
(g N  g VSS-1 d-1)])</f>
        <v>0.2359550561797753</v>
      </c>
      <c r="AR10" s="6"/>
      <c r="AS10" s="6"/>
      <c r="AT10" s="6"/>
      <c r="AU10" s="4"/>
    </row>
    <row r="11" spans="1:47" x14ac:dyDescent="0.3">
      <c r="A11" s="128">
        <v>43334</v>
      </c>
      <c r="B11" s="29">
        <v>8</v>
      </c>
      <c r="C11" s="28"/>
      <c r="D11" s="42"/>
      <c r="E11" s="42"/>
      <c r="F11" s="42"/>
      <c r="G11" s="42"/>
      <c r="H11" s="42"/>
      <c r="I11" s="42"/>
      <c r="J11" s="27"/>
      <c r="K11" s="161"/>
      <c r="S11" s="6"/>
      <c r="T11" s="4">
        <f>stableGSBR[[#This Row],[NH4-N 
(mg L-1)]]*1.288</f>
        <v>0</v>
      </c>
      <c r="U11" s="20">
        <f>stableGSBR[[#This Row],[NO2-N 
(mg L-1)]]*3.284</f>
        <v>0</v>
      </c>
      <c r="V11" s="6">
        <f>(stableGSBR[[#This Row],[NO3-N 
(mg L-1)]])*4.426</f>
        <v>0</v>
      </c>
      <c r="W11" s="6"/>
      <c r="Y11" s="6"/>
      <c r="Z11" s="4"/>
      <c r="AA11" s="26"/>
      <c r="AB11" s="48"/>
      <c r="AC11" s="48"/>
      <c r="AD11" s="20"/>
      <c r="AE11" s="19"/>
      <c r="AF11" s="129"/>
      <c r="AG11" s="19"/>
      <c r="AH11" s="4"/>
      <c r="AI11" s="20"/>
      <c r="AJ11" s="6"/>
      <c r="AK11" s="6"/>
      <c r="AL11" s="6"/>
      <c r="AM11" s="6"/>
      <c r="AN11" s="26"/>
      <c r="AO11" s="26"/>
      <c r="AP11" s="6"/>
      <c r="AQ11" s="21"/>
      <c r="AR11" s="6"/>
      <c r="AS11" s="6"/>
      <c r="AT11" s="6"/>
      <c r="AU11" s="4"/>
    </row>
    <row r="12" spans="1:47" x14ac:dyDescent="0.3">
      <c r="A12" s="128">
        <v>43335</v>
      </c>
      <c r="B12" s="29">
        <v>9</v>
      </c>
      <c r="C12" s="28"/>
      <c r="D12" s="42"/>
      <c r="E12" s="42"/>
      <c r="F12" s="42"/>
      <c r="G12" s="42"/>
      <c r="H12" s="42"/>
      <c r="I12" s="42"/>
      <c r="J12" s="27"/>
      <c r="K12" s="27"/>
      <c r="S12" s="6"/>
      <c r="T12" s="4">
        <f>stableGSBR[[#This Row],[NH4-N 
(mg L-1)]]*1.288</f>
        <v>0</v>
      </c>
      <c r="U12" s="20">
        <f>stableGSBR[[#This Row],[NO2-N 
(mg L-1)]]*3.284</f>
        <v>0</v>
      </c>
      <c r="V12" s="6">
        <f>(stableGSBR[[#This Row],[NO3-N 
(mg L-1)]])*4.426</f>
        <v>0</v>
      </c>
      <c r="W12" s="6"/>
      <c r="Y12" s="6"/>
      <c r="Z12" s="4"/>
      <c r="AA12" s="26"/>
      <c r="AB12" s="48"/>
      <c r="AC12" s="48"/>
      <c r="AD12" s="20"/>
      <c r="AE12" s="19"/>
      <c r="AF12" s="129"/>
      <c r="AG12" s="19"/>
      <c r="AH12" s="4"/>
      <c r="AI12" s="20"/>
      <c r="AJ12" s="6"/>
      <c r="AK12" s="6"/>
      <c r="AL12" s="6"/>
      <c r="AM12" s="6"/>
      <c r="AN12" s="26"/>
      <c r="AO12" s="26"/>
      <c r="AP12" s="6"/>
      <c r="AQ12" s="21"/>
      <c r="AR12" s="6"/>
      <c r="AS12" s="6"/>
      <c r="AT12" s="6"/>
      <c r="AU12" s="4"/>
    </row>
    <row r="13" spans="1:47" x14ac:dyDescent="0.3">
      <c r="A13" s="128">
        <v>43336</v>
      </c>
      <c r="B13" s="29">
        <v>10</v>
      </c>
      <c r="C13" s="28"/>
      <c r="D13" s="42"/>
      <c r="E13" s="42"/>
      <c r="F13" s="42"/>
      <c r="G13" s="42"/>
      <c r="H13" s="42"/>
      <c r="I13" s="42"/>
      <c r="J13" s="27"/>
      <c r="K13" s="27"/>
      <c r="S13" s="6"/>
      <c r="T13" s="4">
        <f>stableGSBR[[#This Row],[NH4-N 
(mg L-1)]]*1.288</f>
        <v>0</v>
      </c>
      <c r="U13" s="20">
        <f>stableGSBR[[#This Row],[NO2-N 
(mg L-1)]]*3.284</f>
        <v>0</v>
      </c>
      <c r="V13" s="6">
        <f>(stableGSBR[[#This Row],[NO3-N 
(mg L-1)]])*4.426</f>
        <v>0</v>
      </c>
      <c r="W13" s="6"/>
      <c r="Y13" s="6"/>
      <c r="Z13" s="4"/>
      <c r="AA13" s="26"/>
      <c r="AB13" s="48"/>
      <c r="AC13" s="48"/>
      <c r="AD13" s="20"/>
      <c r="AE13" s="19"/>
      <c r="AF13" s="129"/>
      <c r="AG13" s="19"/>
      <c r="AH13" s="4"/>
      <c r="AI13" s="20"/>
      <c r="AJ13" s="6"/>
      <c r="AK13" s="6"/>
      <c r="AL13" s="6"/>
      <c r="AM13" s="6"/>
      <c r="AN13" s="26"/>
      <c r="AO13" s="26"/>
      <c r="AP13" s="6"/>
      <c r="AQ13" s="21"/>
      <c r="AR13" s="6"/>
      <c r="AS13" s="6"/>
      <c r="AT13" s="6"/>
      <c r="AU13" s="4"/>
    </row>
    <row r="14" spans="1:47" x14ac:dyDescent="0.3">
      <c r="A14" s="128">
        <v>43337</v>
      </c>
      <c r="B14" s="29">
        <v>11</v>
      </c>
      <c r="C14" s="28"/>
      <c r="D14" s="42"/>
      <c r="E14" s="42"/>
      <c r="F14" s="42"/>
      <c r="G14" s="42"/>
      <c r="H14" s="42"/>
      <c r="I14" s="42"/>
      <c r="J14" s="27"/>
      <c r="K14" s="27"/>
      <c r="S14" s="6"/>
      <c r="T14" s="4">
        <f>stableGSBR[[#This Row],[NH4-N 
(mg L-1)]]*1.288</f>
        <v>0</v>
      </c>
      <c r="U14" s="20">
        <f>stableGSBR[[#This Row],[NO2-N 
(mg L-1)]]*3.284</f>
        <v>0</v>
      </c>
      <c r="V14" s="6">
        <f>(stableGSBR[[#This Row],[NO3-N 
(mg L-1)]])*4.426</f>
        <v>0</v>
      </c>
      <c r="W14" s="6"/>
      <c r="Y14" s="6"/>
      <c r="Z14" s="4"/>
      <c r="AA14" s="26"/>
      <c r="AB14" s="48"/>
      <c r="AC14" s="48"/>
      <c r="AD14" s="20"/>
      <c r="AE14" s="19"/>
      <c r="AF14" s="129"/>
      <c r="AG14" s="19"/>
      <c r="AH14" s="4"/>
      <c r="AI14" s="20"/>
      <c r="AJ14" s="6"/>
      <c r="AK14" s="6"/>
      <c r="AL14" s="6"/>
      <c r="AM14" s="6"/>
      <c r="AN14" s="26"/>
      <c r="AO14" s="26"/>
      <c r="AP14" s="6"/>
      <c r="AQ14" s="21"/>
      <c r="AR14" s="6"/>
      <c r="AS14" s="6"/>
      <c r="AT14" s="6"/>
      <c r="AU14" s="4"/>
    </row>
    <row r="15" spans="1:47" x14ac:dyDescent="0.3">
      <c r="A15" s="128">
        <v>43338</v>
      </c>
      <c r="B15" s="29">
        <v>12</v>
      </c>
      <c r="C15" s="28"/>
      <c r="D15" s="42"/>
      <c r="E15" s="42"/>
      <c r="F15" s="42"/>
      <c r="G15" s="42"/>
      <c r="H15" s="42"/>
      <c r="I15" s="42"/>
      <c r="J15" s="27"/>
      <c r="K15" s="27"/>
      <c r="S15" s="6"/>
      <c r="T15" s="4">
        <f>stableGSBR[[#This Row],[NH4-N 
(mg L-1)]]*1.288</f>
        <v>0</v>
      </c>
      <c r="U15" s="20">
        <f>stableGSBR[[#This Row],[NO2-N 
(mg L-1)]]*3.284</f>
        <v>0</v>
      </c>
      <c r="V15" s="6">
        <f>(stableGSBR[[#This Row],[NO3-N 
(mg L-1)]])*4.426</f>
        <v>0</v>
      </c>
      <c r="W15" s="6"/>
      <c r="Y15" s="6"/>
      <c r="Z15" s="4"/>
      <c r="AA15" s="26"/>
      <c r="AB15" s="48"/>
      <c r="AC15" s="48"/>
      <c r="AD15" s="20"/>
      <c r="AE15" s="19"/>
      <c r="AF15" s="129"/>
      <c r="AG15" s="19"/>
      <c r="AH15" s="4"/>
      <c r="AI15" s="20"/>
      <c r="AJ15" s="6"/>
      <c r="AK15" s="6"/>
      <c r="AL15" s="6"/>
      <c r="AM15" s="6"/>
      <c r="AN15" s="26"/>
      <c r="AO15" s="26"/>
      <c r="AP15" s="6"/>
      <c r="AQ15" s="21"/>
      <c r="AR15" s="6"/>
      <c r="AS15" s="6"/>
      <c r="AT15" s="6"/>
      <c r="AU15" s="4"/>
    </row>
    <row r="16" spans="1:47" x14ac:dyDescent="0.3">
      <c r="A16" s="128">
        <v>43339</v>
      </c>
      <c r="B16" s="29">
        <v>13</v>
      </c>
      <c r="C16" s="28"/>
      <c r="D16" s="42"/>
      <c r="E16" s="42"/>
      <c r="F16" s="42"/>
      <c r="G16" s="42"/>
      <c r="H16" s="42"/>
      <c r="I16" s="42"/>
      <c r="J16" s="27"/>
      <c r="K16" s="27"/>
      <c r="S16" s="6"/>
      <c r="T16" s="4">
        <f>stableGSBR[[#This Row],[NH4-N 
(mg L-1)]]*1.288</f>
        <v>0</v>
      </c>
      <c r="U16" s="20">
        <f>stableGSBR[[#This Row],[NO2-N 
(mg L-1)]]*3.284</f>
        <v>0</v>
      </c>
      <c r="V16" s="6">
        <f>(stableGSBR[[#This Row],[NO3-N 
(mg L-1)]])*4.426</f>
        <v>0</v>
      </c>
      <c r="W16" s="6"/>
      <c r="Y16" s="6"/>
      <c r="Z16" s="4"/>
      <c r="AA16" s="26"/>
      <c r="AB16" s="48"/>
      <c r="AC16" s="48"/>
      <c r="AD16" s="20"/>
      <c r="AE16" s="19"/>
      <c r="AF16" s="129"/>
      <c r="AG16" s="19"/>
      <c r="AH16" s="4"/>
      <c r="AI16" s="20"/>
      <c r="AJ16" s="6"/>
      <c r="AK16" s="6"/>
      <c r="AL16" s="6"/>
      <c r="AM16" s="6"/>
      <c r="AN16" s="26"/>
      <c r="AO16" s="26"/>
      <c r="AP16" s="6"/>
      <c r="AQ16" s="21"/>
      <c r="AR16" s="6"/>
      <c r="AS16" s="6"/>
      <c r="AT16" s="6"/>
      <c r="AU16" s="4"/>
    </row>
    <row r="17" spans="1:47" x14ac:dyDescent="0.3">
      <c r="A17" s="128">
        <v>43340</v>
      </c>
      <c r="B17" s="29">
        <v>14</v>
      </c>
      <c r="C17" s="28"/>
      <c r="D17" s="42"/>
      <c r="E17" s="42"/>
      <c r="F17" s="42"/>
      <c r="G17" s="42"/>
      <c r="H17" s="42"/>
      <c r="I17" s="42"/>
      <c r="J17" s="27"/>
      <c r="K17" s="27"/>
      <c r="T17" s="4"/>
      <c r="U17" s="20"/>
      <c r="V17" s="6"/>
      <c r="W17" s="6"/>
      <c r="Y17" s="6"/>
      <c r="Z17" s="4"/>
      <c r="AA17" s="23"/>
      <c r="AB17" s="48"/>
      <c r="AC17" s="48"/>
      <c r="AD17" s="20"/>
      <c r="AE17" s="19"/>
      <c r="AF17" s="129"/>
      <c r="AG17" s="19"/>
      <c r="AH17" s="4"/>
      <c r="AI17" s="20"/>
      <c r="AJ17" s="6"/>
      <c r="AK17" s="6"/>
      <c r="AL17" s="6"/>
      <c r="AM17" s="6"/>
      <c r="AN17" s="26"/>
      <c r="AO17" s="26"/>
      <c r="AP17" s="6"/>
      <c r="AQ17" s="21"/>
      <c r="AR17" s="6"/>
      <c r="AS17" s="6"/>
      <c r="AT17" s="6"/>
      <c r="AU17" s="4"/>
    </row>
    <row r="18" spans="1:47" x14ac:dyDescent="0.3">
      <c r="A18" s="128">
        <v>43341</v>
      </c>
      <c r="B18" s="29">
        <v>15</v>
      </c>
      <c r="C18" s="28">
        <f>Information!$R$54/stableGSBR[[#This Row],[HRT 
(h)]]*24</f>
        <v>9.9287529238108879E-2</v>
      </c>
      <c r="D18" s="42">
        <v>48.344439999999999</v>
      </c>
      <c r="E18" s="42">
        <v>17.549936249999998</v>
      </c>
      <c r="F18" s="42">
        <v>7.6424874999999997</v>
      </c>
      <c r="G18" s="42">
        <v>0.16673729125</v>
      </c>
      <c r="H18" s="42">
        <v>2.4037076874999999</v>
      </c>
      <c r="I18" s="42">
        <v>154.42815625</v>
      </c>
      <c r="J18" s="27"/>
      <c r="K18" s="27"/>
      <c r="L18" s="29">
        <v>1430</v>
      </c>
      <c r="M18" s="29">
        <f>stableGSBR[[#This Row],[COD 
(mg L-1)]]*Information!$AK$43</f>
        <v>1144</v>
      </c>
      <c r="N18" s="29">
        <v>322</v>
      </c>
      <c r="O18" s="29">
        <v>7.8</v>
      </c>
      <c r="P18" s="29">
        <v>190</v>
      </c>
      <c r="R18" s="29">
        <v>1.42</v>
      </c>
      <c r="S18" s="29">
        <v>174.5</v>
      </c>
      <c r="T18" s="4">
        <f>stableGSBR[[#This Row],[NH4-N 
(mg L-1)]]*1.288</f>
        <v>173.84136000000001</v>
      </c>
      <c r="U18" s="20">
        <f>stableGSBR[[#This Row],[NO2-N 
(mg L-1)]]*3.284</f>
        <v>0</v>
      </c>
      <c r="V18" s="6">
        <f>(stableGSBR[[#This Row],[NO3-N 
(mg L-1)]])*4.426</f>
        <v>0</v>
      </c>
      <c r="W18" s="6">
        <v>134.97</v>
      </c>
      <c r="Y18" s="6"/>
      <c r="Z18" s="4"/>
      <c r="AA18" s="26"/>
      <c r="AB18" s="48"/>
      <c r="AC18" s="48"/>
      <c r="AD18" s="20"/>
      <c r="AE18" s="19"/>
      <c r="AF18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1101.73</v>
      </c>
      <c r="AG18" s="19">
        <f>IFERROR(IF(Influent[[#This Row],[COD (mg L-1)]]-MEDIA[[#This Row],[COD 
(mg L-1)]]&lt;0,0,Influent[[#This Row],[COD (mg L-1)]]-MEDIA[[#This Row],[COD 
(mg L-1)]]),0)</f>
        <v>0</v>
      </c>
      <c r="AH18" s="4">
        <f>IF(IFERROR(Influent[[#This Row],[Alkalinity (mg CaCO3 L-1) ]]-stableGSBR[[#This Row],[Alkalinity 
(mg CaCO3 L-1) ]],0)&lt;0,0,IFERROR(Influent[[#This Row],[Alkalinity (mg CaCO3 L-1) ]]-stableGSBR[[#This Row],[Alkalinity 
(mg CaCO3 L-1) ]],0))</f>
        <v>4322</v>
      </c>
      <c r="AI18" s="20"/>
      <c r="AJ18" s="6"/>
      <c r="AK18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0.54694024793750851</v>
      </c>
      <c r="AL18" s="6">
        <f>Influent[[#This Row],[TN (mg L-1)]]/stableGSBR[[#This Row],[HRT 
(h)]]*24/1000</f>
        <v>0.61404372457308443</v>
      </c>
      <c r="AM18" s="6"/>
      <c r="AN18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0.89086277997897634</v>
      </c>
      <c r="AO18" s="26"/>
      <c r="AP18" s="6"/>
      <c r="AQ18" s="21"/>
      <c r="AR18" s="6">
        <f>stableGSBR[[#This Row],[NH4-N 
(mg L-1)]]-20</f>
        <v>114.97</v>
      </c>
      <c r="AS18" s="6">
        <f>stableGSBR[[#This Row],[Ammonia residual to reach target]]*2.9</f>
        <v>333.41300000000001</v>
      </c>
      <c r="AT18" s="6">
        <f>stableGSBR[[#This Row],[Alkalinity 
(mg CaCO3 L-1) ]]-70-stableGSBR[[#This Row],[Alkalinity need]]</f>
        <v>-81.413000000000011</v>
      </c>
      <c r="AU18" s="4"/>
    </row>
    <row r="19" spans="1:47" x14ac:dyDescent="0.3">
      <c r="A19" s="128">
        <v>43342</v>
      </c>
      <c r="B19" s="29">
        <v>16</v>
      </c>
      <c r="C19" s="28">
        <f>Information!$R$54/stableGSBR[[#This Row],[HRT 
(h)]]*24</f>
        <v>4.0336134453781515E-2</v>
      </c>
      <c r="D19" s="42">
        <v>119</v>
      </c>
      <c r="E19" s="42">
        <v>18.962759375000001</v>
      </c>
      <c r="F19" s="42">
        <v>7.8322795625000001</v>
      </c>
      <c r="G19" s="42">
        <v>0.3784957625</v>
      </c>
      <c r="H19" s="42">
        <v>3.7269916875</v>
      </c>
      <c r="I19" s="42">
        <v>-108.30461875</v>
      </c>
      <c r="J19" s="27"/>
      <c r="K19" s="27"/>
      <c r="L19" s="29">
        <v>1470</v>
      </c>
      <c r="M19" s="29">
        <f>stableGSBR[[#This Row],[COD 
(mg L-1)]]*Information!$AK$43</f>
        <v>1176</v>
      </c>
      <c r="N19" s="29">
        <v>544</v>
      </c>
      <c r="O19" s="29">
        <v>8.1</v>
      </c>
      <c r="P19" s="29">
        <v>128</v>
      </c>
      <c r="R19" s="29">
        <v>1.52</v>
      </c>
      <c r="S19" s="29">
        <v>153.5</v>
      </c>
      <c r="T19" s="4">
        <f>stableGSBR[[#This Row],[NH4-N 
(mg L-1)]]*1.288</f>
        <v>260.58816000000002</v>
      </c>
      <c r="U19" s="20">
        <f>stableGSBR[[#This Row],[NO2-N 
(mg L-1)]]*3.284</f>
        <v>0</v>
      </c>
      <c r="V19" s="6">
        <f>(stableGSBR[[#This Row],[NO3-N 
(mg L-1)]])*4.426</f>
        <v>0</v>
      </c>
      <c r="W19" s="6">
        <v>202.32</v>
      </c>
      <c r="Y19" s="6"/>
      <c r="Z19" s="4"/>
      <c r="AA19" s="26"/>
      <c r="AB19" s="48"/>
      <c r="AC19" s="48"/>
      <c r="AD19" s="20"/>
      <c r="AE19" s="19"/>
      <c r="AF19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1131.28</v>
      </c>
      <c r="AG19" s="19">
        <f>IFERROR(IF(Influent[[#This Row],[COD (mg L-1)]]-MEDIA[[#This Row],[COD 
(mg L-1)]]&lt;0,0,Influent[[#This Row],[COD (mg L-1)]]-MEDIA[[#This Row],[COD 
(mg L-1)]]),0)</f>
        <v>2488</v>
      </c>
      <c r="AH19" s="4">
        <f>IF(IFERROR(Influent[[#This Row],[Alkalinity (mg CaCO3 L-1) ]]-stableGSBR[[#This Row],[Alkalinity 
(mg CaCO3 L-1) ]],0)&lt;0,0,IFERROR(Influent[[#This Row],[Alkalinity (mg CaCO3 L-1) ]]-stableGSBR[[#This Row],[Alkalinity 
(mg CaCO3 L-1) ]],0))</f>
        <v>4468</v>
      </c>
      <c r="AI19" s="20">
        <f>Influent[[#This Row],[COD (mg L-1)]]/stableGSBR[[#This Row],[HRT 
(h)]]*24/1000</f>
        <v>0.67563025210084038</v>
      </c>
      <c r="AJ19" s="6">
        <f>IFERROR(IF(((stableGSBR[[#This Row],[ΔC (mg L-1)]])/stableGSBR[[#This Row],[HRT 
(h)]]*24/1000) &lt;0,0, (stableGSBR[[#This Row],[ΔC (mg L-1)]])/stableGSBR[[#This Row],[HRT 
(h)]]*24/1000),0)</f>
        <v>0.501781512605042</v>
      </c>
      <c r="AK19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0.22815731092436975</v>
      </c>
      <c r="AL19" s="6">
        <f>Influent[[#This Row],[TN (mg L-1)]]/stableGSBR[[#This Row],[HRT 
(h)]]*24/1000</f>
        <v>0.26900168067226887</v>
      </c>
      <c r="AM19" s="6"/>
      <c r="AN19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0.84829034193161368</v>
      </c>
      <c r="AO19" s="26"/>
      <c r="AP19" s="6"/>
      <c r="AQ19" s="21"/>
      <c r="AR19" s="6">
        <f>stableGSBR[[#This Row],[NH4-N 
(mg L-1)]]-20</f>
        <v>182.32</v>
      </c>
      <c r="AS19" s="6">
        <f>stableGSBR[[#This Row],[Ammonia residual to reach target]]*2.9</f>
        <v>528.72799999999995</v>
      </c>
      <c r="AT19" s="6">
        <f>stableGSBR[[#This Row],[Alkalinity 
(mg CaCO3 L-1) ]]-70-stableGSBR[[#This Row],[Alkalinity need]]</f>
        <v>-54.727999999999952</v>
      </c>
      <c r="AU19" s="4"/>
    </row>
    <row r="20" spans="1:47" x14ac:dyDescent="0.3">
      <c r="A20" s="128">
        <v>43343</v>
      </c>
      <c r="B20" s="29">
        <v>17</v>
      </c>
      <c r="C20" s="28"/>
      <c r="D20" s="42"/>
      <c r="E20" s="42"/>
      <c r="F20" s="42"/>
      <c r="G20" s="42"/>
      <c r="H20" s="42"/>
      <c r="I20" s="42"/>
      <c r="J20" s="27"/>
      <c r="K20" s="27"/>
      <c r="S20" s="6"/>
      <c r="T20" s="4">
        <f>stableGSBR[[#This Row],[NH4-N 
(mg L-1)]]*1.288</f>
        <v>0</v>
      </c>
      <c r="U20" s="20">
        <f>stableGSBR[[#This Row],[NO2-N 
(mg L-1)]]*3.284</f>
        <v>0</v>
      </c>
      <c r="V20" s="6">
        <f>(stableGSBR[[#This Row],[NO3-N 
(mg L-1)]])*4.426</f>
        <v>0</v>
      </c>
      <c r="W20" s="6"/>
      <c r="Y20" s="6"/>
      <c r="Z20" s="4"/>
      <c r="AA20" s="26"/>
      <c r="AB20" s="48"/>
      <c r="AC20" s="48"/>
      <c r="AD20" s="20"/>
      <c r="AE20" s="19"/>
      <c r="AF20" s="129"/>
      <c r="AG20" s="19"/>
      <c r="AH20" s="4"/>
      <c r="AI20" s="20"/>
      <c r="AJ20" s="6"/>
      <c r="AK20" s="6"/>
      <c r="AL20" s="6"/>
      <c r="AM20" s="6"/>
      <c r="AN20" s="26"/>
      <c r="AO20" s="26"/>
      <c r="AP20" s="6"/>
      <c r="AQ20" s="21"/>
      <c r="AR20" s="6"/>
      <c r="AS20" s="6"/>
      <c r="AT20" s="6"/>
      <c r="AU20" s="4" t="s">
        <v>535</v>
      </c>
    </row>
    <row r="21" spans="1:47" x14ac:dyDescent="0.3">
      <c r="A21" s="128">
        <v>43344</v>
      </c>
      <c r="B21" s="29">
        <v>18</v>
      </c>
      <c r="C21" s="28"/>
      <c r="D21" s="42"/>
      <c r="E21" s="42"/>
      <c r="F21" s="42"/>
      <c r="G21" s="42"/>
      <c r="H21" s="42"/>
      <c r="I21" s="42"/>
      <c r="J21" s="27"/>
      <c r="K21" s="27"/>
      <c r="S21" s="6"/>
      <c r="T21" s="4">
        <f>stableGSBR[[#This Row],[NH4-N 
(mg L-1)]]*1.288</f>
        <v>0</v>
      </c>
      <c r="U21" s="20">
        <f>stableGSBR[[#This Row],[NO2-N 
(mg L-1)]]*3.284</f>
        <v>0</v>
      </c>
      <c r="V21" s="6">
        <f>(stableGSBR[[#This Row],[NO3-N 
(mg L-1)]])*4.426</f>
        <v>0</v>
      </c>
      <c r="W21" s="6"/>
      <c r="Y21" s="6"/>
      <c r="Z21" s="4"/>
      <c r="AA21" s="26"/>
      <c r="AB21" s="48"/>
      <c r="AC21" s="48"/>
      <c r="AD21" s="20"/>
      <c r="AE21" s="19"/>
      <c r="AF21" s="129"/>
      <c r="AG21" s="19"/>
      <c r="AH21" s="4"/>
      <c r="AI21" s="20"/>
      <c r="AJ21" s="6"/>
      <c r="AK21" s="6"/>
      <c r="AL21" s="6"/>
      <c r="AM21" s="6"/>
      <c r="AN21" s="26"/>
      <c r="AO21" s="26"/>
      <c r="AP21" s="6"/>
      <c r="AQ21" s="21"/>
      <c r="AR21" s="6"/>
      <c r="AS21" s="6"/>
      <c r="AT21" s="6"/>
      <c r="AU21" s="4" t="s">
        <v>535</v>
      </c>
    </row>
    <row r="22" spans="1:47" x14ac:dyDescent="0.3">
      <c r="A22" s="128">
        <v>43345</v>
      </c>
      <c r="B22" s="29">
        <v>19</v>
      </c>
      <c r="C22" s="28"/>
      <c r="D22" s="42"/>
      <c r="E22" s="42"/>
      <c r="F22" s="42"/>
      <c r="G22" s="42"/>
      <c r="H22" s="42"/>
      <c r="I22" s="42"/>
      <c r="J22" s="27"/>
      <c r="K22" s="27"/>
      <c r="S22" s="6"/>
      <c r="T22" s="4">
        <f>stableGSBR[[#This Row],[NH4-N 
(mg L-1)]]*1.288</f>
        <v>0</v>
      </c>
      <c r="U22" s="20">
        <f>stableGSBR[[#This Row],[NO2-N 
(mg L-1)]]*3.284</f>
        <v>0</v>
      </c>
      <c r="V22" s="6">
        <f>(stableGSBR[[#This Row],[NO3-N 
(mg L-1)]])*4.426</f>
        <v>0</v>
      </c>
      <c r="W22" s="6"/>
      <c r="Y22" s="6"/>
      <c r="Z22" s="4"/>
      <c r="AA22" s="26"/>
      <c r="AB22" s="48"/>
      <c r="AC22" s="48"/>
      <c r="AD22" s="20"/>
      <c r="AE22" s="19"/>
      <c r="AF22" s="129"/>
      <c r="AG22" s="19"/>
      <c r="AH22" s="4"/>
      <c r="AI22" s="20"/>
      <c r="AJ22" s="6"/>
      <c r="AK22" s="6"/>
      <c r="AL22" s="6"/>
      <c r="AM22" s="6"/>
      <c r="AN22" s="26"/>
      <c r="AO22" s="26"/>
      <c r="AP22" s="6"/>
      <c r="AQ22" s="21"/>
      <c r="AR22" s="6"/>
      <c r="AS22" s="6"/>
      <c r="AT22" s="6"/>
      <c r="AU22" s="4" t="s">
        <v>535</v>
      </c>
    </row>
    <row r="23" spans="1:47" x14ac:dyDescent="0.3">
      <c r="A23" s="128">
        <v>43346</v>
      </c>
      <c r="B23" s="29">
        <v>20</v>
      </c>
      <c r="C23" s="28"/>
      <c r="D23" s="42"/>
      <c r="E23" s="42"/>
      <c r="F23" s="42"/>
      <c r="G23" s="42"/>
      <c r="H23" s="42"/>
      <c r="I23" s="42"/>
      <c r="J23" s="27"/>
      <c r="K23" s="27"/>
      <c r="S23" s="6"/>
      <c r="T23" s="4">
        <f>stableGSBR[[#This Row],[NH4-N 
(mg L-1)]]*1.288</f>
        <v>0</v>
      </c>
      <c r="U23" s="20">
        <f>stableGSBR[[#This Row],[NO2-N 
(mg L-1)]]*3.284</f>
        <v>0</v>
      </c>
      <c r="V23" s="6">
        <f>(stableGSBR[[#This Row],[NO3-N 
(mg L-1)]])*4.426</f>
        <v>0</v>
      </c>
      <c r="W23" s="6"/>
      <c r="Y23" s="6"/>
      <c r="Z23" s="4"/>
      <c r="AA23" s="26"/>
      <c r="AB23" s="48"/>
      <c r="AC23" s="48"/>
      <c r="AD23" s="20"/>
      <c r="AE23" s="19"/>
      <c r="AF23" s="129"/>
      <c r="AG23" s="19"/>
      <c r="AH23" s="4"/>
      <c r="AI23" s="20"/>
      <c r="AJ23" s="6"/>
      <c r="AK23" s="6"/>
      <c r="AL23" s="6"/>
      <c r="AM23" s="6"/>
      <c r="AN23" s="26"/>
      <c r="AO23" s="26"/>
      <c r="AP23" s="6"/>
      <c r="AQ23" s="21"/>
      <c r="AR23" s="6"/>
      <c r="AS23" s="6"/>
      <c r="AT23" s="6"/>
      <c r="AU23" s="4" t="s">
        <v>535</v>
      </c>
    </row>
    <row r="24" spans="1:47" x14ac:dyDescent="0.3">
      <c r="A24" s="128">
        <v>43347</v>
      </c>
      <c r="B24" s="29">
        <v>21</v>
      </c>
      <c r="C24" s="28"/>
      <c r="D24" s="42"/>
      <c r="E24" s="42"/>
      <c r="F24" s="42"/>
      <c r="G24" s="42"/>
      <c r="H24" s="42"/>
      <c r="I24" s="42"/>
      <c r="J24" s="27"/>
      <c r="K24" s="27"/>
      <c r="S24" s="6"/>
      <c r="T24" s="4">
        <f>stableGSBR[[#This Row],[NH4-N 
(mg L-1)]]*1.288</f>
        <v>0</v>
      </c>
      <c r="U24" s="20">
        <f>stableGSBR[[#This Row],[NO2-N 
(mg L-1)]]*3.284</f>
        <v>0</v>
      </c>
      <c r="V24" s="6">
        <f>(stableGSBR[[#This Row],[NO3-N 
(mg L-1)]])*4.426</f>
        <v>0</v>
      </c>
      <c r="W24" s="6"/>
      <c r="Y24" s="6"/>
      <c r="Z24" s="4"/>
      <c r="AA24" s="26"/>
      <c r="AB24" s="48"/>
      <c r="AC24" s="48"/>
      <c r="AD24" s="20"/>
      <c r="AE24" s="19"/>
      <c r="AF24" s="129"/>
      <c r="AG24" s="19"/>
      <c r="AH24" s="4"/>
      <c r="AI24" s="20"/>
      <c r="AJ24" s="6"/>
      <c r="AK24" s="6"/>
      <c r="AL24" s="6"/>
      <c r="AM24" s="6"/>
      <c r="AN24" s="26"/>
      <c r="AO24" s="26"/>
      <c r="AP24" s="6"/>
      <c r="AQ24" s="21"/>
      <c r="AR24" s="6"/>
      <c r="AS24" s="6"/>
      <c r="AT24" s="6"/>
      <c r="AU24" s="4" t="s">
        <v>535</v>
      </c>
    </row>
    <row r="25" spans="1:47" x14ac:dyDescent="0.3">
      <c r="A25" s="128">
        <v>43348</v>
      </c>
      <c r="B25" s="29">
        <v>22</v>
      </c>
      <c r="C25" s="28"/>
      <c r="D25" s="42"/>
      <c r="E25" s="42"/>
      <c r="F25" s="42"/>
      <c r="G25" s="42"/>
      <c r="H25" s="42"/>
      <c r="I25" s="42"/>
      <c r="J25" s="27"/>
      <c r="K25" s="27"/>
      <c r="S25" s="6"/>
      <c r="T25" s="4">
        <f>stableGSBR[[#This Row],[NH4-N 
(mg L-1)]]*1.288</f>
        <v>0</v>
      </c>
      <c r="U25" s="20">
        <f>stableGSBR[[#This Row],[NO2-N 
(mg L-1)]]*3.284</f>
        <v>0</v>
      </c>
      <c r="V25" s="6">
        <f>(stableGSBR[[#This Row],[NO3-N 
(mg L-1)]])*4.426</f>
        <v>0</v>
      </c>
      <c r="W25" s="6"/>
      <c r="Y25" s="6"/>
      <c r="Z25" s="4"/>
      <c r="AA25" s="26"/>
      <c r="AB25" s="48"/>
      <c r="AC25" s="48"/>
      <c r="AD25" s="20"/>
      <c r="AE25" s="19"/>
      <c r="AF25" s="129"/>
      <c r="AG25" s="19"/>
      <c r="AH25" s="4"/>
      <c r="AI25" s="20"/>
      <c r="AJ25" s="6"/>
      <c r="AK25" s="6"/>
      <c r="AL25" s="6"/>
      <c r="AM25" s="6"/>
      <c r="AN25" s="26"/>
      <c r="AO25" s="26"/>
      <c r="AP25" s="6"/>
      <c r="AQ25" s="21"/>
      <c r="AR25" s="6"/>
      <c r="AS25" s="6"/>
      <c r="AT25" s="6"/>
      <c r="AU25" s="4" t="s">
        <v>535</v>
      </c>
    </row>
    <row r="26" spans="1:47" x14ac:dyDescent="0.3">
      <c r="A26" s="128">
        <v>43349</v>
      </c>
      <c r="B26" s="29">
        <v>23</v>
      </c>
      <c r="C26" s="28"/>
      <c r="D26" s="42"/>
      <c r="E26" s="42"/>
      <c r="F26" s="42"/>
      <c r="G26" s="42"/>
      <c r="H26" s="42"/>
      <c r="I26" s="42"/>
      <c r="J26" s="27"/>
      <c r="K26" s="27"/>
      <c r="S26" s="6"/>
      <c r="T26" s="4">
        <f>stableGSBR[[#This Row],[NH4-N 
(mg L-1)]]*1.288</f>
        <v>0</v>
      </c>
      <c r="U26" s="20">
        <f>stableGSBR[[#This Row],[NO2-N 
(mg L-1)]]*3.284</f>
        <v>0</v>
      </c>
      <c r="V26" s="6">
        <f>(stableGSBR[[#This Row],[NO3-N 
(mg L-1)]])*4.426</f>
        <v>0</v>
      </c>
      <c r="W26" s="6"/>
      <c r="Y26" s="6"/>
      <c r="Z26" s="4"/>
      <c r="AA26" s="26"/>
      <c r="AB26" s="48"/>
      <c r="AC26" s="48"/>
      <c r="AD26" s="20"/>
      <c r="AE26" s="19"/>
      <c r="AF26" s="129"/>
      <c r="AG26" s="19"/>
      <c r="AH26" s="4"/>
      <c r="AI26" s="20"/>
      <c r="AJ26" s="6"/>
      <c r="AK26" s="6"/>
      <c r="AL26" s="6"/>
      <c r="AM26" s="6"/>
      <c r="AN26" s="26"/>
      <c r="AO26" s="26"/>
      <c r="AP26" s="6"/>
      <c r="AQ26" s="21"/>
      <c r="AR26" s="6"/>
      <c r="AS26" s="6"/>
      <c r="AT26" s="6"/>
      <c r="AU26" s="4" t="s">
        <v>535</v>
      </c>
    </row>
    <row r="27" spans="1:47" x14ac:dyDescent="0.3">
      <c r="A27" s="128">
        <v>43350</v>
      </c>
      <c r="B27" s="29">
        <v>24</v>
      </c>
      <c r="C27" s="28"/>
      <c r="D27" s="42"/>
      <c r="E27" s="42"/>
      <c r="F27" s="42"/>
      <c r="G27" s="42"/>
      <c r="H27" s="42"/>
      <c r="I27" s="42"/>
      <c r="J27" s="27"/>
      <c r="K27" s="27"/>
      <c r="S27" s="6"/>
      <c r="T27" s="4">
        <f>stableGSBR[[#This Row],[NH4-N 
(mg L-1)]]*1.288</f>
        <v>0</v>
      </c>
      <c r="U27" s="20">
        <f>stableGSBR[[#This Row],[NO2-N 
(mg L-1)]]*3.284</f>
        <v>0</v>
      </c>
      <c r="V27" s="6">
        <f>(stableGSBR[[#This Row],[NO3-N 
(mg L-1)]])*4.426</f>
        <v>0</v>
      </c>
      <c r="W27" s="6"/>
      <c r="Y27" s="6"/>
      <c r="Z27" s="4"/>
      <c r="AA27" s="26"/>
      <c r="AB27" s="48"/>
      <c r="AC27" s="48"/>
      <c r="AD27" s="20"/>
      <c r="AE27" s="19"/>
      <c r="AF27" s="129"/>
      <c r="AG27" s="19"/>
      <c r="AH27" s="4"/>
      <c r="AI27" s="20"/>
      <c r="AJ27" s="6"/>
      <c r="AK27" s="6"/>
      <c r="AL27" s="6"/>
      <c r="AM27" s="6"/>
      <c r="AN27" s="26"/>
      <c r="AO27" s="26"/>
      <c r="AP27" s="6"/>
      <c r="AQ27" s="21"/>
      <c r="AR27" s="6"/>
      <c r="AS27" s="6"/>
      <c r="AT27" s="6"/>
      <c r="AU27" s="4" t="s">
        <v>535</v>
      </c>
    </row>
    <row r="28" spans="1:47" x14ac:dyDescent="0.3">
      <c r="A28" s="128">
        <v>43351</v>
      </c>
      <c r="B28" s="29">
        <v>25</v>
      </c>
      <c r="C28" s="28"/>
      <c r="D28" s="42"/>
      <c r="E28" s="42"/>
      <c r="F28" s="42"/>
      <c r="G28" s="42"/>
      <c r="H28" s="42"/>
      <c r="I28" s="42"/>
      <c r="J28" s="27"/>
      <c r="K28" s="27"/>
      <c r="S28" s="6"/>
      <c r="T28" s="4">
        <f>stableGSBR[[#This Row],[NH4-N 
(mg L-1)]]*1.288</f>
        <v>0</v>
      </c>
      <c r="U28" s="20">
        <f>stableGSBR[[#This Row],[NO2-N 
(mg L-1)]]*3.284</f>
        <v>0</v>
      </c>
      <c r="V28" s="6">
        <f>(stableGSBR[[#This Row],[NO3-N 
(mg L-1)]])*4.426</f>
        <v>0</v>
      </c>
      <c r="W28" s="6"/>
      <c r="Y28" s="6"/>
      <c r="Z28" s="4"/>
      <c r="AA28" s="26"/>
      <c r="AB28" s="48"/>
      <c r="AC28" s="48"/>
      <c r="AD28" s="20"/>
      <c r="AE28" s="19"/>
      <c r="AF28" s="129"/>
      <c r="AG28" s="19"/>
      <c r="AH28" s="4"/>
      <c r="AI28" s="20"/>
      <c r="AJ28" s="6"/>
      <c r="AK28" s="6"/>
      <c r="AL28" s="6"/>
      <c r="AM28" s="6"/>
      <c r="AN28" s="26"/>
      <c r="AO28" s="26"/>
      <c r="AP28" s="6"/>
      <c r="AQ28" s="21"/>
      <c r="AR28" s="6"/>
      <c r="AS28" s="6"/>
      <c r="AT28" s="6"/>
      <c r="AU28" s="4" t="s">
        <v>535</v>
      </c>
    </row>
    <row r="29" spans="1:47" x14ac:dyDescent="0.3">
      <c r="A29" s="128">
        <v>43352</v>
      </c>
      <c r="B29" s="29">
        <v>26</v>
      </c>
      <c r="C29" s="28"/>
      <c r="D29" s="42"/>
      <c r="E29" s="42"/>
      <c r="F29" s="42"/>
      <c r="G29" s="42"/>
      <c r="H29" s="42"/>
      <c r="I29" s="42"/>
      <c r="J29" s="27"/>
      <c r="K29" s="27"/>
      <c r="S29" s="6"/>
      <c r="T29" s="4">
        <f>stableGSBR[[#This Row],[NH4-N 
(mg L-1)]]*1.288</f>
        <v>0</v>
      </c>
      <c r="U29" s="20">
        <f>stableGSBR[[#This Row],[NO2-N 
(mg L-1)]]*3.284</f>
        <v>0</v>
      </c>
      <c r="V29" s="6">
        <f>(stableGSBR[[#This Row],[NO3-N 
(mg L-1)]])*4.426</f>
        <v>0</v>
      </c>
      <c r="W29" s="6"/>
      <c r="Y29" s="6"/>
      <c r="Z29" s="4"/>
      <c r="AA29" s="26"/>
      <c r="AB29" s="48"/>
      <c r="AC29" s="48"/>
      <c r="AD29" s="20"/>
      <c r="AE29" s="19"/>
      <c r="AF29" s="129"/>
      <c r="AG29" s="19"/>
      <c r="AH29" s="4"/>
      <c r="AI29" s="20"/>
      <c r="AJ29" s="6"/>
      <c r="AK29" s="6"/>
      <c r="AL29" s="6"/>
      <c r="AM29" s="6"/>
      <c r="AN29" s="26"/>
      <c r="AO29" s="26"/>
      <c r="AP29" s="6"/>
      <c r="AQ29" s="21"/>
      <c r="AR29" s="6"/>
      <c r="AS29" s="6"/>
      <c r="AT29" s="6"/>
      <c r="AU29" s="4" t="s">
        <v>535</v>
      </c>
    </row>
    <row r="30" spans="1:47" x14ac:dyDescent="0.3">
      <c r="A30" s="128">
        <v>43353</v>
      </c>
      <c r="B30" s="29">
        <v>27</v>
      </c>
      <c r="C30" s="28"/>
      <c r="D30" s="42"/>
      <c r="E30" s="42"/>
      <c r="F30" s="42"/>
      <c r="G30" s="42"/>
      <c r="H30" s="42"/>
      <c r="I30" s="42"/>
      <c r="J30" s="27"/>
      <c r="K30" s="27"/>
      <c r="S30" s="6"/>
      <c r="T30" s="4">
        <f>stableGSBR[[#This Row],[NH4-N 
(mg L-1)]]*1.288</f>
        <v>0</v>
      </c>
      <c r="U30" s="20">
        <f>stableGSBR[[#This Row],[NO2-N 
(mg L-1)]]*3.284</f>
        <v>0</v>
      </c>
      <c r="V30" s="6">
        <f>(stableGSBR[[#This Row],[NO3-N 
(mg L-1)]])*4.426</f>
        <v>0</v>
      </c>
      <c r="W30" s="6"/>
      <c r="Y30" s="6"/>
      <c r="Z30" s="4"/>
      <c r="AA30" s="26"/>
      <c r="AB30" s="48"/>
      <c r="AC30" s="48"/>
      <c r="AD30" s="20"/>
      <c r="AE30" s="19"/>
      <c r="AF30" s="129"/>
      <c r="AG30" s="19"/>
      <c r="AH30" s="4"/>
      <c r="AI30" s="20"/>
      <c r="AJ30" s="6"/>
      <c r="AK30" s="6"/>
      <c r="AL30" s="6"/>
      <c r="AM30" s="6"/>
      <c r="AN30" s="26"/>
      <c r="AO30" s="26"/>
      <c r="AP30" s="6"/>
      <c r="AQ30" s="21"/>
      <c r="AR30" s="6"/>
      <c r="AS30" s="6"/>
      <c r="AT30" s="6"/>
      <c r="AU30" s="4" t="s">
        <v>535</v>
      </c>
    </row>
    <row r="31" spans="1:47" x14ac:dyDescent="0.3">
      <c r="A31" s="128">
        <v>43354</v>
      </c>
      <c r="B31" s="29">
        <v>28</v>
      </c>
      <c r="C31" s="28">
        <f>Information!$R$54/stableGSBR[[#This Row],[HRT 
(h)]]*24</f>
        <v>7.1574532349899259E-2</v>
      </c>
      <c r="D31" s="42">
        <v>67.062960000000004</v>
      </c>
      <c r="E31" s="42">
        <v>30.359635624999999</v>
      </c>
      <c r="F31" s="42">
        <v>7.5189305624999996</v>
      </c>
      <c r="G31" s="42">
        <v>0.47050848750000002</v>
      </c>
      <c r="H31" s="42">
        <v>5.5910805625000002</v>
      </c>
      <c r="I31" s="42">
        <v>35.376293124999997</v>
      </c>
      <c r="J31" s="27"/>
      <c r="K31" s="27"/>
      <c r="L31" s="29">
        <v>2305</v>
      </c>
      <c r="M31" s="29">
        <f>stableGSBR[[#This Row],[COD 
(mg L-1)]]*Information!$AK$43</f>
        <v>1844</v>
      </c>
      <c r="N31" s="29">
        <v>772</v>
      </c>
      <c r="O31" s="29">
        <v>7.3</v>
      </c>
      <c r="P31" s="29">
        <v>104</v>
      </c>
      <c r="R31" s="29">
        <v>3.05</v>
      </c>
      <c r="S31" s="29">
        <v>555.20000000000005</v>
      </c>
      <c r="T31" s="4">
        <f>stableGSBR[[#This Row],[NH4-N 
(mg L-1)]]*1.288</f>
        <v>569.15431999999998</v>
      </c>
      <c r="U31" s="20">
        <f>stableGSBR[[#This Row],[NO2-N 
(mg L-1)]]*3.284</f>
        <v>0</v>
      </c>
      <c r="V31" s="6">
        <f>(stableGSBR[[#This Row],[NO3-N 
(mg L-1)]])*4.426</f>
        <v>0</v>
      </c>
      <c r="W31" s="29">
        <v>441.89</v>
      </c>
      <c r="Y31" s="6"/>
      <c r="Z31" s="4"/>
      <c r="AA31" s="26"/>
      <c r="AB31" s="48"/>
      <c r="AC31" s="48"/>
      <c r="AD31" s="20"/>
      <c r="AE31" s="19"/>
      <c r="AF31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719.91</v>
      </c>
      <c r="AG31" s="19">
        <f>IFERROR(IF(Influent[[#This Row],[COD (mg L-1)]]-MEDIA[[#This Row],[COD 
(mg L-1)]]&lt;0,0,Influent[[#This Row],[COD (mg L-1)]]-MEDIA[[#This Row],[COD 
(mg L-1)]]),0)</f>
        <v>2825</v>
      </c>
      <c r="AH31" s="4">
        <f>IF(IFERROR(Influent[[#This Row],[Alkalinity (mg CaCO3 L-1) ]]-stableGSBR[[#This Row],[Alkalinity 
(mg CaCO3 L-1) ]],0)&lt;0,0,IFERROR(Influent[[#This Row],[Alkalinity (mg CaCO3 L-1) ]]-stableGSBR[[#This Row],[Alkalinity 
(mg CaCO3 L-1) ]],0))</f>
        <v>3647</v>
      </c>
      <c r="AI31" s="20">
        <f>Influent[[#This Row],[COD (mg L-1)]]/stableGSBR[[#This Row],[HRT 
(h)]]*24/1000</f>
        <v>1.0109902694423269</v>
      </c>
      <c r="AJ31" s="6">
        <f>IFERROR(IF(((stableGSBR[[#This Row],[ΔC (mg L-1)]])/stableGSBR[[#This Row],[HRT 
(h)]]*24/1000) &lt;0,0, (stableGSBR[[#This Row],[ΔC (mg L-1)]])/stableGSBR[[#This Row],[HRT 
(h)]]*24/1000),0)</f>
        <v>1.0109902694423269</v>
      </c>
      <c r="AK31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0.25763610792007985</v>
      </c>
      <c r="AL31" s="6">
        <f>Influent[[#This Row],[TN (mg L-1)]]/stableGSBR[[#This Row],[HRT 
(h)]]*24/1000</f>
        <v>0.424122048892563</v>
      </c>
      <c r="AM31" s="6"/>
      <c r="AN31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0.61965054226200722</v>
      </c>
      <c r="AO31" s="26"/>
      <c r="AP31" s="6"/>
      <c r="AQ31" s="21"/>
      <c r="AR31" s="6">
        <f>stableGSBR[[#This Row],[NH4-N 
(mg L-1)]]-20</f>
        <v>421.89</v>
      </c>
      <c r="AS31" s="6">
        <f>stableGSBR[[#This Row],[Ammonia residual to reach target]]*2.9</f>
        <v>1223.481</v>
      </c>
      <c r="AT31" s="6">
        <f>stableGSBR[[#This Row],[Alkalinity 
(mg CaCO3 L-1) ]]-70-stableGSBR[[#This Row],[Alkalinity need]]</f>
        <v>-521.48099999999999</v>
      </c>
      <c r="AU31" s="4" t="s">
        <v>540</v>
      </c>
    </row>
    <row r="32" spans="1:47" x14ac:dyDescent="0.3">
      <c r="A32" s="128">
        <v>43358</v>
      </c>
      <c r="B32" s="29">
        <v>32</v>
      </c>
      <c r="C32" s="28">
        <f>Information!$R$54/stableGSBR[[#This Row],[HRT 
(h)]]*24</f>
        <v>6.9816303124934087E-2</v>
      </c>
      <c r="D32" s="42">
        <v>68.751850000000005</v>
      </c>
      <c r="E32" s="42">
        <v>29.057996875000001</v>
      </c>
      <c r="F32" s="42">
        <v>7.3731219374999997</v>
      </c>
      <c r="G32" s="42">
        <v>0.4255508375</v>
      </c>
      <c r="H32" s="42">
        <v>3.5193220625000001</v>
      </c>
      <c r="I32" s="42">
        <v>47.102486249999998</v>
      </c>
      <c r="J32" s="27"/>
      <c r="K32" s="27"/>
      <c r="L32" s="29">
        <v>2040</v>
      </c>
      <c r="M32" s="29">
        <f>stableGSBR[[#This Row],[COD 
(mg L-1)]]*Information!$AK$43</f>
        <v>1632</v>
      </c>
      <c r="N32" s="29">
        <v>724</v>
      </c>
      <c r="O32" s="29">
        <v>7.9</v>
      </c>
      <c r="P32" s="29">
        <v>1360</v>
      </c>
      <c r="R32" s="29">
        <v>1</v>
      </c>
      <c r="S32" s="29">
        <v>38.5</v>
      </c>
      <c r="T32" s="4">
        <f>stableGSBR[[#This Row],[NH4-N 
(mg L-1)]]*1.288</f>
        <v>597.1940800000001</v>
      </c>
      <c r="U32" s="20">
        <f>stableGSBR[[#This Row],[NO2-N 
(mg L-1)]]*3.284</f>
        <v>102.17180799999998</v>
      </c>
      <c r="V32" s="6">
        <f>(stableGSBR[[#This Row],[NO3-N 
(mg L-1)]])*4.426</f>
        <v>32.69928800000001</v>
      </c>
      <c r="W32" s="29">
        <v>463.66</v>
      </c>
      <c r="X32" s="29">
        <v>31.111999999999998</v>
      </c>
      <c r="Y32" s="6">
        <f>IF((stableGSBR[[#This Row],[TON 
(mg L-1)]]-stableGSBR[[#This Row],[NO2-N 
(mg L-1)]])&lt;0,0.2,(stableGSBR[[#This Row],[TON 
(mg L-1)]]-stableGSBR[[#This Row],[NO2-N 
(mg L-1)]]))</f>
        <v>7.3880000000000017</v>
      </c>
      <c r="Z32" s="4">
        <f>SUM(stableGSBR[[#This Row],[NO3-N 
(mg L-1)]],stableGSBR[[#This Row],[NO2-N 
(mg L-1)]],stableGSBR[[#This Row],[NH4-N 
(mg L-1)]])</f>
        <v>502.16</v>
      </c>
      <c r="AA32" s="26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1.0351108246700481E-2</v>
      </c>
      <c r="AB32" s="48">
        <f>IF(IFERROR(stableGSBR[[#This Row],[NO2-N 
(mg L-1)]]/stableGSBR[[#This Row],[NH4-N 
(mg L-1)]],0)&lt;0,0,IFERROR(stableGSBR[[#This Row],[NO2-N 
(mg L-1)]]/stableGSBR[[#This Row],[NH4-N 
(mg L-1)]],0))</f>
        <v>6.7100892895656294E-2</v>
      </c>
      <c r="AC32" s="48">
        <f>stableGSBR[[#This Row],[NO2-N 
(mg L-1)]]/(stableGSBR[[#This Row],[NO2-N 
(mg L-1)]]+stableGSBR[[#This Row],[NO3-N 
(mg L-1)]])</f>
        <v>0.8081038961038961</v>
      </c>
      <c r="AD32" s="20">
        <f>46/14*stableGSBR[[#This Row],[NO2-N 
(mg L-1)]]/(EXP(-2300/(stableGSBR[[#This Row],[Temp. 
(°C)]]+273))*10^(stableGSBR[[#This Row],[pHreactor]]))</f>
        <v>8.7769066237744532E-3</v>
      </c>
      <c r="AE32" s="19">
        <f>17/14*(stableGSBR[[#This Row],[NH4+ (mg L-1)]]*10^stableGSBR[[#This Row],[pHreactor]])/(EXP(6344/(273+stableGSBR[[#This Row],[Temp. 
(°C)]]))+10^stableGSBR[pHreactor])</f>
        <v>12.722220005871057</v>
      </c>
      <c r="AF32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675.24</v>
      </c>
      <c r="AG32" s="19">
        <f>IFERROR(IF(Influent[[#This Row],[COD (mg L-1)]]-MEDIA[[#This Row],[COD 
(mg L-1)]]&lt;0,0,Influent[[#This Row],[COD (mg L-1)]]-MEDIA[[#This Row],[COD 
(mg L-1)]]),0)</f>
        <v>890</v>
      </c>
      <c r="AH32" s="4">
        <f>IF(IFERROR(Influent[[#This Row],[Alkalinity (mg CaCO3 L-1) ]]-stableGSBR[[#This Row],[Alkalinity 
(mg CaCO3 L-1) ]],0)&lt;0,0,IFERROR(Influent[[#This Row],[Alkalinity (mg CaCO3 L-1) ]]-stableGSBR[[#This Row],[Alkalinity 
(mg CaCO3 L-1) ]],0))</f>
        <v>3573</v>
      </c>
      <c r="AI32" s="20"/>
      <c r="AJ32" s="6"/>
      <c r="AK32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0.24915344096195227</v>
      </c>
      <c r="AL32" s="6">
        <f>Influent[[#This Row],[TN (mg L-1)]]/stableGSBR[[#This Row],[HRT 
(h)]]*24/1000</f>
        <v>0.41107839279961195</v>
      </c>
      <c r="AM32" s="6">
        <f>stableGSBR[[#This Row],[NLR 
(kg N m-3 d-1)]]*stableGSBR[[#This Row],[NRE 
(%)]]</f>
        <v>0.23578361891352739</v>
      </c>
      <c r="AN32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0.60620010191948359</v>
      </c>
      <c r="AO32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0.57357336956521732</v>
      </c>
      <c r="AP32" s="6"/>
      <c r="AQ32" s="21"/>
      <c r="AR32" s="6">
        <f>stableGSBR[[#This Row],[NH4-N 
(mg L-1)]]-20</f>
        <v>443.66</v>
      </c>
      <c r="AS32" s="6">
        <f>stableGSBR[[#This Row],[Ammonia residual to reach target]]*2.9</f>
        <v>1286.614</v>
      </c>
      <c r="AT32" s="6">
        <f>stableGSBR[[#This Row],[Alkalinity 
(mg CaCO3 L-1) ]]-70-stableGSBR[[#This Row],[Alkalinity need]]</f>
        <v>-632.61400000000003</v>
      </c>
      <c r="AU32" s="4"/>
    </row>
    <row r="33" spans="1:47" x14ac:dyDescent="0.3">
      <c r="A33" s="128">
        <v>43359</v>
      </c>
      <c r="B33" s="29">
        <v>33</v>
      </c>
      <c r="C33" s="28">
        <f>Information!$R$54/stableGSBR[[#This Row],[HRT 
(h)]]*24</f>
        <v>5.491990218307756E-2</v>
      </c>
      <c r="D33" s="42">
        <v>87.400009999999995</v>
      </c>
      <c r="E33" s="42">
        <v>29.3640975</v>
      </c>
      <c r="F33" s="42">
        <v>8.2137414999999994</v>
      </c>
      <c r="G33" s="42">
        <v>0.32362288750000001</v>
      </c>
      <c r="H33" s="42">
        <v>5.2269068125000002</v>
      </c>
      <c r="I33" s="42">
        <v>-49.004021874999999</v>
      </c>
      <c r="J33" s="27"/>
      <c r="K33" s="27"/>
      <c r="L33" s="29">
        <v>1530</v>
      </c>
      <c r="M33" s="29">
        <f>stableGSBR[[#This Row],[COD 
(mg L-1)]]*Information!$AK$43</f>
        <v>1224</v>
      </c>
      <c r="N33" s="29">
        <v>612</v>
      </c>
      <c r="O33" s="29">
        <v>8.1</v>
      </c>
      <c r="P33" s="29">
        <v>526.70000000000005</v>
      </c>
      <c r="R33" s="29">
        <v>0.7</v>
      </c>
      <c r="S33" s="29">
        <v>46.1</v>
      </c>
      <c r="T33" s="4">
        <f>stableGSBR[[#This Row],[NH4-N 
(mg L-1)]]*1.288</f>
        <v>669.42511999999999</v>
      </c>
      <c r="U33" s="20">
        <f>stableGSBR[[#This Row],[NO2-N 
(mg L-1)]]*3.284</f>
        <v>119.20263199999999</v>
      </c>
      <c r="V33" s="6">
        <f>(stableGSBR[[#This Row],[NO3-N 
(mg L-1)]])*4.426</f>
        <v>43.383651999999998</v>
      </c>
      <c r="W33" s="29">
        <v>519.74</v>
      </c>
      <c r="X33" s="29">
        <v>36.298000000000002</v>
      </c>
      <c r="Y33" s="6">
        <f>IF((stableGSBR[[#This Row],[TON 
(mg L-1)]]-stableGSBR[[#This Row],[NO2-N 
(mg L-1)]])&lt;0,0.2,(stableGSBR[[#This Row],[TON 
(mg L-1)]]-stableGSBR[[#This Row],[NO2-N 
(mg L-1)]]))</f>
        <v>9.8019999999999996</v>
      </c>
      <c r="Z33" s="4">
        <f>SUM(stableGSBR[[#This Row],[NO3-N 
(mg L-1)]],stableGSBR[[#This Row],[NO2-N 
(mg L-1)]],stableGSBR[[#This Row],[NH4-N 
(mg L-1)]])</f>
        <v>565.84</v>
      </c>
      <c r="AA33" s="26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1.189620855381329E-2</v>
      </c>
      <c r="AB33" s="48">
        <f>IF(IFERROR(stableGSBR[[#This Row],[NO2-N 
(mg L-1)]]/stableGSBR[[#This Row],[NH4-N 
(mg L-1)]],0)&lt;0,0,IFERROR(stableGSBR[[#This Row],[NO2-N 
(mg L-1)]]/stableGSBR[[#This Row],[NH4-N 
(mg L-1)]],0))</f>
        <v>6.9838765536614458E-2</v>
      </c>
      <c r="AC33" s="48">
        <f>stableGSBR[[#This Row],[NO2-N 
(mg L-1)]]/(stableGSBR[[#This Row],[NO2-N 
(mg L-1)]]+stableGSBR[[#This Row],[NO3-N 
(mg L-1)]])</f>
        <v>0.78737527114967465</v>
      </c>
      <c r="AD33" s="20">
        <f>46/14*stableGSBR[[#This Row],[NO2-N 
(mg L-1)]]/(EXP(-2300/(stableGSBR[[#This Row],[Temp. 
(°C)]]+273))*10^(stableGSBR[[#This Row],[pHreactor]]))</f>
        <v>1.4666581847681687E-3</v>
      </c>
      <c r="AE33" s="19">
        <f>17/14*(stableGSBR[[#This Row],[NH4+ (mg L-1)]]*10^stableGSBR[[#This Row],[pHreactor]])/(EXP(6344/(273+stableGSBR[[#This Row],[Temp. 
(°C)]]))+10^stableGSBR[pHreactor])</f>
        <v>91.202386476404158</v>
      </c>
      <c r="AF33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777.86</v>
      </c>
      <c r="AG33" s="19">
        <f>IFERROR(IF(Influent[[#This Row],[COD (mg L-1)]]-MEDIA[[#This Row],[COD 
(mg L-1)]]&lt;0,0,Influent[[#This Row],[COD (mg L-1)]]-MEDIA[[#This Row],[COD 
(mg L-1)]]),0)</f>
        <v>0</v>
      </c>
      <c r="AH33" s="4">
        <f>IF(IFERROR(Influent[[#This Row],[Alkalinity (mg CaCO3 L-1) ]]-stableGSBR[[#This Row],[Alkalinity 
(mg CaCO3 L-1) ]],0)&lt;0,0,IFERROR(Influent[[#This Row],[Alkalinity (mg CaCO3 L-1) ]]-stableGSBR[[#This Row],[Alkalinity 
(mg CaCO3 L-1) ]],0))</f>
        <v>4212</v>
      </c>
      <c r="AI33" s="20"/>
      <c r="AJ33" s="6"/>
      <c r="AK33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0.22625901301384294</v>
      </c>
      <c r="AL33" s="6">
        <f>Influent[[#This Row],[TN (mg L-1)]]/stableGSBR[[#This Row],[HRT 
(h)]]*24/1000</f>
        <v>0.37073185689566862</v>
      </c>
      <c r="AM33" s="6">
        <f>stableGSBR[[#This Row],[NLR 
(kg N m-3 d-1)]]*stableGSBR[[#This Row],[NRE 
(%)]]</f>
        <v>0.21535246963930557</v>
      </c>
      <c r="AN33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0.61320235171541271</v>
      </c>
      <c r="AO33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0.58088471663202679</v>
      </c>
      <c r="AP33" s="6"/>
      <c r="AQ33" s="21"/>
      <c r="AR33" s="6">
        <f>stableGSBR[[#This Row],[NH4-N 
(mg L-1)]]-20</f>
        <v>499.74</v>
      </c>
      <c r="AS33" s="6">
        <f>stableGSBR[[#This Row],[Ammonia residual to reach target]]*2.9</f>
        <v>1449.2460000000001</v>
      </c>
      <c r="AT33" s="6">
        <f>stableGSBR[[#This Row],[Alkalinity 
(mg CaCO3 L-1) ]]-70-stableGSBR[[#This Row],[Alkalinity need]]</f>
        <v>-907.24600000000009</v>
      </c>
      <c r="AU33" s="4"/>
    </row>
    <row r="34" spans="1:47" x14ac:dyDescent="0.3">
      <c r="A34" s="128">
        <v>43360</v>
      </c>
      <c r="B34" s="29">
        <v>34</v>
      </c>
      <c r="C34" s="28">
        <f>Information!$R$54/stableGSBR[[#This Row],[HRT 
(h)]]*24</f>
        <v>4.6307194208513577E-2</v>
      </c>
      <c r="D34" s="42">
        <v>103.65560000000001</v>
      </c>
      <c r="E34" s="42">
        <v>30.756553125</v>
      </c>
      <c r="F34" s="42">
        <v>8.2580753125000008</v>
      </c>
      <c r="G34" s="42">
        <v>0.33663135625000001</v>
      </c>
      <c r="H34" s="42">
        <v>5.3720340625</v>
      </c>
      <c r="I34" s="42">
        <v>-57.757211875000003</v>
      </c>
      <c r="J34" s="27"/>
      <c r="K34" s="27"/>
      <c r="L34" s="29">
        <v>1575</v>
      </c>
      <c r="M34" s="29">
        <f>stableGSBR[[#This Row],[COD 
(mg L-1)]]*Information!$AK$43</f>
        <v>1260</v>
      </c>
      <c r="N34" s="29">
        <v>618</v>
      </c>
      <c r="O34" s="29">
        <v>7.9</v>
      </c>
      <c r="P34" s="29">
        <v>265</v>
      </c>
      <c r="Q34" s="29">
        <v>40</v>
      </c>
      <c r="R34" s="29">
        <v>1.1499999999999999</v>
      </c>
      <c r="S34" s="29">
        <v>103.3</v>
      </c>
      <c r="T34" s="4">
        <f>stableGSBR[[#This Row],[NH4-N 
(mg L-1)]]*1.288</f>
        <v>288.33168000000001</v>
      </c>
      <c r="U34" s="20">
        <f>stableGSBR[[#This Row],[NO2-N 
(mg L-1)]]*3.284</f>
        <v>269.76746399999996</v>
      </c>
      <c r="V34" s="6">
        <f>(stableGSBR[[#This Row],[NO3-N 
(mg L-1)]])*4.426</f>
        <v>93.627603999999991</v>
      </c>
      <c r="W34" s="29">
        <v>223.86</v>
      </c>
      <c r="X34" s="29">
        <v>82.146000000000001</v>
      </c>
      <c r="Y34" s="6">
        <f>IF((stableGSBR[[#This Row],[TON 
(mg L-1)]]-stableGSBR[[#This Row],[NO2-N 
(mg L-1)]])&lt;0,0.2,(stableGSBR[[#This Row],[TON 
(mg L-1)]]-stableGSBR[[#This Row],[NO2-N 
(mg L-1)]]))</f>
        <v>21.153999999999996</v>
      </c>
      <c r="Z34" s="4">
        <f>SUM(stableGSBR[[#This Row],[NO3-N 
(mg L-1)]],stableGSBR[[#This Row],[NO2-N 
(mg L-1)]],stableGSBR[[#This Row],[NH4-N 
(mg L-1)]])</f>
        <v>327.16000000000003</v>
      </c>
      <c r="AA34" s="26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1.7146238267382107E-2</v>
      </c>
      <c r="AB34" s="48">
        <f>IF(IFERROR(stableGSBR[[#This Row],[NO2-N 
(mg L-1)]]/stableGSBR[[#This Row],[NH4-N 
(mg L-1)]],0)&lt;0,0,IFERROR(stableGSBR[[#This Row],[NO2-N 
(mg L-1)]]/stableGSBR[[#This Row],[NH4-N 
(mg L-1)]],0))</f>
        <v>0.36695255963548645</v>
      </c>
      <c r="AC34" s="48">
        <f>stableGSBR[[#This Row],[NO2-N 
(mg L-1)]]/(stableGSBR[[#This Row],[NO2-N 
(mg L-1)]]+stableGSBR[[#This Row],[NO3-N 
(mg L-1)]])</f>
        <v>0.79521781219748311</v>
      </c>
      <c r="AD34" s="20">
        <f>46/14*stableGSBR[[#This Row],[NO2-N 
(mg L-1)]]/(EXP(-2300/(stableGSBR[[#This Row],[Temp. 
(°C)]]+273))*10^(stableGSBR[[#This Row],[pHreactor]]))</f>
        <v>2.8943758488731361E-3</v>
      </c>
      <c r="AE34" s="19">
        <f>17/14*(stableGSBR[[#This Row],[NH4+ (mg L-1)]]*10^stableGSBR[[#This Row],[pHreactor]])/(EXP(6344/(273+stableGSBR[[#This Row],[Temp. 
(°C)]]))+10^stableGSBR[pHreactor])</f>
        <v>46.74611752400623</v>
      </c>
      <c r="AF34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1130.4399999999998</v>
      </c>
      <c r="AG34" s="19">
        <f>IFERROR(IF(Influent[[#This Row],[COD (mg L-1)]]-MEDIA[[#This Row],[COD 
(mg L-1)]]&lt;0,0,Influent[[#This Row],[COD (mg L-1)]]-MEDIA[[#This Row],[COD 
(mg L-1)]]),0)</f>
        <v>0</v>
      </c>
      <c r="AH34" s="4">
        <f>IF(IFERROR(Influent[[#This Row],[Alkalinity (mg CaCO3 L-1) ]]-stableGSBR[[#This Row],[Alkalinity 
(mg CaCO3 L-1) ]],0)&lt;0,0,IFERROR(Influent[[#This Row],[Alkalinity (mg CaCO3 L-1) ]]-stableGSBR[[#This Row],[Alkalinity 
(mg CaCO3 L-1) ]],0))</f>
        <v>4432</v>
      </c>
      <c r="AI34" s="20"/>
      <c r="AJ34" s="6"/>
      <c r="AK34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0.28565518891405767</v>
      </c>
      <c r="AL34" s="6">
        <f>Influent[[#This Row],[TN (mg L-1)]]/stableGSBR[[#This Row],[HRT 
(h)]]*24/1000</f>
        <v>0.33753313858585543</v>
      </c>
      <c r="AM34" s="6">
        <f>stableGSBR[[#This Row],[NLR 
(kg N m-3 d-1)]]*stableGSBR[[#This Row],[NRE 
(%)]]</f>
        <v>0.26178383029956892</v>
      </c>
      <c r="AN34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0.84641877058177817</v>
      </c>
      <c r="AO34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0.77557964055425976</v>
      </c>
      <c r="AP34" s="6"/>
      <c r="AQ34" s="21"/>
      <c r="AR34" s="6">
        <f>stableGSBR[[#This Row],[NH4-N 
(mg L-1)]]-20</f>
        <v>203.86</v>
      </c>
      <c r="AS34" s="6">
        <f>stableGSBR[[#This Row],[Ammonia residual to reach target]]*2.9</f>
        <v>591.19400000000007</v>
      </c>
      <c r="AT34" s="6">
        <f>stableGSBR[[#This Row],[Alkalinity 
(mg CaCO3 L-1) ]]-70-stableGSBR[[#This Row],[Alkalinity need]]</f>
        <v>-43.194000000000074</v>
      </c>
      <c r="AU34" s="4" t="s">
        <v>542</v>
      </c>
    </row>
    <row r="35" spans="1:47" x14ac:dyDescent="0.3">
      <c r="A35" s="128">
        <v>43361</v>
      </c>
      <c r="B35" s="29">
        <v>35</v>
      </c>
      <c r="C35" s="28">
        <f>Information!$R$54/stableGSBR[[#This Row],[HRT 
(h)]]*24</f>
        <v>4.7867025403429277E-2</v>
      </c>
      <c r="D35" s="42">
        <v>100.2778</v>
      </c>
      <c r="E35" s="42">
        <v>28.562416249999998</v>
      </c>
      <c r="F35" s="42">
        <v>8.319079125</v>
      </c>
      <c r="G35" s="42">
        <v>0.34082628124999997</v>
      </c>
      <c r="H35" s="42">
        <v>5.6297669375000003</v>
      </c>
      <c r="I35" s="42">
        <v>-67.150284374999998</v>
      </c>
      <c r="J35" s="27">
        <v>2570</v>
      </c>
      <c r="K35" s="27">
        <v>2450</v>
      </c>
      <c r="L35" s="29">
        <v>2030</v>
      </c>
      <c r="M35" s="29">
        <f>stableGSBR[[#This Row],[COD 
(mg L-1)]]*Information!$AK$43</f>
        <v>1624</v>
      </c>
      <c r="N35" s="29">
        <v>653</v>
      </c>
      <c r="O35" s="29">
        <v>7.4</v>
      </c>
      <c r="P35" s="29">
        <v>70</v>
      </c>
      <c r="Q35" s="29">
        <v>20</v>
      </c>
      <c r="R35" s="29">
        <v>4.2</v>
      </c>
      <c r="S35" s="29">
        <v>406.8</v>
      </c>
      <c r="T35" s="4">
        <f>stableGSBR[[#This Row],[NH4-N 
(mg L-1)]]*1.288</f>
        <v>220.32528000000002</v>
      </c>
      <c r="U35" s="20">
        <f>stableGSBR[[#This Row],[NO2-N 
(mg L-1)]]*3.284</f>
        <v>0</v>
      </c>
      <c r="V35" s="6">
        <f>(stableGSBR[[#This Row],[NO3-N 
(mg L-1)]])*4.426</f>
        <v>0</v>
      </c>
      <c r="W35" s="29">
        <v>171.06</v>
      </c>
      <c r="Y35" s="6"/>
      <c r="Z35" s="4"/>
      <c r="AA35" s="26"/>
      <c r="AB35" s="48"/>
      <c r="AC35" s="48"/>
      <c r="AD35" s="20"/>
      <c r="AE35" s="19"/>
      <c r="AF35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1326.64</v>
      </c>
      <c r="AG35" s="19">
        <f>IFERROR(IF(Influent[[#This Row],[COD (mg L-1)]]-MEDIA[[#This Row],[COD 
(mg L-1)]]&lt;0,0,Influent[[#This Row],[COD (mg L-1)]]-MEDIA[[#This Row],[COD 
(mg L-1)]]),0)</f>
        <v>0</v>
      </c>
      <c r="AH35" s="4">
        <f>IF(IFERROR(Influent[[#This Row],[Alkalinity (mg CaCO3 L-1) ]]-stableGSBR[[#This Row],[Alkalinity 
(mg CaCO3 L-1) ]],0)&lt;0,0,IFERROR(Influent[[#This Row],[Alkalinity (mg CaCO3 L-1) ]]-stableGSBR[[#This Row],[Alkalinity 
(mg CaCO3 L-1) ]],0))</f>
        <v>4083</v>
      </c>
      <c r="AI35" s="20"/>
      <c r="AJ35" s="6"/>
      <c r="AK35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0.31751155290602706</v>
      </c>
      <c r="AL35" s="6">
        <f>Influent[[#This Row],[TN (mg L-1)]]/stableGSBR[[#This Row],[HRT 
(h)]]*24/1000</f>
        <v>0.35850008675898359</v>
      </c>
      <c r="AM35" s="6"/>
      <c r="AN35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0.88578487013420582</v>
      </c>
      <c r="AO35" s="26"/>
      <c r="AP35" s="6"/>
      <c r="AQ35" s="21"/>
      <c r="AR35" s="6">
        <f>stableGSBR[[#This Row],[NH4-N 
(mg L-1)]]-20</f>
        <v>151.06</v>
      </c>
      <c r="AS35" s="6">
        <f>stableGSBR[[#This Row],[Ammonia residual to reach target]]*2.9</f>
        <v>438.07400000000001</v>
      </c>
      <c r="AT35" s="6">
        <f>stableGSBR[[#This Row],[Alkalinity 
(mg CaCO3 L-1) ]]-70-stableGSBR[[#This Row],[Alkalinity need]]</f>
        <v>144.92599999999999</v>
      </c>
      <c r="AU35" s="4"/>
    </row>
    <row r="36" spans="1:47" x14ac:dyDescent="0.3">
      <c r="A36" s="128">
        <v>43362</v>
      </c>
      <c r="B36" s="29">
        <v>36</v>
      </c>
      <c r="C36" s="28">
        <f>Information!$R$54/stableGSBR[[#This Row],[HRT 
(h)]]*24</f>
        <v>4.605708199599879E-2</v>
      </c>
      <c r="D36" s="42">
        <v>104.21850000000001</v>
      </c>
      <c r="E36" s="42">
        <v>31.664441875000001</v>
      </c>
      <c r="F36" s="42">
        <v>8.3036820625000001</v>
      </c>
      <c r="G36" s="42">
        <v>0.33063559375000001</v>
      </c>
      <c r="H36" s="42">
        <v>5.8701906875000001</v>
      </c>
      <c r="I36" s="42">
        <v>-68.046331249999994</v>
      </c>
      <c r="J36" s="27"/>
      <c r="K36" s="27"/>
      <c r="L36" s="29">
        <v>2095</v>
      </c>
      <c r="M36" s="29">
        <f>stableGSBR[[#This Row],[COD 
(mg L-1)]]*Information!$AK$43</f>
        <v>1676</v>
      </c>
      <c r="N36" s="29">
        <v>640</v>
      </c>
      <c r="O36" s="29">
        <v>7.5</v>
      </c>
      <c r="P36" s="29">
        <v>108</v>
      </c>
      <c r="Q36" s="29">
        <v>42</v>
      </c>
      <c r="R36" s="29">
        <v>4.8899999999999997</v>
      </c>
      <c r="S36" s="29">
        <v>431.6</v>
      </c>
      <c r="T36" s="4">
        <f>stableGSBR[[#This Row],[NH4-N 
(mg L-1)]]*1.288</f>
        <v>1000.4540000000001</v>
      </c>
      <c r="U36" s="20">
        <f>stableGSBR[[#This Row],[NO2-N 
(mg L-1)]]*3.284</f>
        <v>0</v>
      </c>
      <c r="V36" s="6">
        <f>(stableGSBR[[#This Row],[NO3-N 
(mg L-1)]])*4.426</f>
        <v>0</v>
      </c>
      <c r="W36" s="29">
        <v>776.75</v>
      </c>
      <c r="Y36" s="6"/>
      <c r="Z36" s="4"/>
      <c r="AA36" s="26"/>
      <c r="AB36" s="48"/>
      <c r="AC36" s="48"/>
      <c r="AD36" s="20"/>
      <c r="AE36" s="19"/>
      <c r="AF36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690.34999999999991</v>
      </c>
      <c r="AG36" s="19">
        <f>IFERROR(IF(Influent[[#This Row],[COD (mg L-1)]]-MEDIA[[#This Row],[COD 
(mg L-1)]]&lt;0,0,Influent[[#This Row],[COD (mg L-1)]]-MEDIA[[#This Row],[COD 
(mg L-1)]]),0)</f>
        <v>2800</v>
      </c>
      <c r="AH36" s="4">
        <f>IF(IFERROR(Influent[[#This Row],[Alkalinity (mg CaCO3 L-1) ]]-stableGSBR[[#This Row],[Alkalinity 
(mg CaCO3 L-1) ]],0)&lt;0,0,IFERROR(Influent[[#This Row],[Alkalinity (mg CaCO3 L-1) ]]-stableGSBR[[#This Row],[Alkalinity 
(mg CaCO3 L-1) ]],0))</f>
        <v>4193</v>
      </c>
      <c r="AI36" s="20">
        <f>Influent[[#This Row],[COD (mg L-1)]]/stableGSBR[[#This Row],[HRT 
(h)]]*24/1000</f>
        <v>0.64479914794398308</v>
      </c>
      <c r="AJ36" s="6">
        <f>IFERROR(IF(((stableGSBR[[#This Row],[ΔC (mg L-1)]])/stableGSBR[[#This Row],[HRT 
(h)]]*24/1000) &lt;0,0, (stableGSBR[[#This Row],[ΔC (mg L-1)]])/stableGSBR[[#This Row],[HRT 
(h)]]*24/1000),0)</f>
        <v>0.64479914794398308</v>
      </c>
      <c r="AK36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0.15897753277968876</v>
      </c>
      <c r="AL36" s="6">
        <f>Influent[[#This Row],[TN (mg L-1)]]/stableGSBR[[#This Row],[HRT 
(h)]]*24/1000</f>
        <v>0.33789778206364507</v>
      </c>
      <c r="AM36" s="6"/>
      <c r="AN36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0.47055415445436571</v>
      </c>
      <c r="AO36" s="26"/>
      <c r="AP36" s="6"/>
      <c r="AQ36" s="21"/>
      <c r="AR36" s="6">
        <f>stableGSBR[[#This Row],[NH4-N 
(mg L-1)]]-20</f>
        <v>756.75</v>
      </c>
      <c r="AS36" s="6">
        <f>stableGSBR[[#This Row],[Ammonia residual to reach target]]*2.9</f>
        <v>2194.5749999999998</v>
      </c>
      <c r="AT36" s="6">
        <f>stableGSBR[[#This Row],[Alkalinity 
(mg CaCO3 L-1) ]]-70-stableGSBR[[#This Row],[Alkalinity need]]</f>
        <v>-1624.5749999999998</v>
      </c>
      <c r="AU36" s="4"/>
    </row>
    <row r="37" spans="1:47" x14ac:dyDescent="0.3">
      <c r="A37" s="128">
        <v>43363</v>
      </c>
      <c r="B37" s="29">
        <v>37</v>
      </c>
      <c r="C37" s="28">
        <f>Information!$R$54/stableGSBR[[#This Row],[HRT 
(h)]]*24</f>
        <v>4.605708199599879E-2</v>
      </c>
      <c r="D37" s="42">
        <v>104.21850000000001</v>
      </c>
      <c r="E37" s="42">
        <v>29.244463124999999</v>
      </c>
      <c r="F37" s="42">
        <v>7.4741088749999998</v>
      </c>
      <c r="G37" s="42">
        <v>0.39512711875000001</v>
      </c>
      <c r="H37" s="42">
        <v>4.8608686875</v>
      </c>
      <c r="I37" s="42">
        <v>58.670299374999999</v>
      </c>
      <c r="J37" s="27"/>
      <c r="K37" s="27"/>
      <c r="L37" s="29">
        <v>2145</v>
      </c>
      <c r="M37" s="29">
        <f>stableGSBR[[#This Row],[COD 
(mg L-1)]]*Information!$AK$43</f>
        <v>1716</v>
      </c>
      <c r="N37" s="29">
        <v>662</v>
      </c>
      <c r="O37" s="29">
        <v>7.5</v>
      </c>
      <c r="P37" s="29">
        <v>172</v>
      </c>
      <c r="R37" s="29">
        <v>4.72</v>
      </c>
      <c r="S37" s="29">
        <v>431.9</v>
      </c>
      <c r="T37" s="4">
        <f>stableGSBR[[#This Row],[NH4-N 
(mg L-1)]]*1.288</f>
        <v>207.92184</v>
      </c>
      <c r="U37" s="20">
        <f>stableGSBR[[#This Row],[NO2-N 
(mg L-1)]]*3.284</f>
        <v>0</v>
      </c>
      <c r="V37" s="6">
        <f>(stableGSBR[[#This Row],[NO3-N 
(mg L-1)]])*4.426</f>
        <v>0</v>
      </c>
      <c r="W37" s="29">
        <v>161.43</v>
      </c>
      <c r="Y37" s="6"/>
      <c r="Z37" s="4"/>
      <c r="AA37" s="26"/>
      <c r="AB37" s="48"/>
      <c r="AC37" s="48"/>
      <c r="AD37" s="20"/>
      <c r="AE37" s="19"/>
      <c r="AF37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1339.97</v>
      </c>
      <c r="AG37" s="19">
        <f>IFERROR(IF(Influent[[#This Row],[COD (mg L-1)]]-MEDIA[[#This Row],[COD 
(mg L-1)]]&lt;0,0,Influent[[#This Row],[COD (mg L-1)]]-MEDIA[[#This Row],[COD 
(mg L-1)]]),0)</f>
        <v>0</v>
      </c>
      <c r="AH37" s="4">
        <f>IF(IFERROR(Influent[[#This Row],[Alkalinity (mg CaCO3 L-1) ]]-stableGSBR[[#This Row],[Alkalinity 
(mg CaCO3 L-1) ]],0)&lt;0,0,IFERROR(Influent[[#This Row],[Alkalinity (mg CaCO3 L-1) ]]-stableGSBR[[#This Row],[Alkalinity 
(mg CaCO3 L-1) ]],0))</f>
        <v>4464</v>
      </c>
      <c r="AI37" s="20"/>
      <c r="AJ37" s="6"/>
      <c r="AK37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0.30857554081089245</v>
      </c>
      <c r="AL37" s="6">
        <f>Influent[[#This Row],[TN (mg L-1)]]/stableGSBR[[#This Row],[HRT 
(h)]]*24/1000</f>
        <v>0.34579657162595889</v>
      </c>
      <c r="AM37" s="6"/>
      <c r="AN37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0.89248035167177298</v>
      </c>
      <c r="AO37" s="26"/>
      <c r="AP37" s="6"/>
      <c r="AQ37" s="21"/>
      <c r="AR37" s="6">
        <f>stableGSBR[[#This Row],[NH4-N 
(mg L-1)]]-20</f>
        <v>141.43</v>
      </c>
      <c r="AS37" s="6">
        <f>stableGSBR[[#This Row],[Ammonia residual to reach target]]*2.9</f>
        <v>410.14699999999999</v>
      </c>
      <c r="AT37" s="6">
        <f>stableGSBR[[#This Row],[Alkalinity 
(mg CaCO3 L-1) ]]-70-stableGSBR[[#This Row],[Alkalinity need]]</f>
        <v>181.85300000000001</v>
      </c>
      <c r="AU37" s="4"/>
    </row>
    <row r="38" spans="1:47" x14ac:dyDescent="0.3">
      <c r="A38" s="128">
        <v>43364</v>
      </c>
      <c r="B38" s="29">
        <v>38</v>
      </c>
      <c r="C38" s="28">
        <f>Information!$R$54/stableGSBR[[#This Row],[HRT 
(h)]]*24</f>
        <v>4.2053360457750835E-2</v>
      </c>
      <c r="D38" s="42">
        <v>114.1407</v>
      </c>
      <c r="E38" s="42">
        <v>27.8776525</v>
      </c>
      <c r="F38" s="42">
        <v>7.6773770624999997</v>
      </c>
      <c r="G38" s="42">
        <v>0.39239406874999999</v>
      </c>
      <c r="H38" s="42">
        <v>5.1887499999999998</v>
      </c>
      <c r="I38" s="42">
        <v>39.564224375000002</v>
      </c>
      <c r="J38" s="41">
        <f>stableGSBR[[#This Row],[MLVSS 
(mg L-1)]]/0.64</f>
        <v>7312.5</v>
      </c>
      <c r="K38" s="27">
        <f>2340*2</f>
        <v>4680</v>
      </c>
      <c r="L38" s="29">
        <v>2070</v>
      </c>
      <c r="M38" s="29">
        <f>stableGSBR[[#This Row],[COD 
(mg L-1)]]*Information!$AK$43</f>
        <v>1656</v>
      </c>
      <c r="N38" s="29">
        <v>787</v>
      </c>
      <c r="O38" s="29">
        <v>7.7</v>
      </c>
      <c r="P38" s="29">
        <v>94</v>
      </c>
      <c r="R38" s="29">
        <v>4.59</v>
      </c>
      <c r="S38" s="29">
        <v>483.9</v>
      </c>
      <c r="T38" s="4">
        <f>stableGSBR[[#This Row],[NH4-N 
(mg L-1)]]*1.288</f>
        <v>519.69511999999997</v>
      </c>
      <c r="U38" s="20">
        <f>stableGSBR[[#This Row],[NO2-N 
(mg L-1)]]*3.284</f>
        <v>0</v>
      </c>
      <c r="V38" s="6">
        <f>(stableGSBR[[#This Row],[NO3-N 
(mg L-1)]])*4.426</f>
        <v>0</v>
      </c>
      <c r="W38" s="29">
        <v>403.49</v>
      </c>
      <c r="Y38" s="6"/>
      <c r="Z38" s="4"/>
      <c r="AA38" s="23"/>
      <c r="AB38" s="48"/>
      <c r="AC38" s="48"/>
      <c r="AD38" s="20"/>
      <c r="AE38" s="19"/>
      <c r="AF38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867.6099999999999</v>
      </c>
      <c r="AG38" s="19">
        <f>IFERROR(IF(Influent[[#This Row],[COD (mg L-1)]]-MEDIA[[#This Row],[COD 
(mg L-1)]]&lt;0,0,Influent[[#This Row],[COD (mg L-1)]]-MEDIA[[#This Row],[COD 
(mg L-1)]]),0)</f>
        <v>825</v>
      </c>
      <c r="AH38" s="4">
        <f>IF(IFERROR(Influent[[#This Row],[Alkalinity (mg CaCO3 L-1) ]]-stableGSBR[[#This Row],[Alkalinity 
(mg CaCO3 L-1) ]],0)&lt;0,0,IFERROR(Influent[[#This Row],[Alkalinity (mg CaCO3 L-1) ]]-stableGSBR[[#This Row],[Alkalinity 
(mg CaCO3 L-1) ]],0))</f>
        <v>3864</v>
      </c>
      <c r="AI38" s="20">
        <f>Influent[[#This Row],[COD (mg L-1)]]/stableGSBR[[#This Row],[HRT 
(h)]]*24/1000</f>
        <v>0.58769571239706786</v>
      </c>
      <c r="AJ38" s="6">
        <f>IFERROR(IF(((stableGSBR[[#This Row],[ΔC (mg L-1)]])/stableGSBR[[#This Row],[HRT 
(h)]]*24/1000) &lt;0,0, (stableGSBR[[#This Row],[ΔC (mg L-1)]])/stableGSBR[[#This Row],[HRT 
(h)]]*24/1000),0)</f>
        <v>0.17347011188822217</v>
      </c>
      <c r="AK38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0.18242958033374596</v>
      </c>
      <c r="AL38" s="6">
        <f>Influent[[#This Row],[TN (mg L-1)]]/stableGSBR[[#This Row],[HRT 
(h)]]*24/1000</f>
        <v>0.26867765836375629</v>
      </c>
      <c r="AM38" s="6"/>
      <c r="AN38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0.68256628117378648</v>
      </c>
      <c r="AO38" s="26"/>
      <c r="AP38" s="6">
        <v>3.6999999999999998E-2</v>
      </c>
      <c r="AQ38" s="21">
        <f>stableGSBR[[#This Row],[SAA 
(g N  g VSS-1 d-1)]]/MAX(stableGSBR[SAA 
(g N  g VSS-1 d-1)])</f>
        <v>0.4157303370786517</v>
      </c>
      <c r="AR38" s="6">
        <f>stableGSBR[[#This Row],[NH4-N 
(mg L-1)]]-20</f>
        <v>383.49</v>
      </c>
      <c r="AS38" s="6">
        <f>stableGSBR[[#This Row],[Ammonia residual to reach target]]*2.9</f>
        <v>1112.1210000000001</v>
      </c>
      <c r="AT38" s="6">
        <f>stableGSBR[[#This Row],[Alkalinity 
(mg CaCO3 L-1) ]]-70-stableGSBR[[#This Row],[Alkalinity need]]</f>
        <v>-395.12100000000009</v>
      </c>
      <c r="AU38" s="4"/>
    </row>
    <row r="39" spans="1:47" x14ac:dyDescent="0.3">
      <c r="A39" s="128">
        <v>43365</v>
      </c>
      <c r="B39" s="29">
        <v>39</v>
      </c>
      <c r="C39" s="28">
        <f>Information!$R$54/stableGSBR[[#This Row],[HRT 
(h)]]*24</f>
        <v>4.3724687505123989E-2</v>
      </c>
      <c r="D39" s="42">
        <v>109.7778</v>
      </c>
      <c r="E39" s="42">
        <v>28.459829375000002</v>
      </c>
      <c r="F39" s="42">
        <v>7.9348155624999999</v>
      </c>
      <c r="G39" s="42">
        <v>0.39877118125</v>
      </c>
      <c r="H39" s="42">
        <v>5.6834110625000003</v>
      </c>
      <c r="I39" s="42">
        <v>21.173488750000001</v>
      </c>
      <c r="J39" s="27"/>
      <c r="K39" s="27"/>
      <c r="L39" s="29">
        <v>2285</v>
      </c>
      <c r="M39" s="29">
        <f>stableGSBR[[#This Row],[COD 
(mg L-1)]]*Information!$AK$43</f>
        <v>1828</v>
      </c>
      <c r="N39" s="29">
        <v>840</v>
      </c>
      <c r="O39" s="29">
        <v>7.5</v>
      </c>
      <c r="P39" s="29">
        <v>126</v>
      </c>
      <c r="R39" s="29">
        <v>5.81</v>
      </c>
      <c r="S39" s="29">
        <v>577.9</v>
      </c>
      <c r="T39" s="4">
        <f>stableGSBR[[#This Row],[NH4-N 
(mg L-1)]]*1.288</f>
        <v>679.63896</v>
      </c>
      <c r="U39" s="20">
        <f>stableGSBR[[#This Row],[NO2-N 
(mg L-1)]]*3.284</f>
        <v>0</v>
      </c>
      <c r="V39" s="6">
        <f>(stableGSBR[[#This Row],[NO3-N 
(mg L-1)]])*4.426</f>
        <v>0</v>
      </c>
      <c r="W39" s="29">
        <v>527.66999999999996</v>
      </c>
      <c r="Y39" s="6"/>
      <c r="Z39" s="4"/>
      <c r="AA39" s="23"/>
      <c r="AB39" s="48"/>
      <c r="AC39" s="48"/>
      <c r="AD39" s="20"/>
      <c r="AE39" s="19"/>
      <c r="AF39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719.83</v>
      </c>
      <c r="AG39" s="19">
        <f>IFERROR(IF(Influent[[#This Row],[COD (mg L-1)]]-MEDIA[[#This Row],[COD 
(mg L-1)]]&lt;0,0,Influent[[#This Row],[COD (mg L-1)]]-MEDIA[[#This Row],[COD 
(mg L-1)]]),0)</f>
        <v>1244</v>
      </c>
      <c r="AH39" s="4">
        <f>IF(IFERROR(Influent[[#This Row],[Alkalinity (mg CaCO3 L-1) ]]-stableGSBR[[#This Row],[Alkalinity 
(mg CaCO3 L-1) ]],0)&lt;0,0,IFERROR(Influent[[#This Row],[Alkalinity (mg CaCO3 L-1) ]]-stableGSBR[[#This Row],[Alkalinity 
(mg CaCO3 L-1) ]],0))</f>
        <v>3680</v>
      </c>
      <c r="AI39" s="20">
        <f>Influent[[#This Row],[COD (mg L-1)]]/stableGSBR[[#This Row],[HRT 
(h)]]*24/1000</f>
        <v>0.61214562507173587</v>
      </c>
      <c r="AJ39" s="6">
        <f>IFERROR(IF(((stableGSBR[[#This Row],[ΔC (mg L-1)]])/stableGSBR[[#This Row],[HRT 
(h)]]*24/1000) &lt;0,0, (stableGSBR[[#This Row],[ΔC (mg L-1)]])/stableGSBR[[#This Row],[HRT 
(h)]]*24/1000),0)</f>
        <v>0.27196755628187125</v>
      </c>
      <c r="AK39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0.157371709034067</v>
      </c>
      <c r="AL39" s="6">
        <f>Influent[[#This Row],[TN (mg L-1)]]/stableGSBR[[#This Row],[HRT 
(h)]]*24/1000</f>
        <v>0.27277646300071601</v>
      </c>
      <c r="AM39" s="6"/>
      <c r="AN39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0.5770180360721443</v>
      </c>
      <c r="AO39" s="26"/>
      <c r="AP39" s="6"/>
      <c r="AQ39" s="21"/>
      <c r="AR39" s="6">
        <f>stableGSBR[[#This Row],[NH4-N 
(mg L-1)]]-20</f>
        <v>507.66999999999996</v>
      </c>
      <c r="AS39" s="6">
        <f>stableGSBR[[#This Row],[Ammonia residual to reach target]]*2.9</f>
        <v>1472.2429999999999</v>
      </c>
      <c r="AT39" s="6">
        <f>stableGSBR[[#This Row],[Alkalinity 
(mg CaCO3 L-1) ]]-70-stableGSBR[[#This Row],[Alkalinity need]]</f>
        <v>-702.24299999999994</v>
      </c>
      <c r="AU39" s="4"/>
    </row>
    <row r="40" spans="1:47" x14ac:dyDescent="0.3">
      <c r="A40" s="128">
        <v>43366</v>
      </c>
      <c r="B40" s="29">
        <v>40</v>
      </c>
      <c r="C40" s="28">
        <f>Information!$R$54/stableGSBR[[#This Row],[HRT 
(h)]]*24</f>
        <v>3.995930810458017E-2</v>
      </c>
      <c r="D40" s="42">
        <v>120.12220000000001</v>
      </c>
      <c r="E40" s="42">
        <v>27.250819374999999</v>
      </c>
      <c r="F40" s="42">
        <v>7.9841257499999996</v>
      </c>
      <c r="G40" s="42">
        <v>0.40885593749999999</v>
      </c>
      <c r="H40" s="42">
        <v>6.1376695625000002</v>
      </c>
      <c r="I40" s="42">
        <v>7.9762081250000003</v>
      </c>
      <c r="J40" s="27"/>
      <c r="K40" s="27"/>
      <c r="L40" s="29">
        <v>2150</v>
      </c>
      <c r="M40" s="29">
        <f>stableGSBR[[#This Row],[COD 
(mg L-1)]]*Information!$AK$43</f>
        <v>1720</v>
      </c>
      <c r="N40" s="29">
        <v>746</v>
      </c>
      <c r="O40" s="29">
        <v>7.9</v>
      </c>
      <c r="P40" s="29">
        <v>102</v>
      </c>
      <c r="R40" s="29">
        <v>6.15</v>
      </c>
      <c r="S40" s="29">
        <v>603.4</v>
      </c>
      <c r="T40" s="4">
        <f>stableGSBR[[#This Row],[NH4-N 
(mg L-1)]]*1.288</f>
        <v>557.25319999999999</v>
      </c>
      <c r="U40" s="20">
        <f>stableGSBR[[#This Row],[NO2-N 
(mg L-1)]]*3.284</f>
        <v>0</v>
      </c>
      <c r="V40" s="6">
        <f>(stableGSBR[[#This Row],[NO3-N 
(mg L-1)]])*4.426</f>
        <v>0</v>
      </c>
      <c r="W40" s="29">
        <v>432.65</v>
      </c>
      <c r="Y40" s="6"/>
      <c r="Z40" s="4"/>
      <c r="AA40" s="23"/>
      <c r="AB40" s="48"/>
      <c r="AC40" s="48"/>
      <c r="AD40" s="20"/>
      <c r="AE40" s="19"/>
      <c r="AF40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1057.8499999999999</v>
      </c>
      <c r="AG40" s="19">
        <f>IFERROR(IF(Influent[[#This Row],[COD (mg L-1)]]-MEDIA[[#This Row],[COD 
(mg L-1)]]&lt;0,0,Influent[[#This Row],[COD (mg L-1)]]-MEDIA[[#This Row],[COD 
(mg L-1)]]),0)</f>
        <v>890</v>
      </c>
      <c r="AH40" s="4">
        <f>IF(IFERROR(Influent[[#This Row],[Alkalinity (mg CaCO3 L-1) ]]-stableGSBR[[#This Row],[Alkalinity 
(mg CaCO3 L-1) ]],0)&lt;0,0,IFERROR(Influent[[#This Row],[Alkalinity (mg CaCO3 L-1) ]]-stableGSBR[[#This Row],[Alkalinity 
(mg CaCO3 L-1) ]],0))</f>
        <v>4779</v>
      </c>
      <c r="AI40" s="20">
        <f>Influent[[#This Row],[COD (mg L-1)]]/stableGSBR[[#This Row],[HRT 
(h)]]*24/1000</f>
        <v>0.58440488102948496</v>
      </c>
      <c r="AJ40" s="6">
        <f>IFERROR(IF(((stableGSBR[[#This Row],[ΔC (mg L-1)]])/stableGSBR[[#This Row],[HRT 
(h)]]*24/1000) &lt;0,0, (stableGSBR[[#This Row],[ΔC (mg L-1)]])/stableGSBR[[#This Row],[HRT 
(h)]]*24/1000),0)</f>
        <v>0.17781892106538175</v>
      </c>
      <c r="AK40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0.21135477039215064</v>
      </c>
      <c r="AL40" s="6">
        <f>Influent[[#This Row],[TN (mg L-1)]]/stableGSBR[[#This Row],[HRT 
(h)]]*24/1000</f>
        <v>0.30300943539162611</v>
      </c>
      <c r="AM40" s="6"/>
      <c r="AN40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0.7097282791009728</v>
      </c>
      <c r="AO40" s="26"/>
      <c r="AP40" s="6"/>
      <c r="AQ40" s="21"/>
      <c r="AR40" s="6">
        <f>stableGSBR[[#This Row],[NH4-N 
(mg L-1)]]-20</f>
        <v>412.65</v>
      </c>
      <c r="AS40" s="6">
        <f>stableGSBR[[#This Row],[Ammonia residual to reach target]]*2.9</f>
        <v>1196.6849999999999</v>
      </c>
      <c r="AT40" s="6">
        <f>stableGSBR[[#This Row],[Alkalinity 
(mg CaCO3 L-1) ]]-70-stableGSBR[[#This Row],[Alkalinity need]]</f>
        <v>-520.68499999999995</v>
      </c>
      <c r="AU40" s="4" t="s">
        <v>545</v>
      </c>
    </row>
    <row r="41" spans="1:47" x14ac:dyDescent="0.3">
      <c r="A41" s="128">
        <v>43367</v>
      </c>
      <c r="B41" s="29">
        <v>41</v>
      </c>
      <c r="C41" s="28">
        <f>Information!$R$54/stableGSBR[[#This Row],[HRT 
(h)]]*24</f>
        <v>4.0771394789415744E-2</v>
      </c>
      <c r="D41" s="42">
        <v>117.7296</v>
      </c>
      <c r="E41" s="42">
        <v>26.701079374999999</v>
      </c>
      <c r="F41" s="42">
        <v>8.1569081249999993</v>
      </c>
      <c r="G41" s="42">
        <v>0.40811439999999999</v>
      </c>
      <c r="H41" s="42">
        <v>6.5374999999999996</v>
      </c>
      <c r="I41" s="42">
        <v>-1.6517696187499999</v>
      </c>
      <c r="J41" s="29">
        <v>1470</v>
      </c>
      <c r="K41" s="27">
        <v>355</v>
      </c>
      <c r="L41" s="29">
        <v>2360</v>
      </c>
      <c r="M41" s="29">
        <f>stableGSBR[[#This Row],[COD 
(mg L-1)]]*Information!$AK$43</f>
        <v>1888</v>
      </c>
      <c r="N41" s="29">
        <v>889</v>
      </c>
      <c r="O41" s="29">
        <v>7.6</v>
      </c>
      <c r="P41" s="29">
        <v>82</v>
      </c>
      <c r="R41" s="29">
        <v>6.7</v>
      </c>
      <c r="S41" s="29">
        <v>602.1</v>
      </c>
      <c r="T41" s="4">
        <f>stableGSBR[[#This Row],[NH4-N 
(mg L-1)]]*1.288</f>
        <v>269.51400000000001</v>
      </c>
      <c r="U41" s="20">
        <f>stableGSBR[[#This Row],[NO2-N 
(mg L-1)]]*3.284</f>
        <v>0</v>
      </c>
      <c r="V41" s="6">
        <f>(stableGSBR[[#This Row],[NO3-N 
(mg L-1)]])*4.426</f>
        <v>0</v>
      </c>
      <c r="W41" s="29">
        <v>209.25</v>
      </c>
      <c r="Y41" s="6"/>
      <c r="Z41" s="4"/>
      <c r="AA41" s="23"/>
      <c r="AB41" s="48"/>
      <c r="AC41" s="48"/>
      <c r="AD41" s="20"/>
      <c r="AE41" s="19"/>
      <c r="AF41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1143.25</v>
      </c>
      <c r="AG41" s="19">
        <f>IFERROR(IF(Influent[[#This Row],[COD (mg L-1)]]-MEDIA[[#This Row],[COD 
(mg L-1)]]&lt;0,0,Influent[[#This Row],[COD (mg L-1)]]-MEDIA[[#This Row],[COD 
(mg L-1)]]),0)</f>
        <v>595</v>
      </c>
      <c r="AH41" s="4">
        <f>IF(IFERROR(Influent[[#This Row],[Alkalinity (mg CaCO3 L-1) ]]-stableGSBR[[#This Row],[Alkalinity 
(mg CaCO3 L-1) ]],0)&lt;0,0,IFERROR(Influent[[#This Row],[Alkalinity (mg CaCO3 L-1) ]]-stableGSBR[[#This Row],[Alkalinity 
(mg CaCO3 L-1) ]],0))</f>
        <v>4297</v>
      </c>
      <c r="AI41" s="20">
        <f>Influent[[#This Row],[COD (mg L-1)]]/stableGSBR[[#This Row],[HRT 
(h)]]*24/1000</f>
        <v>0.58710808496758671</v>
      </c>
      <c r="AJ41" s="6">
        <f>IFERROR(IF(((stableGSBR[[#This Row],[ΔC (mg L-1)]])/stableGSBR[[#This Row],[HRT 
(h)]]*24/1000) &lt;0,0, (stableGSBR[[#This Row],[ΔC (mg L-1)]])/stableGSBR[[#This Row],[HRT 
(h)]]*24/1000),0)</f>
        <v>0.12129489949851184</v>
      </c>
      <c r="AK41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0.23305948546499775</v>
      </c>
      <c r="AL41" s="6">
        <f>Influent[[#This Row],[TN (mg L-1)]]/stableGSBR[[#This Row],[HRT 
(h)]]*24/1000</f>
        <v>0.28374770660904308</v>
      </c>
      <c r="AM41" s="6"/>
      <c r="AN41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0.84528650646950088</v>
      </c>
      <c r="AO41" s="26"/>
      <c r="AP41" s="6"/>
      <c r="AQ41" s="21"/>
      <c r="AR41" s="6">
        <f>stableGSBR[[#This Row],[NH4-N 
(mg L-1)]]-20</f>
        <v>189.25</v>
      </c>
      <c r="AS41" s="6">
        <f>stableGSBR[[#This Row],[Ammonia residual to reach target]]*2.9</f>
        <v>548.82499999999993</v>
      </c>
      <c r="AT41" s="6">
        <f>stableGSBR[[#This Row],[Alkalinity 
(mg CaCO3 L-1) ]]-70-stableGSBR[[#This Row],[Alkalinity need]]</f>
        <v>270.17500000000007</v>
      </c>
      <c r="AU41" s="4" t="s">
        <v>546</v>
      </c>
    </row>
    <row r="42" spans="1:47" x14ac:dyDescent="0.3">
      <c r="A42" s="128">
        <v>43368</v>
      </c>
      <c r="B42" s="29">
        <v>42</v>
      </c>
      <c r="C42" s="28"/>
      <c r="D42" s="27"/>
      <c r="E42" s="42"/>
      <c r="F42" s="42"/>
      <c r="G42" s="42"/>
      <c r="H42" s="42"/>
      <c r="I42" s="42"/>
      <c r="J42" s="27"/>
      <c r="K42" s="27"/>
      <c r="T42" s="4"/>
      <c r="U42" s="20"/>
      <c r="V42" s="6"/>
      <c r="Y42" s="6"/>
      <c r="Z42" s="4"/>
      <c r="AA42" s="23"/>
      <c r="AB42" s="48"/>
      <c r="AC42" s="48"/>
      <c r="AD42" s="20"/>
      <c r="AE42" s="19"/>
      <c r="AF42" s="129"/>
      <c r="AG42" s="19"/>
      <c r="AH42" s="4"/>
      <c r="AI42" s="20"/>
      <c r="AJ42" s="6"/>
      <c r="AK42" s="6"/>
      <c r="AL42" s="6"/>
      <c r="AM42" s="6"/>
      <c r="AN42" s="26"/>
      <c r="AO42" s="26"/>
      <c r="AP42" s="6"/>
      <c r="AQ42" s="21"/>
      <c r="AR42" s="6"/>
      <c r="AS42" s="6"/>
      <c r="AT42" s="6"/>
      <c r="AU42" s="4"/>
    </row>
    <row r="43" spans="1:47" x14ac:dyDescent="0.3">
      <c r="A43" s="128">
        <v>43369</v>
      </c>
      <c r="B43" s="29">
        <v>43</v>
      </c>
      <c r="C43" s="28"/>
      <c r="D43" s="27"/>
      <c r="E43" s="42"/>
      <c r="F43" s="42"/>
      <c r="G43" s="42"/>
      <c r="H43" s="42"/>
      <c r="I43" s="42"/>
      <c r="J43" s="27"/>
      <c r="K43" s="27"/>
      <c r="T43" s="4"/>
      <c r="U43" s="20"/>
      <c r="V43" s="6"/>
      <c r="Y43" s="6"/>
      <c r="Z43" s="4"/>
      <c r="AA43" s="23"/>
      <c r="AB43" s="48"/>
      <c r="AC43" s="48"/>
      <c r="AD43" s="20"/>
      <c r="AE43" s="19"/>
      <c r="AF43" s="129"/>
      <c r="AG43" s="19"/>
      <c r="AH43" s="4"/>
      <c r="AI43" s="20"/>
      <c r="AJ43" s="6"/>
      <c r="AK43" s="6"/>
      <c r="AL43" s="6"/>
      <c r="AM43" s="6"/>
      <c r="AN43" s="26"/>
      <c r="AO43" s="26"/>
      <c r="AP43" s="6"/>
      <c r="AQ43" s="21"/>
      <c r="AR43" s="6"/>
      <c r="AS43" s="6"/>
      <c r="AT43" s="6"/>
      <c r="AU43" s="4"/>
    </row>
    <row r="44" spans="1:47" x14ac:dyDescent="0.3">
      <c r="A44" s="128">
        <v>43370</v>
      </c>
      <c r="B44" s="29">
        <v>44</v>
      </c>
      <c r="C44" s="28"/>
      <c r="D44" s="27"/>
      <c r="E44" s="42"/>
      <c r="F44" s="42"/>
      <c r="G44" s="42"/>
      <c r="H44" s="42"/>
      <c r="I44" s="42"/>
      <c r="K44" s="27"/>
      <c r="T44" s="4"/>
      <c r="U44" s="20"/>
      <c r="V44" s="6"/>
      <c r="Y44" s="6"/>
      <c r="Z44" s="4"/>
      <c r="AA44" s="23"/>
      <c r="AB44" s="48"/>
      <c r="AC44" s="48"/>
      <c r="AD44" s="20"/>
      <c r="AE44" s="19"/>
      <c r="AF44" s="129"/>
      <c r="AG44" s="19"/>
      <c r="AH44" s="4"/>
      <c r="AI44" s="20"/>
      <c r="AJ44" s="6"/>
      <c r="AK44" s="6"/>
      <c r="AL44" s="6"/>
      <c r="AM44" s="6"/>
      <c r="AN44" s="26"/>
      <c r="AO44" s="26"/>
      <c r="AP44" s="6"/>
      <c r="AQ44" s="21"/>
      <c r="AR44" s="6"/>
      <c r="AS44" s="6"/>
      <c r="AT44" s="6"/>
      <c r="AU44" s="4" t="s">
        <v>549</v>
      </c>
    </row>
    <row r="45" spans="1:47" x14ac:dyDescent="0.3">
      <c r="A45" s="128">
        <v>43371</v>
      </c>
      <c r="B45" s="29">
        <v>45</v>
      </c>
      <c r="C45" s="28"/>
      <c r="D45" s="27"/>
      <c r="E45" s="42"/>
      <c r="F45" s="42"/>
      <c r="G45" s="42"/>
      <c r="H45" s="42"/>
      <c r="I45" s="42"/>
      <c r="J45" s="41">
        <f>stableGSBR[[#This Row],[MLVSS 
(mg L-1)]]/0.39</f>
        <v>5794.8717948717949</v>
      </c>
      <c r="K45" s="27">
        <f>1130*2</f>
        <v>2260</v>
      </c>
      <c r="T45" s="4"/>
      <c r="U45" s="20"/>
      <c r="V45" s="6"/>
      <c r="W45" s="6"/>
      <c r="Y45" s="6"/>
      <c r="Z45" s="4"/>
      <c r="AA45" s="23"/>
      <c r="AB45" s="48"/>
      <c r="AC45" s="48"/>
      <c r="AD45" s="20"/>
      <c r="AE45" s="19"/>
      <c r="AF45" s="129"/>
      <c r="AG45" s="19"/>
      <c r="AH45" s="4"/>
      <c r="AI45" s="20"/>
      <c r="AJ45" s="6"/>
      <c r="AK45" s="6"/>
      <c r="AL45" s="6"/>
      <c r="AM45" s="6"/>
      <c r="AN45" s="26"/>
      <c r="AO45" s="26"/>
      <c r="AP45" s="6">
        <v>4.2000000000000003E-2</v>
      </c>
      <c r="AQ45" s="21">
        <f>stableGSBR[[#This Row],[SAA 
(g N  g VSS-1 d-1)]]/MAX(stableGSBR[SAA 
(g N  g VSS-1 d-1)])</f>
        <v>0.4719101123595506</v>
      </c>
      <c r="AR45" s="6"/>
      <c r="AS45" s="6"/>
      <c r="AT45" s="6"/>
      <c r="AU45" s="4"/>
    </row>
    <row r="46" spans="1:47" x14ac:dyDescent="0.3">
      <c r="A46" s="128">
        <v>43372</v>
      </c>
      <c r="B46" s="29">
        <v>46</v>
      </c>
      <c r="C46" s="28"/>
      <c r="D46" s="27"/>
      <c r="E46" s="42"/>
      <c r="F46" s="42"/>
      <c r="G46" s="42"/>
      <c r="H46" s="42"/>
      <c r="I46" s="42"/>
      <c r="J46" s="27"/>
      <c r="K46" s="27"/>
      <c r="T46" s="4"/>
      <c r="U46" s="20"/>
      <c r="V46" s="6"/>
      <c r="W46" s="6"/>
      <c r="Y46" s="6"/>
      <c r="Z46" s="4"/>
      <c r="AA46" s="23"/>
      <c r="AB46" s="48"/>
      <c r="AC46" s="48"/>
      <c r="AD46" s="20"/>
      <c r="AE46" s="19"/>
      <c r="AF46" s="129"/>
      <c r="AG46" s="19"/>
      <c r="AH46" s="4"/>
      <c r="AI46" s="20"/>
      <c r="AJ46" s="6"/>
      <c r="AK46" s="6"/>
      <c r="AL46" s="6"/>
      <c r="AM46" s="6"/>
      <c r="AN46" s="26"/>
      <c r="AO46" s="26"/>
      <c r="AP46" s="6"/>
      <c r="AQ46" s="21"/>
      <c r="AR46" s="6"/>
      <c r="AS46" s="6"/>
      <c r="AT46" s="6"/>
      <c r="AU46" s="4"/>
    </row>
    <row r="47" spans="1:47" x14ac:dyDescent="0.3">
      <c r="A47" s="128">
        <v>43373</v>
      </c>
      <c r="B47" s="29">
        <v>47</v>
      </c>
      <c r="C47" s="28"/>
      <c r="D47" s="27"/>
      <c r="E47" s="42"/>
      <c r="F47" s="42"/>
      <c r="G47" s="42"/>
      <c r="H47" s="42"/>
      <c r="I47" s="42"/>
      <c r="J47" s="27"/>
      <c r="K47" s="27"/>
      <c r="T47" s="4"/>
      <c r="U47" s="20"/>
      <c r="V47" s="6"/>
      <c r="W47" s="6"/>
      <c r="Y47" s="6"/>
      <c r="Z47" s="4"/>
      <c r="AA47" s="23"/>
      <c r="AB47" s="48"/>
      <c r="AC47" s="48"/>
      <c r="AD47" s="20"/>
      <c r="AE47" s="19"/>
      <c r="AF47" s="129"/>
      <c r="AG47" s="19"/>
      <c r="AH47" s="4"/>
      <c r="AI47" s="20"/>
      <c r="AJ47" s="6"/>
      <c r="AK47" s="6"/>
      <c r="AL47" s="6"/>
      <c r="AM47" s="6"/>
      <c r="AN47" s="26"/>
      <c r="AO47" s="26"/>
      <c r="AP47" s="6"/>
      <c r="AQ47" s="21"/>
      <c r="AR47" s="6"/>
      <c r="AS47" s="6"/>
      <c r="AT47" s="6"/>
      <c r="AU47" s="4"/>
    </row>
    <row r="48" spans="1:47" x14ac:dyDescent="0.3">
      <c r="A48" s="128">
        <v>43374</v>
      </c>
      <c r="B48" s="29">
        <v>48</v>
      </c>
      <c r="C48" s="28"/>
      <c r="D48" s="27"/>
      <c r="E48" s="42"/>
      <c r="F48" s="42"/>
      <c r="G48" s="42"/>
      <c r="H48" s="42"/>
      <c r="I48" s="42"/>
      <c r="J48" s="27"/>
      <c r="K48" s="27"/>
      <c r="T48" s="4"/>
      <c r="U48" s="20"/>
      <c r="V48" s="6"/>
      <c r="W48" s="6"/>
      <c r="Y48" s="6"/>
      <c r="Z48" s="4"/>
      <c r="AA48" s="23"/>
      <c r="AB48" s="48"/>
      <c r="AC48" s="48"/>
      <c r="AD48" s="20"/>
      <c r="AE48" s="19"/>
      <c r="AF48" s="129"/>
      <c r="AG48" s="19"/>
      <c r="AH48" s="4"/>
      <c r="AI48" s="20"/>
      <c r="AJ48" s="6"/>
      <c r="AK48" s="6"/>
      <c r="AL48" s="6"/>
      <c r="AM48" s="6"/>
      <c r="AN48" s="26"/>
      <c r="AO48" s="26"/>
      <c r="AP48" s="6"/>
      <c r="AQ48" s="21"/>
      <c r="AR48" s="6"/>
      <c r="AS48" s="6"/>
      <c r="AT48" s="6"/>
      <c r="AU48" s="4"/>
    </row>
    <row r="49" spans="1:47" x14ac:dyDescent="0.3">
      <c r="A49" s="128">
        <v>43375</v>
      </c>
      <c r="B49" s="29">
        <v>49</v>
      </c>
      <c r="C49" s="28"/>
      <c r="D49" s="27"/>
      <c r="E49" s="42"/>
      <c r="F49" s="42"/>
      <c r="G49" s="42"/>
      <c r="H49" s="42"/>
      <c r="I49" s="42"/>
      <c r="J49" s="27"/>
      <c r="K49" s="27"/>
      <c r="T49" s="4"/>
      <c r="U49" s="20"/>
      <c r="V49" s="6"/>
      <c r="W49" s="6"/>
      <c r="Y49" s="6"/>
      <c r="Z49" s="4"/>
      <c r="AA49" s="23"/>
      <c r="AB49" s="48"/>
      <c r="AC49" s="48"/>
      <c r="AD49" s="20"/>
      <c r="AE49" s="19"/>
      <c r="AF49" s="129"/>
      <c r="AG49" s="19"/>
      <c r="AH49" s="4"/>
      <c r="AI49" s="20"/>
      <c r="AJ49" s="6"/>
      <c r="AK49" s="6"/>
      <c r="AL49" s="6"/>
      <c r="AM49" s="6"/>
      <c r="AN49" s="26"/>
      <c r="AO49" s="26"/>
      <c r="AP49" s="6"/>
      <c r="AQ49" s="21"/>
      <c r="AR49" s="6"/>
      <c r="AS49" s="6"/>
      <c r="AT49" s="6"/>
      <c r="AU49" s="4" t="s">
        <v>550</v>
      </c>
    </row>
    <row r="50" spans="1:47" x14ac:dyDescent="0.3">
      <c r="A50" s="128">
        <v>43376</v>
      </c>
      <c r="B50" s="29">
        <v>50</v>
      </c>
      <c r="C50" s="28"/>
      <c r="D50" s="27"/>
      <c r="E50" s="42"/>
      <c r="F50" s="42"/>
      <c r="G50" s="42"/>
      <c r="H50" s="42"/>
      <c r="I50" s="42"/>
      <c r="J50" s="27"/>
      <c r="K50" s="27"/>
      <c r="T50" s="4"/>
      <c r="U50" s="20"/>
      <c r="V50" s="6"/>
      <c r="W50" s="6"/>
      <c r="Y50" s="6"/>
      <c r="Z50" s="4"/>
      <c r="AA50" s="23"/>
      <c r="AB50" s="48"/>
      <c r="AC50" s="48"/>
      <c r="AD50" s="20"/>
      <c r="AE50" s="19"/>
      <c r="AF50" s="129"/>
      <c r="AG50" s="19"/>
      <c r="AH50" s="4"/>
      <c r="AI50" s="20"/>
      <c r="AJ50" s="6"/>
      <c r="AK50" s="6"/>
      <c r="AL50" s="6"/>
      <c r="AM50" s="6"/>
      <c r="AN50" s="26"/>
      <c r="AO50" s="26"/>
      <c r="AP50" s="6"/>
      <c r="AQ50" s="21"/>
      <c r="AR50" s="6"/>
      <c r="AS50" s="6"/>
      <c r="AT50" s="6"/>
      <c r="AU50" s="4"/>
    </row>
    <row r="51" spans="1:47" x14ac:dyDescent="0.3">
      <c r="A51" s="128">
        <v>43377</v>
      </c>
      <c r="B51" s="29">
        <v>51</v>
      </c>
      <c r="C51" s="28"/>
      <c r="D51" s="27"/>
      <c r="E51" s="42"/>
      <c r="F51" s="42"/>
      <c r="G51" s="42"/>
      <c r="H51" s="42"/>
      <c r="I51" s="42"/>
      <c r="J51" s="27"/>
      <c r="K51" s="27"/>
      <c r="T51" s="4"/>
      <c r="U51" s="20"/>
      <c r="V51" s="6"/>
      <c r="W51" s="6"/>
      <c r="Y51" s="6"/>
      <c r="Z51" s="4"/>
      <c r="AA51" s="23"/>
      <c r="AB51" s="48"/>
      <c r="AC51" s="48"/>
      <c r="AD51" s="20"/>
      <c r="AE51" s="19"/>
      <c r="AF51" s="129"/>
      <c r="AG51" s="19"/>
      <c r="AH51" s="4"/>
      <c r="AI51" s="20"/>
      <c r="AJ51" s="6"/>
      <c r="AK51" s="6"/>
      <c r="AL51" s="6"/>
      <c r="AM51" s="6"/>
      <c r="AN51" s="26"/>
      <c r="AO51" s="26"/>
      <c r="AP51" s="6"/>
      <c r="AQ51" s="21"/>
      <c r="AR51" s="6"/>
      <c r="AS51" s="6"/>
      <c r="AT51" s="6"/>
      <c r="AU51" s="4" t="s">
        <v>553</v>
      </c>
    </row>
    <row r="52" spans="1:47" x14ac:dyDescent="0.3">
      <c r="A52" s="128">
        <v>43378</v>
      </c>
      <c r="B52" s="29">
        <v>52</v>
      </c>
      <c r="C52" s="28"/>
      <c r="D52" s="27"/>
      <c r="E52" s="42"/>
      <c r="F52" s="42"/>
      <c r="G52" s="42"/>
      <c r="H52" s="42"/>
      <c r="I52" s="42"/>
      <c r="J52" s="27"/>
      <c r="K52" s="27"/>
      <c r="T52" s="4"/>
      <c r="U52" s="20"/>
      <c r="V52" s="6"/>
      <c r="W52" s="6"/>
      <c r="Y52" s="6"/>
      <c r="Z52" s="4"/>
      <c r="AA52" s="23"/>
      <c r="AB52" s="48"/>
      <c r="AC52" s="48"/>
      <c r="AD52" s="20"/>
      <c r="AE52" s="19"/>
      <c r="AF52" s="129"/>
      <c r="AG52" s="19"/>
      <c r="AH52" s="4"/>
      <c r="AI52" s="20"/>
      <c r="AJ52" s="6"/>
      <c r="AK52" s="6"/>
      <c r="AL52" s="6"/>
      <c r="AM52" s="6"/>
      <c r="AN52" s="26"/>
      <c r="AO52" s="26"/>
      <c r="AP52" s="6"/>
      <c r="AQ52" s="21"/>
      <c r="AR52" s="6"/>
      <c r="AS52" s="6"/>
      <c r="AT52" s="6"/>
      <c r="AU52" s="4"/>
    </row>
    <row r="53" spans="1:47" x14ac:dyDescent="0.3">
      <c r="A53" s="128">
        <v>43379</v>
      </c>
      <c r="B53" s="29">
        <v>53</v>
      </c>
      <c r="C53" s="28"/>
      <c r="D53" s="27"/>
      <c r="E53" s="42"/>
      <c r="F53" s="42"/>
      <c r="G53" s="42"/>
      <c r="H53" s="42"/>
      <c r="I53" s="42"/>
      <c r="J53" s="27"/>
      <c r="K53" s="27"/>
      <c r="T53" s="4"/>
      <c r="U53" s="20"/>
      <c r="V53" s="6"/>
      <c r="W53" s="6"/>
      <c r="Y53" s="6"/>
      <c r="Z53" s="4"/>
      <c r="AA53" s="23"/>
      <c r="AB53" s="48"/>
      <c r="AC53" s="48"/>
      <c r="AD53" s="20"/>
      <c r="AE53" s="19"/>
      <c r="AF53" s="129"/>
      <c r="AG53" s="19"/>
      <c r="AH53" s="4"/>
      <c r="AI53" s="20"/>
      <c r="AJ53" s="6"/>
      <c r="AK53" s="6"/>
      <c r="AL53" s="6"/>
      <c r="AM53" s="6"/>
      <c r="AN53" s="26"/>
      <c r="AO53" s="26"/>
      <c r="AP53" s="6"/>
      <c r="AQ53" s="21"/>
      <c r="AR53" s="6"/>
      <c r="AS53" s="6"/>
      <c r="AT53" s="6"/>
      <c r="AU53" s="4"/>
    </row>
    <row r="54" spans="1:47" x14ac:dyDescent="0.3">
      <c r="A54" s="128">
        <v>43380</v>
      </c>
      <c r="B54" s="29">
        <v>54</v>
      </c>
      <c r="C54" s="28"/>
      <c r="D54" s="27"/>
      <c r="E54" s="42"/>
      <c r="F54" s="42"/>
      <c r="G54" s="42"/>
      <c r="H54" s="42"/>
      <c r="I54" s="42"/>
      <c r="J54" s="27"/>
      <c r="K54" s="27"/>
      <c r="T54" s="4"/>
      <c r="U54" s="20"/>
      <c r="V54" s="6"/>
      <c r="W54" s="6"/>
      <c r="Y54" s="6"/>
      <c r="Z54" s="4"/>
      <c r="AA54" s="23"/>
      <c r="AB54" s="48"/>
      <c r="AC54" s="48"/>
      <c r="AD54" s="20"/>
      <c r="AE54" s="19"/>
      <c r="AF54" s="129"/>
      <c r="AG54" s="19"/>
      <c r="AH54" s="4"/>
      <c r="AI54" s="20"/>
      <c r="AJ54" s="6"/>
      <c r="AK54" s="6"/>
      <c r="AL54" s="6"/>
      <c r="AM54" s="6"/>
      <c r="AN54" s="26"/>
      <c r="AO54" s="26"/>
      <c r="AP54" s="6">
        <v>4.5999999999999999E-2</v>
      </c>
      <c r="AQ54" s="21">
        <f>stableGSBR[[#This Row],[SAA 
(g N  g VSS-1 d-1)]]/MAX(stableGSBR[SAA 
(g N  g VSS-1 d-1)])</f>
        <v>0.5168539325842697</v>
      </c>
      <c r="AR54" s="6"/>
      <c r="AS54" s="6"/>
      <c r="AT54" s="6"/>
      <c r="AU54" s="4"/>
    </row>
    <row r="55" spans="1:47" x14ac:dyDescent="0.3">
      <c r="A55" s="128">
        <v>43381</v>
      </c>
      <c r="B55" s="29">
        <v>55</v>
      </c>
      <c r="C55" s="28"/>
      <c r="D55" s="27"/>
      <c r="E55" s="42"/>
      <c r="F55" s="42"/>
      <c r="G55" s="42"/>
      <c r="H55" s="42"/>
      <c r="I55" s="42"/>
      <c r="J55" s="27"/>
      <c r="K55" s="27"/>
      <c r="T55" s="4"/>
      <c r="U55" s="20"/>
      <c r="V55" s="6"/>
      <c r="W55" s="6"/>
      <c r="Y55" s="6"/>
      <c r="Z55" s="4"/>
      <c r="AA55" s="23"/>
      <c r="AB55" s="48"/>
      <c r="AC55" s="48"/>
      <c r="AD55" s="20"/>
      <c r="AE55" s="19"/>
      <c r="AF55" s="129"/>
      <c r="AG55" s="19"/>
      <c r="AH55" s="4"/>
      <c r="AI55" s="20"/>
      <c r="AJ55" s="6"/>
      <c r="AK55" s="6"/>
      <c r="AL55" s="6"/>
      <c r="AM55" s="6"/>
      <c r="AN55" s="26"/>
      <c r="AO55" s="26"/>
      <c r="AP55" s="6"/>
      <c r="AQ55" s="21"/>
      <c r="AR55" s="6"/>
      <c r="AS55" s="6"/>
      <c r="AT55" s="6"/>
      <c r="AU55" s="4" t="s">
        <v>555</v>
      </c>
    </row>
    <row r="56" spans="1:47" x14ac:dyDescent="0.3">
      <c r="A56" s="128">
        <v>43382</v>
      </c>
      <c r="B56" s="29">
        <v>56</v>
      </c>
      <c r="C56" s="28"/>
      <c r="D56" s="27"/>
      <c r="E56" s="42"/>
      <c r="F56" s="42"/>
      <c r="G56" s="42"/>
      <c r="H56" s="42"/>
      <c r="I56" s="42"/>
      <c r="J56" s="27"/>
      <c r="K56" s="27"/>
      <c r="T56" s="4"/>
      <c r="U56" s="20"/>
      <c r="V56" s="6"/>
      <c r="W56" s="6"/>
      <c r="Y56" s="6"/>
      <c r="Z56" s="4"/>
      <c r="AA56" s="23"/>
      <c r="AB56" s="48"/>
      <c r="AC56" s="48"/>
      <c r="AD56" s="20"/>
      <c r="AE56" s="19"/>
      <c r="AF56" s="129"/>
      <c r="AG56" s="19"/>
      <c r="AH56" s="4"/>
      <c r="AI56" s="20"/>
      <c r="AJ56" s="6"/>
      <c r="AK56" s="6"/>
      <c r="AL56" s="6"/>
      <c r="AM56" s="6"/>
      <c r="AN56" s="26"/>
      <c r="AO56" s="26"/>
      <c r="AP56" s="6"/>
      <c r="AQ56" s="21"/>
      <c r="AR56" s="6"/>
      <c r="AS56" s="6"/>
      <c r="AT56" s="6"/>
      <c r="AU56" s="4"/>
    </row>
    <row r="57" spans="1:47" s="127" customFormat="1" x14ac:dyDescent="0.3">
      <c r="A57" s="213">
        <v>43355</v>
      </c>
      <c r="B57" s="127">
        <v>29</v>
      </c>
      <c r="C57" s="214">
        <f>Information!$R$54/stableGSBR[[#This Row],[HRT 
(h)]]*24</f>
        <v>0.2706765899712068</v>
      </c>
      <c r="D57" s="215">
        <v>17.733339999999998</v>
      </c>
      <c r="E57" s="215">
        <v>27.316898125000002</v>
      </c>
      <c r="F57" s="215">
        <v>7.6157895624999998</v>
      </c>
      <c r="G57" s="215">
        <v>0.48629238749999998</v>
      </c>
      <c r="H57" s="215">
        <v>4.1222456875000004</v>
      </c>
      <c r="I57" s="215">
        <v>-19.144330624999998</v>
      </c>
      <c r="J57" s="216"/>
      <c r="K57" s="216"/>
      <c r="L57" s="127">
        <v>1585</v>
      </c>
      <c r="M57" s="127">
        <f>stableGSBR[[#This Row],[COD 
(mg L-1)]]*Information!$AK$43</f>
        <v>1268</v>
      </c>
      <c r="N57" s="127">
        <v>566</v>
      </c>
      <c r="O57" s="127">
        <v>7.4</v>
      </c>
      <c r="P57" s="127">
        <v>54</v>
      </c>
      <c r="R57" s="127">
        <v>2.04</v>
      </c>
      <c r="S57" s="127">
        <v>403.9</v>
      </c>
      <c r="T57" s="217">
        <f>stableGSBR[[#This Row],[NH4-N 
(mg L-1)]]*1.288</f>
        <v>624.47392000000002</v>
      </c>
      <c r="U57" s="218">
        <f>stableGSBR[[#This Row],[NO2-N 
(mg L-1)]]*3.284</f>
        <v>0</v>
      </c>
      <c r="V57" s="219">
        <f>(stableGSBR[[#This Row],[NO3-N 
(mg L-1)]])*4.426</f>
        <v>0</v>
      </c>
      <c r="W57" s="127">
        <v>484.84</v>
      </c>
      <c r="Y57" s="219"/>
      <c r="Z57" s="217"/>
      <c r="AA57" s="220"/>
      <c r="AB57" s="221"/>
      <c r="AC57" s="221"/>
      <c r="AD57" s="218"/>
      <c r="AE57" s="222"/>
      <c r="AF57" s="223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792.36000000000013</v>
      </c>
      <c r="AG57" s="222">
        <f>IFERROR(IF(Influent[[#This Row],[COD (mg L-1)]]-MEDIA[[#This Row],[COD 
(mg L-1)]]&lt;0,0,Influent[[#This Row],[COD (mg L-1)]]-MEDIA[[#This Row],[COD 
(mg L-1)]]),0)</f>
        <v>1363</v>
      </c>
      <c r="AH57" s="217">
        <f>IF(IFERROR(Influent[[#This Row],[Alkalinity (mg CaCO3 L-1) ]]-stableGSBR[[#This Row],[Alkalinity 
(mg CaCO3 L-1) ]],0)&lt;0,0,IFERROR(Influent[[#This Row],[Alkalinity (mg CaCO3 L-1) ]]-stableGSBR[[#This Row],[Alkalinity 
(mg CaCO3 L-1) ]],0))</f>
        <v>4064</v>
      </c>
      <c r="AI57" s="218">
        <f>Influent[[#This Row],[COD (mg L-1)]]/stableGSBR[[#This Row],[HRT 
(h)]]*24/1000</f>
        <v>3.0248108929282362</v>
      </c>
      <c r="AJ57" s="219">
        <f>IFERROR(IF(((stableGSBR[[#This Row],[ΔC (mg L-1)]])/stableGSBR[[#This Row],[HRT 
(h)]]*24/1000) &lt;0,0, (stableGSBR[[#This Row],[ΔC (mg L-1)]])/stableGSBR[[#This Row],[HRT 
(h)]]*24/1000),0)</f>
        <v>1.8446609606537745</v>
      </c>
      <c r="AK57" s="219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1.0723665141479273</v>
      </c>
      <c r="AL57" s="219">
        <f>Influent[[#This Row],[TN (mg L-1)]]/stableGSBR[[#This Row],[HRT 
(h)]]*24/1000</f>
        <v>1.7305707779809105</v>
      </c>
      <c r="AM57" s="219"/>
      <c r="AN57" s="220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0.62038834951456323</v>
      </c>
      <c r="AO57" s="220"/>
      <c r="AP57" s="219"/>
      <c r="AQ57" s="277"/>
      <c r="AR57" s="219">
        <f>stableGSBR[[#This Row],[NH4-N 
(mg L-1)]]-20</f>
        <v>464.84</v>
      </c>
      <c r="AS57" s="219">
        <f>stableGSBR[[#This Row],[Ammonia residual to reach target]]*2.9</f>
        <v>1348.0359999999998</v>
      </c>
      <c r="AT57" s="219">
        <f>stableGSBR[[#This Row],[Alkalinity 
(mg CaCO3 L-1) ]]-70-stableGSBR[[#This Row],[Alkalinity need]]</f>
        <v>-852.03599999999983</v>
      </c>
      <c r="AU57" s="217" t="s">
        <v>556</v>
      </c>
    </row>
    <row r="58" spans="1:47" x14ac:dyDescent="0.3">
      <c r="A58" s="128">
        <v>43356</v>
      </c>
      <c r="B58" s="29">
        <v>30</v>
      </c>
      <c r="C58" s="28">
        <f>Information!$R$54/stableGSBR[[#This Row],[HRT 
(h)]]*24</f>
        <v>0.25935557703644108</v>
      </c>
      <c r="D58" s="42">
        <v>18.50741</v>
      </c>
      <c r="E58" s="42">
        <v>33.499074374999999</v>
      </c>
      <c r="F58" s="42">
        <v>7.8351973749999999</v>
      </c>
      <c r="G58" s="42">
        <v>0.45743643750000001</v>
      </c>
      <c r="H58" s="42">
        <v>2.446123</v>
      </c>
      <c r="I58" s="42">
        <v>-27.14709375</v>
      </c>
      <c r="J58" s="27">
        <v>4900</v>
      </c>
      <c r="K58" s="27">
        <v>1340</v>
      </c>
      <c r="L58" s="29">
        <v>1006</v>
      </c>
      <c r="M58" s="29">
        <f>stableGSBR[[#This Row],[COD 
(mg L-1)]]*Information!$AK$43</f>
        <v>804.80000000000007</v>
      </c>
      <c r="N58" s="29">
        <v>440</v>
      </c>
      <c r="O58" s="29">
        <v>7.5</v>
      </c>
      <c r="P58" s="29">
        <v>44</v>
      </c>
      <c r="R58" s="29">
        <v>1.43</v>
      </c>
      <c r="S58" s="29">
        <v>175.3</v>
      </c>
      <c r="T58" s="4">
        <f>stableGSBR[[#This Row],[NH4-N 
(mg L-1)]]*1.288</f>
        <v>208.25672</v>
      </c>
      <c r="U58" s="20">
        <f>stableGSBR[[#This Row],[NO2-N 
(mg L-1)]]*3.284</f>
        <v>0</v>
      </c>
      <c r="V58" s="6">
        <f>(stableGSBR[[#This Row],[NO3-N 
(mg L-1)]])*4.426</f>
        <v>0</v>
      </c>
      <c r="W58" s="29">
        <v>161.69</v>
      </c>
      <c r="Y58" s="6"/>
      <c r="Z58" s="4"/>
      <c r="AA58" s="26"/>
      <c r="AB58" s="48"/>
      <c r="AC58" s="48"/>
      <c r="AD58" s="20"/>
      <c r="AE58" s="19"/>
      <c r="AF58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1108.81</v>
      </c>
      <c r="AG58" s="19">
        <f>IFERROR(IF(Influent[[#This Row],[COD (mg L-1)]]-MEDIA[[#This Row],[COD 
(mg L-1)]]&lt;0,0,Influent[[#This Row],[COD (mg L-1)]]-MEDIA[[#This Row],[COD 
(mg L-1)]]),0)</f>
        <v>1240</v>
      </c>
      <c r="AH58" s="4">
        <f>IF(IFERROR(Influent[[#This Row],[Alkalinity (mg CaCO3 L-1) ]]-stableGSBR[[#This Row],[Alkalinity 
(mg CaCO3 L-1) ]],0)&lt;0,0,IFERROR(Influent[[#This Row],[Alkalinity (mg CaCO3 L-1) ]]-stableGSBR[[#This Row],[Alkalinity 
(mg CaCO3 L-1) ]],0))</f>
        <v>4158</v>
      </c>
      <c r="AI58" s="20"/>
      <c r="AJ58" s="6"/>
      <c r="AK58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1.4378802868688811</v>
      </c>
      <c r="AL58" s="6">
        <f>Influent[[#This Row],[TN (mg L-1)]]/stableGSBR[[#This Row],[HRT 
(h)]]*24/1000</f>
        <v>1.6698543988596999</v>
      </c>
      <c r="AM58" s="6"/>
      <c r="AN58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0.87273514364423455</v>
      </c>
      <c r="AO58" s="26"/>
      <c r="AP58" s="6"/>
      <c r="AQ58" s="21"/>
      <c r="AR58" s="6">
        <f>stableGSBR[[#This Row],[NH4-N 
(mg L-1)]]-20</f>
        <v>141.69</v>
      </c>
      <c r="AS58" s="6">
        <f>stableGSBR[[#This Row],[Ammonia residual to reach target]]*2.9</f>
        <v>410.90099999999995</v>
      </c>
      <c r="AT58" s="6">
        <f>stableGSBR[[#This Row],[Alkalinity 
(mg CaCO3 L-1) ]]-70-stableGSBR[[#This Row],[Alkalinity need]]</f>
        <v>-40.900999999999954</v>
      </c>
      <c r="AU58" s="4"/>
    </row>
    <row r="59" spans="1:47" x14ac:dyDescent="0.3">
      <c r="A59" s="128">
        <v>43357</v>
      </c>
      <c r="B59" s="29">
        <v>31</v>
      </c>
      <c r="C59" s="28">
        <f>Information!$R$54/stableGSBR[[#This Row],[HRT 
(h)]]*24</f>
        <v>0.2564305297641053</v>
      </c>
      <c r="D59" s="42">
        <v>18.718520000000002</v>
      </c>
      <c r="E59" s="42">
        <v>27.716984374999999</v>
      </c>
      <c r="F59" s="42">
        <v>7.7654817500000002</v>
      </c>
      <c r="G59" s="42">
        <v>0.45012712500000002</v>
      </c>
      <c r="H59" s="42">
        <v>3.2358263125</v>
      </c>
      <c r="I59" s="42">
        <v>-7.6753616874999997</v>
      </c>
      <c r="J59" s="27">
        <f>stableGSBR[[#This Row],[MLVSS 
(mg L-1)]]/0.44</f>
        <v>4000</v>
      </c>
      <c r="K59" s="27">
        <f>880*2</f>
        <v>1760</v>
      </c>
      <c r="L59" s="29">
        <v>1550</v>
      </c>
      <c r="M59" s="29">
        <f>stableGSBR[[#This Row],[COD 
(mg L-1)]]*Information!$AK$43</f>
        <v>1240</v>
      </c>
      <c r="N59" s="29">
        <v>616</v>
      </c>
      <c r="O59" s="29">
        <v>7.9</v>
      </c>
      <c r="P59" s="29">
        <v>456.7</v>
      </c>
      <c r="R59" s="29">
        <v>0.96</v>
      </c>
      <c r="S59" s="29">
        <v>49</v>
      </c>
      <c r="T59" s="4">
        <f>stableGSBR[[#This Row],[NH4-N 
(mg L-1)]]*1.288</f>
        <v>1528.856</v>
      </c>
      <c r="U59" s="20">
        <f>stableGSBR[[#This Row],[NO2-N 
(mg L-1)]]*3.284</f>
        <v>0</v>
      </c>
      <c r="V59" s="6">
        <f>(stableGSBR[[#This Row],[NO3-N 
(mg L-1)]])*4.426</f>
        <v>0</v>
      </c>
      <c r="W59" s="29">
        <v>1187</v>
      </c>
      <c r="Y59" s="6"/>
      <c r="Z59" s="4"/>
      <c r="AA59" s="26"/>
      <c r="AB59" s="48"/>
      <c r="AC59" s="48"/>
      <c r="AD59" s="20"/>
      <c r="AE59" s="19"/>
      <c r="AF59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128.90000000000009</v>
      </c>
      <c r="AG59" s="19">
        <f>IFERROR(IF(Influent[[#This Row],[COD (mg L-1)]]-MEDIA[[#This Row],[COD 
(mg L-1)]]&lt;0,0,Influent[[#This Row],[COD (mg L-1)]]-MEDIA[[#This Row],[COD 
(mg L-1)]]),0)</f>
        <v>975</v>
      </c>
      <c r="AH59" s="4">
        <f>IF(IFERROR(Influent[[#This Row],[Alkalinity (mg CaCO3 L-1) ]]-stableGSBR[[#This Row],[Alkalinity 
(mg CaCO3 L-1) ]],0)&lt;0,0,IFERROR(Influent[[#This Row],[Alkalinity (mg CaCO3 L-1) ]]-stableGSBR[[#This Row],[Alkalinity 
(mg CaCO3 L-1) ]],0))</f>
        <v>4147</v>
      </c>
      <c r="AI59" s="20"/>
      <c r="AJ59" s="6"/>
      <c r="AK59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0.16526947643296594</v>
      </c>
      <c r="AL59" s="6">
        <f>Influent[[#This Row],[TN (mg L-1)]]/stableGSBR[[#This Row],[HRT 
(h)]]*24/1000</f>
        <v>1.6874411011126949</v>
      </c>
      <c r="AM59" s="6"/>
      <c r="AN59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9.7955771715175985E-2</v>
      </c>
      <c r="AO59" s="26"/>
      <c r="AP59" s="6">
        <v>8.8999999999999996E-2</v>
      </c>
      <c r="AQ59" s="21">
        <f>stableGSBR[[#This Row],[SAA 
(g N  g VSS-1 d-1)]]/MAX(stableGSBR[SAA 
(g N  g VSS-1 d-1)])</f>
        <v>1</v>
      </c>
      <c r="AR59" s="6">
        <f>stableGSBR[[#This Row],[NH4-N 
(mg L-1)]]-20</f>
        <v>1167</v>
      </c>
      <c r="AS59" s="6">
        <f>stableGSBR[[#This Row],[Ammonia residual to reach target]]*2.9</f>
        <v>3384.2999999999997</v>
      </c>
      <c r="AT59" s="6">
        <f>stableGSBR[[#This Row],[Alkalinity 
(mg CaCO3 L-1) ]]-70-stableGSBR[[#This Row],[Alkalinity need]]</f>
        <v>-2838.2999999999997</v>
      </c>
      <c r="AU59" s="4"/>
    </row>
    <row r="60" spans="1:47" x14ac:dyDescent="0.3">
      <c r="A60" s="128">
        <v>43383</v>
      </c>
      <c r="B60" s="29">
        <v>57</v>
      </c>
      <c r="C60" s="28">
        <f>Information!$R$54/stableGSBR[[#This Row],[HRT 
(h)]]*24</f>
        <v>0.12</v>
      </c>
      <c r="D60" s="27">
        <v>40</v>
      </c>
      <c r="E60" s="42">
        <v>27</v>
      </c>
      <c r="F60" s="42">
        <f>stableGSBR[[#This Row],[pHeff]]</f>
        <v>8.9</v>
      </c>
      <c r="G60" s="42"/>
      <c r="H60" s="42"/>
      <c r="I60" s="42"/>
      <c r="J60" s="27"/>
      <c r="K60" s="27"/>
      <c r="L60" s="29">
        <v>2265</v>
      </c>
      <c r="M60" s="29">
        <f>stableGSBR[[#This Row],[COD 
(mg L-1)]]*Information!$AK$43</f>
        <v>1812</v>
      </c>
      <c r="N60" s="29">
        <v>4205</v>
      </c>
      <c r="O60" s="29">
        <v>8.9</v>
      </c>
      <c r="P60" s="29">
        <v>156</v>
      </c>
      <c r="R60" s="29">
        <v>8.49</v>
      </c>
      <c r="S60" s="29">
        <v>2.4</v>
      </c>
      <c r="T60" s="4">
        <f>stableGSBR[[#This Row],[NH4-N 
(mg L-1)]]*1.288</f>
        <v>1489.3144</v>
      </c>
      <c r="U60" s="20">
        <f>stableGSBR[[#This Row],[NO2-N 
(mg L-1)]]*3.284</f>
        <v>5.5630959999999998</v>
      </c>
      <c r="V60" s="6">
        <f>(stableGSBR[[#This Row],[NO3-N 
(mg L-1)]])*4.426</f>
        <v>3.1247560000000001</v>
      </c>
      <c r="W60" s="6">
        <v>1156.3</v>
      </c>
      <c r="X60" s="29">
        <v>1.694</v>
      </c>
      <c r="Y60" s="6">
        <f>IF((stableGSBR[[#This Row],[TON 
(mg L-1)]]-stableGSBR[[#This Row],[NO2-N 
(mg L-1)]])&lt;0,0.2,(stableGSBR[[#This Row],[TON 
(mg L-1)]]-stableGSBR[[#This Row],[NO2-N 
(mg L-1)]]))</f>
        <v>0.70599999999999996</v>
      </c>
      <c r="Z60" s="4">
        <f>SUM(stableGSBR[[#This Row],[NO3-N 
(mg L-1)]],stableGSBR[[#This Row],[NO2-N 
(mg L-1)]],stableGSBR[[#This Row],[NH4-N 
(mg L-1)]])</f>
        <v>1158.7</v>
      </c>
      <c r="AA60" s="23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4.5111821086261982E-3</v>
      </c>
      <c r="AB60" s="48">
        <f>IF(IFERROR(stableGSBR[[#This Row],[NO2-N 
(mg L-1)]]/stableGSBR[[#This Row],[NH4-N 
(mg L-1)]],0)&lt;0,0,IFERROR(stableGSBR[[#This Row],[NO2-N 
(mg L-1)]]/stableGSBR[[#This Row],[NH4-N 
(mg L-1)]],0))</f>
        <v>1.4650177289630719E-3</v>
      </c>
      <c r="AC60" s="48">
        <f>stableGSBR[[#This Row],[NO2-N 
(mg L-1)]]/(stableGSBR[[#This Row],[NO2-N 
(mg L-1)]]+stableGSBR[[#This Row],[NO3-N 
(mg L-1)]])</f>
        <v>0.70583333333333331</v>
      </c>
      <c r="AD60" s="20">
        <f>46/14*stableGSBR[[#This Row],[NO2-N 
(mg L-1)]]/(EXP(-2300/(stableGSBR[[#This Row],[Temp. 
(°C)]]+273))*10^(stableGSBR[[#This Row],[pHreactor]]))</f>
        <v>1.4966981778296546E-5</v>
      </c>
      <c r="AE60" s="19">
        <f>17/14*(stableGSBR[[#This Row],[NH4+ (mg L-1)]]*10^stableGSBR[[#This Row],[pHreactor]])/(EXP(6344/(273+stableGSBR[[#This Row],[Temp. 
(°C)]]))+10^stableGSBR[pHreactor])</f>
        <v>618.79009100209885</v>
      </c>
      <c r="AF60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154.10000000000014</v>
      </c>
      <c r="AG60" s="19">
        <f>IFERROR(IF(Influent[[#This Row],[COD (mg L-1)]]-MEDIA[[#This Row],[COD 
(mg L-1)]]&lt;0,0,Influent[[#This Row],[COD (mg L-1)]]-MEDIA[[#This Row],[COD 
(mg L-1)]]),0)</f>
        <v>815</v>
      </c>
      <c r="AH60" s="4">
        <f>IF(IFERROR(Influent[[#This Row],[Alkalinity (mg CaCO3 L-1) ]]-stableGSBR[[#This Row],[Alkalinity 
(mg CaCO3 L-1) ]],0)&lt;0,0,IFERROR(Influent[[#This Row],[Alkalinity (mg CaCO3 L-1) ]]-stableGSBR[[#This Row],[Alkalinity 
(mg CaCO3 L-1) ]],0))</f>
        <v>613</v>
      </c>
      <c r="AI60" s="20">
        <f>Influent[[#This Row],[COD (mg L-1)]]/stableGSBR[[#This Row],[HRT 
(h)]]*24/1000</f>
        <v>1.4670000000000001</v>
      </c>
      <c r="AJ60" s="6">
        <f>IFERROR(IF(((stableGSBR[[#This Row],[ΔC (mg L-1)]])/stableGSBR[[#This Row],[HRT 
(h)]]*24/1000) &lt;0,0, (stableGSBR[[#This Row],[ΔC (mg L-1)]])/stableGSBR[[#This Row],[HRT 
(h)]]*24/1000),0)</f>
        <v>0.48899999999999999</v>
      </c>
      <c r="AK60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9.3900000000000011E-2</v>
      </c>
      <c r="AL60" s="6">
        <f>Influent[[#This Row],[TN (mg L-1)]]/stableGSBR[[#This Row],[HRT 
(h)]]*24/1000</f>
        <v>0.78780000000000006</v>
      </c>
      <c r="AM60" s="6">
        <f>stableGSBR[[#This Row],[NLR 
(kg N m-3 d-1)]]*stableGSBR[[#This Row],[NRE 
(%)]]</f>
        <v>9.2579999999999982E-2</v>
      </c>
      <c r="AN60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0.11921084704448508</v>
      </c>
      <c r="AO60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0.11751713632901749</v>
      </c>
      <c r="AP60" s="6"/>
      <c r="AQ60" s="21"/>
      <c r="AR60" s="6">
        <f>stableGSBR[[#This Row],[NH4-N 
(mg L-1)]]-20</f>
        <v>1136.3</v>
      </c>
      <c r="AS60" s="6">
        <f>stableGSBR[[#This Row],[Ammonia residual to reach target]]*2.9</f>
        <v>3295.27</v>
      </c>
      <c r="AT60" s="6">
        <f>stableGSBR[[#This Row],[Alkalinity 
(mg CaCO3 L-1) ]]-70-stableGSBR[[#This Row],[Alkalinity need]]</f>
        <v>839.73</v>
      </c>
      <c r="AU60" s="4"/>
    </row>
    <row r="61" spans="1:47" x14ac:dyDescent="0.3">
      <c r="A61" s="128">
        <v>43384</v>
      </c>
      <c r="B61" s="29">
        <v>58</v>
      </c>
      <c r="C61" s="28">
        <f>Information!$R$54/stableGSBR[[#This Row],[HRT 
(h)]]*24</f>
        <v>0.12</v>
      </c>
      <c r="D61" s="27">
        <v>40</v>
      </c>
      <c r="E61" s="42">
        <v>27</v>
      </c>
      <c r="F61" s="42">
        <f>stableGSBR[[#This Row],[pHeff]]</f>
        <v>8.9</v>
      </c>
      <c r="G61" s="42"/>
      <c r="H61" s="42"/>
      <c r="I61" s="42"/>
      <c r="J61" s="27"/>
      <c r="K61" s="27"/>
      <c r="L61" s="29">
        <v>2190</v>
      </c>
      <c r="M61" s="29">
        <f>stableGSBR[[#This Row],[COD 
(mg L-1)]]*Information!$AK$43</f>
        <v>1752</v>
      </c>
      <c r="N61" s="29">
        <v>4112</v>
      </c>
      <c r="O61" s="29">
        <v>8.9</v>
      </c>
      <c r="P61" s="29">
        <v>134</v>
      </c>
      <c r="R61" s="29">
        <v>8.92</v>
      </c>
      <c r="S61" s="29">
        <v>2.1</v>
      </c>
      <c r="T61" s="4">
        <f>stableGSBR[[#This Row],[NH4-N 
(mg L-1)]]*1.288</f>
        <v>1526.5376000000001</v>
      </c>
      <c r="U61" s="20">
        <f>stableGSBR[[#This Row],[NO2-N 
(mg L-1)]]*3.284</f>
        <v>4.9457040000000001</v>
      </c>
      <c r="V61" s="6">
        <f>(stableGSBR[[#This Row],[NO3-N 
(mg L-1)]])*4.426</f>
        <v>2.6290440000000004</v>
      </c>
      <c r="W61" s="6">
        <v>1185.2</v>
      </c>
      <c r="X61" s="29">
        <v>1.506</v>
      </c>
      <c r="Y61" s="6">
        <f>IF((stableGSBR[[#This Row],[TON 
(mg L-1)]]-stableGSBR[[#This Row],[NO2-N 
(mg L-1)]])&lt;0,0.2,(stableGSBR[[#This Row],[TON 
(mg L-1)]]-stableGSBR[[#This Row],[NO2-N 
(mg L-1)]]))</f>
        <v>0.59400000000000008</v>
      </c>
      <c r="Z61" s="4">
        <f>SUM(stableGSBR[[#This Row],[NO3-N 
(mg L-1)]],stableGSBR[[#This Row],[NO2-N 
(mg L-1)]],stableGSBR[[#This Row],[NH4-N 
(mg L-1)]])</f>
        <v>1187.3</v>
      </c>
      <c r="AA61" s="23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4.218750000000002E-3</v>
      </c>
      <c r="AB61" s="48">
        <f>IF(IFERROR(stableGSBR[[#This Row],[NO2-N 
(mg L-1)]]/stableGSBR[[#This Row],[NH4-N 
(mg L-1)]],0)&lt;0,0,IFERROR(stableGSBR[[#This Row],[NO2-N 
(mg L-1)]]/stableGSBR[[#This Row],[NH4-N 
(mg L-1)]],0))</f>
        <v>1.2706716166047923E-3</v>
      </c>
      <c r="AC61" s="48">
        <f>stableGSBR[[#This Row],[NO2-N 
(mg L-1)]]/(stableGSBR[[#This Row],[NO2-N 
(mg L-1)]]+stableGSBR[[#This Row],[NO3-N 
(mg L-1)]])</f>
        <v>0.71714285714285708</v>
      </c>
      <c r="AD61" s="20">
        <f>46/14*stableGSBR[[#This Row],[NO2-N 
(mg L-1)]]/(EXP(-2300/(stableGSBR[[#This Row],[Temp. 
(°C)]]+273))*10^(stableGSBR[[#This Row],[pHreactor]]))</f>
        <v>1.3305947200776032E-5</v>
      </c>
      <c r="AE61" s="19">
        <f>17/14*(stableGSBR[[#This Row],[NH4+ (mg L-1)]]*10^stableGSBR[[#This Row],[pHreactor]])/(EXP(6344/(273+stableGSBR[[#This Row],[Temp. 
(°C)]]))+10^stableGSBR[pHreactor])</f>
        <v>634.25582967714922</v>
      </c>
      <c r="AF61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138.69999999999982</v>
      </c>
      <c r="AG61" s="19">
        <f>IFERROR(IF(Influent[[#This Row],[COD (mg L-1)]]-MEDIA[[#This Row],[COD 
(mg L-1)]]&lt;0,0,Influent[[#This Row],[COD (mg L-1)]]-MEDIA[[#This Row],[COD 
(mg L-1)]]),0)</f>
        <v>695</v>
      </c>
      <c r="AH61" s="4">
        <f>IF(IFERROR(Influent[[#This Row],[Alkalinity (mg CaCO3 L-1) ]]-stableGSBR[[#This Row],[Alkalinity 
(mg CaCO3 L-1) ]],0)&lt;0,0,IFERROR(Influent[[#This Row],[Alkalinity (mg CaCO3 L-1) ]]-stableGSBR[[#This Row],[Alkalinity 
(mg CaCO3 L-1) ]],0))</f>
        <v>666</v>
      </c>
      <c r="AI61" s="20">
        <f>Influent[[#This Row],[COD (mg L-1)]]/stableGSBR[[#This Row],[HRT 
(h)]]*24/1000</f>
        <v>1.464</v>
      </c>
      <c r="AJ61" s="6">
        <f>IFERROR(IF(((stableGSBR[[#This Row],[ΔC (mg L-1)]])/stableGSBR[[#This Row],[HRT 
(h)]]*24/1000) &lt;0,0, (stableGSBR[[#This Row],[ΔC (mg L-1)]])/stableGSBR[[#This Row],[HRT 
(h)]]*24/1000),0)</f>
        <v>0.41699999999999998</v>
      </c>
      <c r="AK61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8.4479999999999958E-2</v>
      </c>
      <c r="AL61" s="6">
        <f>Influent[[#This Row],[TN (mg L-1)]]/stableGSBR[[#This Row],[HRT 
(h)]]*24/1000</f>
        <v>0.80124000000000017</v>
      </c>
      <c r="AM61" s="6">
        <f>stableGSBR[[#This Row],[NLR 
(kg N m-3 d-1)]]*stableGSBR[[#This Row],[NRE 
(%)]]</f>
        <v>8.8860000000000106E-2</v>
      </c>
      <c r="AN61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0.10618401206636498</v>
      </c>
      <c r="AO61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0.11090310019469832</v>
      </c>
      <c r="AP61" s="6"/>
      <c r="AQ61" s="21"/>
      <c r="AR61" s="6">
        <f>stableGSBR[[#This Row],[NH4-N 
(mg L-1)]]-20</f>
        <v>1165.2</v>
      </c>
      <c r="AS61" s="6">
        <f>stableGSBR[[#This Row],[Ammonia residual to reach target]]*2.9</f>
        <v>3379.08</v>
      </c>
      <c r="AT61" s="6">
        <f>stableGSBR[[#This Row],[Alkalinity 
(mg CaCO3 L-1) ]]-70-stableGSBR[[#This Row],[Alkalinity need]]</f>
        <v>662.92000000000007</v>
      </c>
      <c r="AU61" s="4"/>
    </row>
    <row r="62" spans="1:47" x14ac:dyDescent="0.3">
      <c r="A62" s="128">
        <v>43385</v>
      </c>
      <c r="B62" s="29">
        <v>59</v>
      </c>
      <c r="C62" s="28"/>
      <c r="D62" s="27"/>
      <c r="E62" s="42"/>
      <c r="F62" s="42"/>
      <c r="G62" s="42"/>
      <c r="H62" s="42"/>
      <c r="I62" s="42"/>
      <c r="J62" s="41">
        <f>stableGSBR[[#This Row],[MLVSS 
(mg L-1)]]/0.73</f>
        <v>3326.027397260274</v>
      </c>
      <c r="K62" s="27">
        <f>1214*2</f>
        <v>2428</v>
      </c>
      <c r="T62" s="4"/>
      <c r="U62" s="20"/>
      <c r="V62" s="6"/>
      <c r="W62" s="6"/>
      <c r="Y62" s="6"/>
      <c r="Z62" s="4"/>
      <c r="AA62" s="23"/>
      <c r="AB62" s="48"/>
      <c r="AC62" s="48"/>
      <c r="AD62" s="20"/>
      <c r="AE62" s="19"/>
      <c r="AF62" s="129"/>
      <c r="AG62" s="19"/>
      <c r="AH62" s="4"/>
      <c r="AI62" s="20"/>
      <c r="AJ62" s="6"/>
      <c r="AK62" s="6"/>
      <c r="AL62" s="6"/>
      <c r="AM62" s="6"/>
      <c r="AN62" s="26"/>
      <c r="AO62" s="26"/>
      <c r="AP62" s="6">
        <v>7.2099999999999997E-2</v>
      </c>
      <c r="AQ62" s="21">
        <f>stableGSBR[[#This Row],[SAA 
(g N  g VSS-1 d-1)]]/MAX(stableGSBR[SAA 
(g N  g VSS-1 d-1)])</f>
        <v>0.81011235955056182</v>
      </c>
      <c r="AR62" s="6"/>
      <c r="AS62" s="6"/>
      <c r="AT62" s="6"/>
      <c r="AU62" s="4"/>
    </row>
    <row r="63" spans="1:47" x14ac:dyDescent="0.3">
      <c r="A63" s="128">
        <v>43386</v>
      </c>
      <c r="B63" s="29">
        <v>60</v>
      </c>
      <c r="C63" s="28"/>
      <c r="D63" s="27"/>
      <c r="E63" s="42"/>
      <c r="F63" s="42"/>
      <c r="G63" s="42"/>
      <c r="H63" s="42"/>
      <c r="I63" s="42"/>
      <c r="J63" s="27"/>
      <c r="K63" s="27"/>
      <c r="T63" s="4"/>
      <c r="U63" s="20"/>
      <c r="V63" s="6"/>
      <c r="W63" s="6"/>
      <c r="Y63" s="6"/>
      <c r="Z63" s="4"/>
      <c r="AA63" s="23"/>
      <c r="AB63" s="48"/>
      <c r="AC63" s="48"/>
      <c r="AD63" s="20"/>
      <c r="AE63" s="19"/>
      <c r="AF63" s="129"/>
      <c r="AG63" s="19"/>
      <c r="AH63" s="4"/>
      <c r="AI63" s="20"/>
      <c r="AJ63" s="6"/>
      <c r="AK63" s="6"/>
      <c r="AL63" s="6"/>
      <c r="AM63" s="6"/>
      <c r="AN63" s="26"/>
      <c r="AO63" s="26"/>
      <c r="AP63" s="6"/>
      <c r="AQ63" s="21"/>
      <c r="AR63" s="6"/>
      <c r="AS63" s="6"/>
      <c r="AT63" s="6"/>
      <c r="AU63" s="4"/>
    </row>
    <row r="64" spans="1:47" x14ac:dyDescent="0.3">
      <c r="A64" s="128">
        <v>43387</v>
      </c>
      <c r="B64" s="29">
        <v>61</v>
      </c>
      <c r="C64" s="28"/>
      <c r="D64" s="27"/>
      <c r="E64" s="42"/>
      <c r="F64" s="42"/>
      <c r="G64" s="42"/>
      <c r="H64" s="42"/>
      <c r="I64" s="42"/>
      <c r="J64" s="27"/>
      <c r="K64" s="27"/>
      <c r="T64" s="4"/>
      <c r="U64" s="20"/>
      <c r="V64" s="6"/>
      <c r="W64" s="6"/>
      <c r="Y64" s="6"/>
      <c r="Z64" s="4"/>
      <c r="AA64" s="23"/>
      <c r="AB64" s="48"/>
      <c r="AC64" s="48"/>
      <c r="AD64" s="20"/>
      <c r="AE64" s="19"/>
      <c r="AF64" s="129"/>
      <c r="AG64" s="19"/>
      <c r="AH64" s="4"/>
      <c r="AI64" s="20"/>
      <c r="AJ64" s="6"/>
      <c r="AK64" s="6"/>
      <c r="AL64" s="6"/>
      <c r="AM64" s="6"/>
      <c r="AN64" s="26"/>
      <c r="AO64" s="26"/>
      <c r="AP64" s="6"/>
      <c r="AQ64" s="21"/>
      <c r="AR64" s="6"/>
      <c r="AS64" s="6"/>
      <c r="AT64" s="6"/>
      <c r="AU64" s="4"/>
    </row>
    <row r="65" spans="1:47" x14ac:dyDescent="0.3">
      <c r="A65" s="128">
        <v>43388</v>
      </c>
      <c r="B65" s="29">
        <v>62</v>
      </c>
      <c r="C65" s="28"/>
      <c r="D65" s="27"/>
      <c r="E65" s="42"/>
      <c r="F65" s="42"/>
      <c r="G65" s="42"/>
      <c r="H65" s="42"/>
      <c r="I65" s="42"/>
      <c r="J65" s="27"/>
      <c r="K65" s="27"/>
      <c r="T65" s="4"/>
      <c r="U65" s="20"/>
      <c r="V65" s="6"/>
      <c r="W65" s="6"/>
      <c r="Y65" s="6"/>
      <c r="Z65" s="4"/>
      <c r="AA65" s="23"/>
      <c r="AB65" s="48"/>
      <c r="AC65" s="48"/>
      <c r="AD65" s="20"/>
      <c r="AE65" s="19"/>
      <c r="AF65" s="129"/>
      <c r="AG65" s="19"/>
      <c r="AH65" s="4"/>
      <c r="AI65" s="20"/>
      <c r="AJ65" s="6"/>
      <c r="AK65" s="6"/>
      <c r="AL65" s="6"/>
      <c r="AM65" s="6"/>
      <c r="AN65" s="26"/>
      <c r="AO65" s="26"/>
      <c r="AP65" s="6"/>
      <c r="AQ65" s="21"/>
      <c r="AR65" s="6"/>
      <c r="AS65" s="6"/>
      <c r="AT65" s="6"/>
      <c r="AU65" s="4"/>
    </row>
    <row r="66" spans="1:47" x14ac:dyDescent="0.3">
      <c r="A66" s="128">
        <v>43389</v>
      </c>
      <c r="B66" s="29">
        <v>63</v>
      </c>
      <c r="C66" s="28"/>
      <c r="D66" s="27"/>
      <c r="E66" s="42"/>
      <c r="F66" s="42"/>
      <c r="G66" s="42"/>
      <c r="H66" s="42"/>
      <c r="I66" s="42"/>
      <c r="J66" s="27"/>
      <c r="K66" s="27"/>
      <c r="T66" s="4"/>
      <c r="U66" s="20"/>
      <c r="V66" s="6"/>
      <c r="W66" s="6"/>
      <c r="Y66" s="6"/>
      <c r="Z66" s="4"/>
      <c r="AA66" s="23"/>
      <c r="AB66" s="48"/>
      <c r="AC66" s="48"/>
      <c r="AD66" s="20"/>
      <c r="AE66" s="19"/>
      <c r="AF66" s="129"/>
      <c r="AG66" s="19"/>
      <c r="AH66" s="4"/>
      <c r="AI66" s="20"/>
      <c r="AJ66" s="6"/>
      <c r="AK66" s="6"/>
      <c r="AL66" s="6"/>
      <c r="AM66" s="6"/>
      <c r="AN66" s="26"/>
      <c r="AO66" s="26"/>
      <c r="AP66" s="6"/>
      <c r="AQ66" s="21"/>
      <c r="AR66" s="6"/>
      <c r="AS66" s="6"/>
      <c r="AT66" s="6"/>
      <c r="AU66" s="4"/>
    </row>
    <row r="67" spans="1:47" x14ac:dyDescent="0.3">
      <c r="A67" s="128">
        <v>43390</v>
      </c>
      <c r="B67" s="29">
        <v>64</v>
      </c>
      <c r="C67" s="28"/>
      <c r="D67" s="27"/>
      <c r="E67" s="42"/>
      <c r="F67" s="42"/>
      <c r="G67" s="42"/>
      <c r="H67" s="42"/>
      <c r="I67" s="42"/>
      <c r="J67" s="27"/>
      <c r="K67" s="27"/>
      <c r="T67" s="4"/>
      <c r="U67" s="20"/>
      <c r="V67" s="6"/>
      <c r="W67" s="6"/>
      <c r="Y67" s="6"/>
      <c r="Z67" s="4"/>
      <c r="AA67" s="23"/>
      <c r="AB67" s="48"/>
      <c r="AC67" s="48"/>
      <c r="AD67" s="20"/>
      <c r="AE67" s="19"/>
      <c r="AF67" s="129"/>
      <c r="AG67" s="19"/>
      <c r="AH67" s="4"/>
      <c r="AI67" s="20"/>
      <c r="AJ67" s="6"/>
      <c r="AK67" s="6"/>
      <c r="AL67" s="6"/>
      <c r="AM67" s="6"/>
      <c r="AN67" s="26"/>
      <c r="AO67" s="26"/>
      <c r="AP67" s="6"/>
      <c r="AQ67" s="21"/>
      <c r="AR67" s="6"/>
      <c r="AS67" s="6"/>
      <c r="AT67" s="6"/>
      <c r="AU67" s="4"/>
    </row>
    <row r="68" spans="1:47" x14ac:dyDescent="0.3">
      <c r="A68" s="128">
        <v>43391</v>
      </c>
      <c r="B68" s="29">
        <v>65</v>
      </c>
      <c r="C68" s="28"/>
      <c r="D68" s="27"/>
      <c r="E68" s="42"/>
      <c r="F68" s="42"/>
      <c r="G68" s="42"/>
      <c r="H68" s="42"/>
      <c r="I68" s="42"/>
      <c r="J68" s="27"/>
      <c r="K68" s="27"/>
      <c r="T68" s="4"/>
      <c r="U68" s="20"/>
      <c r="V68" s="6"/>
      <c r="W68" s="6"/>
      <c r="Y68" s="6"/>
      <c r="Z68" s="4"/>
      <c r="AA68" s="23"/>
      <c r="AB68" s="48"/>
      <c r="AC68" s="48"/>
      <c r="AD68" s="20"/>
      <c r="AE68" s="19"/>
      <c r="AF68" s="129"/>
      <c r="AG68" s="19"/>
      <c r="AH68" s="4"/>
      <c r="AI68" s="20"/>
      <c r="AJ68" s="6"/>
      <c r="AK68" s="6"/>
      <c r="AL68" s="6"/>
      <c r="AM68" s="6"/>
      <c r="AN68" s="26"/>
      <c r="AO68" s="26"/>
      <c r="AP68" s="6"/>
      <c r="AQ68" s="21"/>
      <c r="AR68" s="6"/>
      <c r="AS68" s="6"/>
      <c r="AT68" s="6"/>
      <c r="AU68" s="4"/>
    </row>
    <row r="69" spans="1:47" x14ac:dyDescent="0.3">
      <c r="A69" s="128">
        <v>43392</v>
      </c>
      <c r="B69" s="29">
        <v>66</v>
      </c>
      <c r="C69" s="28"/>
      <c r="D69" s="27"/>
      <c r="E69" s="42"/>
      <c r="F69" s="42"/>
      <c r="G69" s="42"/>
      <c r="H69" s="42"/>
      <c r="I69" s="42"/>
      <c r="J69" s="27"/>
      <c r="K69" s="27"/>
      <c r="T69" s="4"/>
      <c r="U69" s="20"/>
      <c r="V69" s="6"/>
      <c r="W69" s="6"/>
      <c r="Y69" s="6"/>
      <c r="Z69" s="4"/>
      <c r="AA69" s="23"/>
      <c r="AB69" s="48"/>
      <c r="AC69" s="48"/>
      <c r="AD69" s="20"/>
      <c r="AE69" s="19"/>
      <c r="AF69" s="129"/>
      <c r="AG69" s="19"/>
      <c r="AH69" s="4"/>
      <c r="AI69" s="20"/>
      <c r="AJ69" s="6"/>
      <c r="AK69" s="6"/>
      <c r="AL69" s="6"/>
      <c r="AM69" s="6"/>
      <c r="AN69" s="26"/>
      <c r="AO69" s="26"/>
      <c r="AP69" s="6"/>
      <c r="AQ69" s="21"/>
      <c r="AR69" s="6"/>
      <c r="AS69" s="6"/>
      <c r="AT69" s="6"/>
      <c r="AU69" s="4"/>
    </row>
    <row r="70" spans="1:47" x14ac:dyDescent="0.3">
      <c r="A70" s="128">
        <v>43393</v>
      </c>
      <c r="B70" s="29">
        <v>67</v>
      </c>
      <c r="C70" s="28"/>
      <c r="D70" s="27"/>
      <c r="E70" s="42"/>
      <c r="F70" s="42"/>
      <c r="G70" s="42"/>
      <c r="H70" s="42"/>
      <c r="I70" s="42"/>
      <c r="J70" s="27"/>
      <c r="K70" s="27"/>
      <c r="T70" s="4"/>
      <c r="U70" s="20"/>
      <c r="V70" s="6"/>
      <c r="W70" s="6"/>
      <c r="Y70" s="6"/>
      <c r="Z70" s="4"/>
      <c r="AA70" s="23"/>
      <c r="AB70" s="48"/>
      <c r="AC70" s="48"/>
      <c r="AD70" s="20"/>
      <c r="AE70" s="19"/>
      <c r="AF70" s="129"/>
      <c r="AG70" s="19"/>
      <c r="AH70" s="4"/>
      <c r="AI70" s="20"/>
      <c r="AJ70" s="6"/>
      <c r="AK70" s="6"/>
      <c r="AL70" s="6"/>
      <c r="AM70" s="6"/>
      <c r="AN70" s="26"/>
      <c r="AO70" s="26"/>
      <c r="AP70" s="6"/>
      <c r="AQ70" s="21"/>
      <c r="AR70" s="6"/>
      <c r="AS70" s="6"/>
      <c r="AT70" s="6"/>
      <c r="AU70" s="4"/>
    </row>
    <row r="71" spans="1:47" x14ac:dyDescent="0.3">
      <c r="A71" s="128">
        <v>43394</v>
      </c>
      <c r="B71" s="29">
        <v>68</v>
      </c>
      <c r="C71" s="28"/>
      <c r="D71" s="27"/>
      <c r="E71" s="42"/>
      <c r="F71" s="42"/>
      <c r="G71" s="42"/>
      <c r="H71" s="42"/>
      <c r="I71" s="42"/>
      <c r="J71" s="27"/>
      <c r="K71" s="27"/>
      <c r="T71" s="4"/>
      <c r="U71" s="20"/>
      <c r="V71" s="6"/>
      <c r="W71" s="6"/>
      <c r="Y71" s="6"/>
      <c r="Z71" s="4"/>
      <c r="AA71" s="23"/>
      <c r="AB71" s="48"/>
      <c r="AC71" s="48"/>
      <c r="AD71" s="20"/>
      <c r="AE71" s="19"/>
      <c r="AF71" s="129"/>
      <c r="AG71" s="19"/>
      <c r="AH71" s="4"/>
      <c r="AI71" s="20"/>
      <c r="AJ71" s="6"/>
      <c r="AK71" s="6"/>
      <c r="AL71" s="6"/>
      <c r="AM71" s="6"/>
      <c r="AN71" s="26"/>
      <c r="AO71" s="26"/>
      <c r="AP71" s="6"/>
      <c r="AQ71" s="21"/>
      <c r="AR71" s="6"/>
      <c r="AS71" s="6"/>
      <c r="AT71" s="6"/>
      <c r="AU71" s="4"/>
    </row>
    <row r="72" spans="1:47" x14ac:dyDescent="0.3">
      <c r="A72" s="128">
        <v>43395</v>
      </c>
      <c r="B72" s="29">
        <v>69</v>
      </c>
      <c r="C72" s="28"/>
      <c r="D72" s="27"/>
      <c r="E72" s="42"/>
      <c r="F72" s="42"/>
      <c r="G72" s="42"/>
      <c r="H72" s="42"/>
      <c r="I72" s="42"/>
      <c r="J72" s="27"/>
      <c r="K72" s="27"/>
      <c r="T72" s="4"/>
      <c r="U72" s="20"/>
      <c r="V72" s="6"/>
      <c r="W72" s="6"/>
      <c r="Y72" s="6"/>
      <c r="Z72" s="4"/>
      <c r="AA72" s="23"/>
      <c r="AB72" s="48"/>
      <c r="AC72" s="48"/>
      <c r="AD72" s="20"/>
      <c r="AE72" s="19"/>
      <c r="AF72" s="129"/>
      <c r="AG72" s="19"/>
      <c r="AH72" s="4"/>
      <c r="AI72" s="20"/>
      <c r="AJ72" s="6"/>
      <c r="AK72" s="6"/>
      <c r="AL72" s="6"/>
      <c r="AM72" s="6"/>
      <c r="AN72" s="26"/>
      <c r="AO72" s="26"/>
      <c r="AP72" s="6"/>
      <c r="AQ72" s="21"/>
      <c r="AR72" s="6"/>
      <c r="AS72" s="6"/>
      <c r="AT72" s="6"/>
      <c r="AU72" s="4" t="s">
        <v>559</v>
      </c>
    </row>
    <row r="73" spans="1:47" x14ac:dyDescent="0.3">
      <c r="A73" s="128">
        <v>43396</v>
      </c>
      <c r="B73" s="29">
        <v>70</v>
      </c>
      <c r="C73" s="28"/>
      <c r="D73" s="27"/>
      <c r="E73" s="42"/>
      <c r="F73" s="42"/>
      <c r="G73" s="42"/>
      <c r="H73" s="42"/>
      <c r="I73" s="42"/>
      <c r="J73" s="27"/>
      <c r="K73" s="27"/>
      <c r="T73" s="4"/>
      <c r="U73" s="20"/>
      <c r="V73" s="6"/>
      <c r="W73" s="6"/>
      <c r="Y73" s="6"/>
      <c r="Z73" s="4"/>
      <c r="AA73" s="23"/>
      <c r="AB73" s="48"/>
      <c r="AC73" s="48"/>
      <c r="AD73" s="20"/>
      <c r="AE73" s="19"/>
      <c r="AF73" s="129"/>
      <c r="AG73" s="19"/>
      <c r="AH73" s="4"/>
      <c r="AI73" s="20"/>
      <c r="AJ73" s="6"/>
      <c r="AK73" s="6"/>
      <c r="AL73" s="6"/>
      <c r="AM73" s="6"/>
      <c r="AN73" s="26"/>
      <c r="AO73" s="26"/>
      <c r="AP73" s="6"/>
      <c r="AQ73" s="21"/>
      <c r="AR73" s="6"/>
      <c r="AS73" s="6"/>
      <c r="AT73" s="6"/>
      <c r="AU73" s="4"/>
    </row>
    <row r="74" spans="1:47" x14ac:dyDescent="0.3">
      <c r="A74" s="128">
        <v>43397</v>
      </c>
      <c r="B74" s="29">
        <v>71</v>
      </c>
      <c r="C74" s="28"/>
      <c r="D74" s="27"/>
      <c r="E74" s="42"/>
      <c r="F74" s="42"/>
      <c r="G74" s="42"/>
      <c r="H74" s="42"/>
      <c r="I74" s="42"/>
      <c r="J74" s="27"/>
      <c r="K74" s="27"/>
      <c r="T74" s="4"/>
      <c r="U74" s="20"/>
      <c r="V74" s="6"/>
      <c r="W74" s="6"/>
      <c r="Y74" s="6"/>
      <c r="Z74" s="4"/>
      <c r="AA74" s="23"/>
      <c r="AB74" s="48"/>
      <c r="AC74" s="48"/>
      <c r="AD74" s="20"/>
      <c r="AE74" s="19"/>
      <c r="AF74" s="129"/>
      <c r="AG74" s="19"/>
      <c r="AH74" s="4"/>
      <c r="AI74" s="20"/>
      <c r="AJ74" s="6"/>
      <c r="AK74" s="6"/>
      <c r="AL74" s="6"/>
      <c r="AM74" s="6"/>
      <c r="AN74" s="26"/>
      <c r="AO74" s="26"/>
      <c r="AP74" s="6"/>
      <c r="AQ74" s="21"/>
      <c r="AR74" s="6"/>
      <c r="AS74" s="6"/>
      <c r="AT74" s="6"/>
      <c r="AU74" s="4"/>
    </row>
    <row r="75" spans="1:47" x14ac:dyDescent="0.3">
      <c r="A75" s="128">
        <v>43398</v>
      </c>
      <c r="B75" s="29">
        <v>72</v>
      </c>
      <c r="C75" s="28"/>
      <c r="D75" s="27"/>
      <c r="E75" s="42"/>
      <c r="F75" s="42"/>
      <c r="G75" s="42"/>
      <c r="H75" s="42"/>
      <c r="I75" s="42"/>
      <c r="J75" s="27"/>
      <c r="K75" s="27"/>
      <c r="T75" s="4"/>
      <c r="U75" s="20"/>
      <c r="V75" s="6"/>
      <c r="W75" s="6"/>
      <c r="Y75" s="6"/>
      <c r="Z75" s="4"/>
      <c r="AA75" s="23"/>
      <c r="AB75" s="48"/>
      <c r="AC75" s="48"/>
      <c r="AD75" s="20"/>
      <c r="AE75" s="19"/>
      <c r="AF75" s="129"/>
      <c r="AG75" s="19"/>
      <c r="AH75" s="4"/>
      <c r="AI75" s="20"/>
      <c r="AJ75" s="6"/>
      <c r="AK75" s="6"/>
      <c r="AL75" s="6"/>
      <c r="AM75" s="6"/>
      <c r="AN75" s="26"/>
      <c r="AO75" s="26"/>
      <c r="AP75" s="4"/>
      <c r="AQ75" s="21"/>
      <c r="AR75" s="6"/>
      <c r="AS75" s="6"/>
      <c r="AT75" s="6"/>
      <c r="AU75" s="4"/>
    </row>
    <row r="76" spans="1:47" x14ac:dyDescent="0.3">
      <c r="A76" s="128">
        <v>43399</v>
      </c>
      <c r="B76" s="29">
        <v>73</v>
      </c>
      <c r="C76" s="28">
        <f>Information!$R$54/stableGSBR[[#This Row],[HRT 
(h)]]*24</f>
        <v>0.24615384615384617</v>
      </c>
      <c r="D76" s="27">
        <v>19.5</v>
      </c>
      <c r="E76" s="42">
        <v>32.299999999999997</v>
      </c>
      <c r="F76" s="42">
        <v>7.4</v>
      </c>
      <c r="G76" s="42">
        <v>0.6</v>
      </c>
      <c r="H76" s="42">
        <v>1.1000000000000001</v>
      </c>
      <c r="I76" s="42">
        <v>-2.2000000000000002</v>
      </c>
      <c r="J76" s="27"/>
      <c r="K76" s="27"/>
      <c r="L76" s="29">
        <v>615</v>
      </c>
      <c r="M76" s="29">
        <f>stableGSBR[[#This Row],[COD 
(mg L-1)]]*Information!$AK$43</f>
        <v>492</v>
      </c>
      <c r="N76" s="29">
        <v>253</v>
      </c>
      <c r="O76" s="29">
        <v>7.4</v>
      </c>
      <c r="P76" s="29">
        <v>46</v>
      </c>
      <c r="R76" s="29">
        <v>5.67</v>
      </c>
      <c r="S76" s="29">
        <v>28.2</v>
      </c>
      <c r="T76" s="4">
        <f>stableGSBR[[#This Row],[NH4-N 
(mg L-1)]]*1.288</f>
        <v>65.842559999999992</v>
      </c>
      <c r="U76" s="20">
        <f>stableGSBR[[#This Row],[NO2-N 
(mg L-1)]]*3.284</f>
        <v>15.638407999999998</v>
      </c>
      <c r="V76" s="6">
        <f>(stableGSBR[[#This Row],[NO3-N 
(mg L-1)]])*4.426</f>
        <v>103.736588</v>
      </c>
      <c r="W76" s="6">
        <v>51.12</v>
      </c>
      <c r="X76" s="29">
        <v>4.7619999999999996</v>
      </c>
      <c r="Y76" s="6">
        <f>IF((stableGSBR[[#This Row],[TON 
(mg L-1)]]-stableGSBR[[#This Row],[NO2-N 
(mg L-1)]])&lt;0,0.2,(stableGSBR[[#This Row],[TON 
(mg L-1)]]-stableGSBR[[#This Row],[NO2-N 
(mg L-1)]]))</f>
        <v>23.437999999999999</v>
      </c>
      <c r="Z76" s="4">
        <f>SUM(stableGSBR[[#This Row],[NO3-N 
(mg L-1)]],stableGSBR[[#This Row],[NO2-N 
(mg L-1)]],stableGSBR[[#This Row],[NH4-N 
(mg L-1)]])</f>
        <v>79.319999999999993</v>
      </c>
      <c r="AA76" s="23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1.9235440877158425E-2</v>
      </c>
      <c r="AB76" s="48">
        <f>IF(IFERROR(stableGSBR[[#This Row],[NO2-N 
(mg L-1)]]/stableGSBR[[#This Row],[NH4-N 
(mg L-1)]],0)&lt;0,0,IFERROR(stableGSBR[[#This Row],[NO2-N 
(mg L-1)]]/stableGSBR[[#This Row],[NH4-N 
(mg L-1)]],0))</f>
        <v>9.3153364632237862E-2</v>
      </c>
      <c r="AC76" s="48">
        <f>stableGSBR[[#This Row],[NO2-N 
(mg L-1)]]/(stableGSBR[[#This Row],[NO2-N 
(mg L-1)]]+stableGSBR[[#This Row],[NO3-N 
(mg L-1)]])</f>
        <v>0.16886524822695034</v>
      </c>
      <c r="AD76" s="20">
        <f>46/14*stableGSBR[[#This Row],[NO2-N 
(mg L-1)]]/(EXP(-2300/(stableGSBR[[#This Row],[Temp. 
(°C)]]+273))*10^(stableGSBR[[#This Row],[pHreactor]]))</f>
        <v>1.1646853212233319E-3</v>
      </c>
      <c r="AE76" s="19">
        <f>17/14*(stableGSBR[[#This Row],[NH4+ (mg L-1)]]*10^stableGSBR[[#This Row],[pHreactor]])/(EXP(6344/(273+stableGSBR[[#This Row],[Temp. 
(°C)]]))+10^stableGSBR[pHreactor])</f>
        <v>1.854332320814015</v>
      </c>
      <c r="AF76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1190.28</v>
      </c>
      <c r="AG76" s="19">
        <f>IFERROR(IF(Influent[[#This Row],[COD (mg L-1)]]-MEDIA[[#This Row],[COD 
(mg L-1)]]&lt;0,0,Influent[[#This Row],[COD (mg L-1)]]-MEDIA[[#This Row],[COD 
(mg L-1)]]),0)</f>
        <v>1130</v>
      </c>
      <c r="AH76" s="4">
        <f>IF(IFERROR(Influent[[#This Row],[Alkalinity (mg CaCO3 L-1) ]]-stableGSBR[[#This Row],[Alkalinity 
(mg CaCO3 L-1) ]],0)&lt;0,0,IFERROR(Influent[[#This Row],[Alkalinity (mg CaCO3 L-1) ]]-stableGSBR[[#This Row],[Alkalinity 
(mg CaCO3 L-1) ]],0))</f>
        <v>4348</v>
      </c>
      <c r="AI76" s="20">
        <f>Influent[[#This Row],[COD (mg L-1)]]/stableGSBR[[#This Row],[HRT 
(h)]]*24/1000</f>
        <v>1.3907692307692308</v>
      </c>
      <c r="AJ76" s="6">
        <f>IFERROR(IF(((stableGSBR[[#This Row],[ΔC (mg L-1)]])/stableGSBR[[#This Row],[HRT 
(h)]]*24/1000) &lt;0,0, (stableGSBR[[#This Row],[ΔC (mg L-1)]])/stableGSBR[[#This Row],[HRT 
(h)]]*24/1000),0)</f>
        <v>1.3907692307692308</v>
      </c>
      <c r="AK76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1.4996676923076924</v>
      </c>
      <c r="AL76" s="6">
        <f>Influent[[#This Row],[TN (mg L-1)]]/stableGSBR[[#This Row],[HRT 
(h)]]*24/1000</f>
        <v>1.5809144615384612</v>
      </c>
      <c r="AM76" s="6">
        <f>stableGSBR[[#This Row],[NLR 
(kg N m-3 d-1)]]*stableGSBR[[#This Row],[NRE 
(%)]]</f>
        <v>1.4832898461538457</v>
      </c>
      <c r="AN76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0.95973534971644625</v>
      </c>
      <c r="AO76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0.93824800913667883</v>
      </c>
      <c r="AP76" s="4"/>
      <c r="AQ76" s="21"/>
      <c r="AR76" s="6">
        <f>stableGSBR[[#This Row],[NH4-N 
(mg L-1)]]-20</f>
        <v>31.119999999999997</v>
      </c>
      <c r="AS76" s="6">
        <f>stableGSBR[[#This Row],[Ammonia residual to reach target]]*2.9</f>
        <v>90.24799999999999</v>
      </c>
      <c r="AT76" s="6">
        <f>stableGSBR[[#This Row],[Alkalinity 
(mg CaCO3 L-1) ]]-70-stableGSBR[[#This Row],[Alkalinity need]]</f>
        <v>92.75200000000001</v>
      </c>
      <c r="AU76" s="4"/>
    </row>
    <row r="77" spans="1:47" x14ac:dyDescent="0.3">
      <c r="A77" s="128">
        <v>43400</v>
      </c>
      <c r="B77" s="29">
        <v>74</v>
      </c>
      <c r="C77" s="28">
        <f>Information!$R$54/stableGSBR[[#This Row],[HRT 
(h)]]*24</f>
        <v>0.23188405797101452</v>
      </c>
      <c r="D77" s="27">
        <v>20.7</v>
      </c>
      <c r="E77" s="42">
        <v>29.2</v>
      </c>
      <c r="F77" s="42">
        <v>7.3</v>
      </c>
      <c r="G77" s="42">
        <v>0.6</v>
      </c>
      <c r="H77" s="42">
        <v>1.2</v>
      </c>
      <c r="I77" s="42">
        <v>17.2</v>
      </c>
      <c r="J77" s="27"/>
      <c r="K77" s="27"/>
      <c r="L77" s="29">
        <v>915</v>
      </c>
      <c r="M77" s="29">
        <f>stableGSBR[[#This Row],[COD 
(mg L-1)]]*Information!$AK$43</f>
        <v>732</v>
      </c>
      <c r="N77" s="29">
        <v>272</v>
      </c>
      <c r="O77" s="29">
        <v>7.7</v>
      </c>
      <c r="P77" s="29">
        <v>46</v>
      </c>
      <c r="Q77" s="29">
        <v>13</v>
      </c>
      <c r="R77" s="29">
        <v>4.8899999999999997</v>
      </c>
      <c r="S77" s="29">
        <v>27.7</v>
      </c>
      <c r="T77" s="4">
        <f>stableGSBR[[#This Row],[NH4-N 
(mg L-1)]]*1.288</f>
        <v>85.433040000000005</v>
      </c>
      <c r="U77" s="20">
        <f>stableGSBR[[#This Row],[NO2-N 
(mg L-1)]]*3.284</f>
        <v>4.4169799999999997</v>
      </c>
      <c r="V77" s="6">
        <f>(stableGSBR[[#This Row],[NO3-N 
(mg L-1)]])*4.426</f>
        <v>116.64723000000001</v>
      </c>
      <c r="W77" s="6">
        <v>66.33</v>
      </c>
      <c r="X77" s="29">
        <v>1.345</v>
      </c>
      <c r="Y77" s="6">
        <f>IF((stableGSBR[[#This Row],[TON 
(mg L-1)]]-stableGSBR[[#This Row],[NO2-N 
(mg L-1)]])&lt;0,0.2,(stableGSBR[[#This Row],[TON 
(mg L-1)]]-stableGSBR[[#This Row],[NO2-N 
(mg L-1)]]))</f>
        <v>26.355</v>
      </c>
      <c r="Z77" s="4">
        <f>SUM(stableGSBR[[#This Row],[NO3-N 
(mg L-1)]],stableGSBR[[#This Row],[NO2-N 
(mg L-1)]],stableGSBR[[#This Row],[NH4-N 
(mg L-1)]])</f>
        <v>94.03</v>
      </c>
      <c r="AA77" s="23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2.3239306215665698E-2</v>
      </c>
      <c r="AB77" s="48">
        <f>IF(IFERROR(stableGSBR[[#This Row],[NO2-N 
(mg L-1)]]/stableGSBR[[#This Row],[NH4-N 
(mg L-1)]],0)&lt;0,0,IFERROR(stableGSBR[[#This Row],[NO2-N 
(mg L-1)]]/stableGSBR[[#This Row],[NH4-N 
(mg L-1)]],0))</f>
        <v>2.0277400874415801E-2</v>
      </c>
      <c r="AC77" s="48">
        <f>stableGSBR[[#This Row],[NO2-N 
(mg L-1)]]/(stableGSBR[[#This Row],[NO2-N 
(mg L-1)]]+stableGSBR[[#This Row],[NO3-N 
(mg L-1)]])</f>
        <v>4.8555956678700364E-2</v>
      </c>
      <c r="AD77" s="20">
        <f>46/14*stableGSBR[[#This Row],[NO2-N 
(mg L-1)]]/(EXP(-2300/(stableGSBR[[#This Row],[Temp. 
(°C)]]+273))*10^(stableGSBR[[#This Row],[pHreactor]]))</f>
        <v>4.4740812003689795E-4</v>
      </c>
      <c r="AE77" s="19">
        <f>17/14*(stableGSBR[[#This Row],[NH4+ (mg L-1)]]*10^stableGSBR[[#This Row],[pHreactor]])/(EXP(6344/(273+stableGSBR[[#This Row],[Temp. 
(°C)]]))+10^stableGSBR[pHreactor])</f>
        <v>1.5572403856393218</v>
      </c>
      <c r="AF77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1106.3700000000001</v>
      </c>
      <c r="AG77" s="19">
        <f>IFERROR(IF(Influent[[#This Row],[COD (mg L-1)]]-MEDIA[[#This Row],[COD 
(mg L-1)]]&lt;0,0,Influent[[#This Row],[COD (mg L-1)]]-MEDIA[[#This Row],[COD 
(mg L-1)]]),0)</f>
        <v>970</v>
      </c>
      <c r="AH77" s="4">
        <f>IF(IFERROR(Influent[[#This Row],[Alkalinity (mg CaCO3 L-1) ]]-stableGSBR[[#This Row],[Alkalinity 
(mg CaCO3 L-1) ]],0)&lt;0,0,IFERROR(Influent[[#This Row],[Alkalinity (mg CaCO3 L-1) ]]-stableGSBR[[#This Row],[Alkalinity 
(mg CaCO3 L-1) ]],0))</f>
        <v>4078</v>
      </c>
      <c r="AI77" s="20">
        <f>Influent[[#This Row],[COD (mg L-1)]]/stableGSBR[[#This Row],[HRT 
(h)]]*24/1000</f>
        <v>2.5855072463768121</v>
      </c>
      <c r="AJ77" s="6">
        <f>IFERROR(IF(((stableGSBR[[#This Row],[ΔC (mg L-1)]])/stableGSBR[[#This Row],[HRT 
(h)]]*24/1000) &lt;0,0, (stableGSBR[[#This Row],[ΔC (mg L-1)]])/stableGSBR[[#This Row],[HRT 
(h)]]*24/1000),0)</f>
        <v>1.1246376811594203</v>
      </c>
      <c r="AK77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1.3148637681159423</v>
      </c>
      <c r="AL77" s="6">
        <f>Influent[[#This Row],[TN (mg L-1)]]/stableGSBR[[#This Row],[HRT 
(h)]]*24/1000</f>
        <v>1.3920000000000001</v>
      </c>
      <c r="AM77" s="6">
        <f>stableGSBR[[#This Row],[NLR 
(kg N m-3 d-1)]]*stableGSBR[[#This Row],[NRE 
(%)]]</f>
        <v>1.2829797101449278</v>
      </c>
      <c r="AN77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0.94474341886037994</v>
      </c>
      <c r="AO77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0.92168082625353998</v>
      </c>
      <c r="AP77" s="4"/>
      <c r="AQ77" s="21"/>
      <c r="AR77" s="6">
        <f>stableGSBR[[#This Row],[NH4-N 
(mg L-1)]]-20</f>
        <v>46.33</v>
      </c>
      <c r="AS77" s="6">
        <f>stableGSBR[[#This Row],[Ammonia residual to reach target]]*2.9</f>
        <v>134.357</v>
      </c>
      <c r="AT77" s="6">
        <f>stableGSBR[[#This Row],[Alkalinity 
(mg CaCO3 L-1) ]]-70-stableGSBR[[#This Row],[Alkalinity need]]</f>
        <v>67.643000000000001</v>
      </c>
      <c r="AU77" s="4"/>
    </row>
    <row r="78" spans="1:47" x14ac:dyDescent="0.3">
      <c r="A78" s="128">
        <v>43401</v>
      </c>
      <c r="B78" s="29">
        <v>75</v>
      </c>
      <c r="C78" s="28"/>
      <c r="D78" s="27"/>
      <c r="E78" s="42"/>
      <c r="F78" s="42"/>
      <c r="G78" s="42"/>
      <c r="H78" s="42"/>
      <c r="I78" s="42"/>
      <c r="J78" s="27"/>
      <c r="K78" s="27"/>
      <c r="T78" s="4"/>
      <c r="U78" s="20"/>
      <c r="V78" s="6"/>
      <c r="W78" s="6"/>
      <c r="Y78" s="6"/>
      <c r="Z78" s="4"/>
      <c r="AA78" s="23"/>
      <c r="AB78" s="48"/>
      <c r="AC78" s="48"/>
      <c r="AD78" s="20"/>
      <c r="AE78" s="19"/>
      <c r="AF78" s="129"/>
      <c r="AG78" s="19"/>
      <c r="AH78" s="4"/>
      <c r="AI78" s="20"/>
      <c r="AJ78" s="6"/>
      <c r="AK78" s="6"/>
      <c r="AL78" s="6"/>
      <c r="AM78" s="6"/>
      <c r="AN78" s="26"/>
      <c r="AO78" s="26"/>
      <c r="AP78" s="4"/>
      <c r="AQ78" s="21"/>
      <c r="AR78" s="6"/>
      <c r="AS78" s="6"/>
      <c r="AT78" s="6"/>
      <c r="AU78" s="4"/>
    </row>
    <row r="79" spans="1:47" x14ac:dyDescent="0.3">
      <c r="A79" s="128">
        <v>43402</v>
      </c>
      <c r="B79" s="29">
        <v>76</v>
      </c>
      <c r="C79" s="28"/>
      <c r="D79" s="27"/>
      <c r="E79" s="42"/>
      <c r="F79" s="42"/>
      <c r="G79" s="42"/>
      <c r="H79" s="42"/>
      <c r="I79" s="42"/>
      <c r="J79" s="27"/>
      <c r="K79" s="27"/>
      <c r="T79" s="4"/>
      <c r="U79" s="20"/>
      <c r="V79" s="6"/>
      <c r="W79" s="6"/>
      <c r="Y79" s="6"/>
      <c r="Z79" s="4"/>
      <c r="AA79" s="23"/>
      <c r="AB79" s="48"/>
      <c r="AC79" s="48"/>
      <c r="AD79" s="20"/>
      <c r="AE79" s="19"/>
      <c r="AF79" s="129"/>
      <c r="AG79" s="19"/>
      <c r="AH79" s="4"/>
      <c r="AI79" s="20"/>
      <c r="AJ79" s="6"/>
      <c r="AK79" s="6"/>
      <c r="AL79" s="6"/>
      <c r="AM79" s="6"/>
      <c r="AN79" s="26"/>
      <c r="AO79" s="26"/>
      <c r="AP79" s="4"/>
      <c r="AQ79" s="21"/>
      <c r="AR79" s="6"/>
      <c r="AS79" s="6"/>
      <c r="AT79" s="6"/>
      <c r="AU79" s="4"/>
    </row>
    <row r="80" spans="1:47" x14ac:dyDescent="0.3">
      <c r="A80" s="128">
        <v>43403</v>
      </c>
      <c r="B80" s="29">
        <v>77</v>
      </c>
      <c r="C80" s="28"/>
      <c r="D80" s="27"/>
      <c r="E80" s="42"/>
      <c r="F80" s="42"/>
      <c r="G80" s="42"/>
      <c r="H80" s="42"/>
      <c r="I80" s="42"/>
      <c r="J80" s="27">
        <v>3780</v>
      </c>
      <c r="K80" s="27">
        <v>1100</v>
      </c>
      <c r="T80" s="4"/>
      <c r="U80" s="20"/>
      <c r="V80" s="6"/>
      <c r="W80" s="6"/>
      <c r="Y80" s="6"/>
      <c r="Z80" s="4"/>
      <c r="AA80" s="23"/>
      <c r="AB80" s="48"/>
      <c r="AC80" s="48"/>
      <c r="AD80" s="20"/>
      <c r="AE80" s="19"/>
      <c r="AF80" s="129"/>
      <c r="AG80" s="19"/>
      <c r="AH80" s="4"/>
      <c r="AI80" s="20"/>
      <c r="AJ80" s="6"/>
      <c r="AK80" s="6"/>
      <c r="AL80" s="6"/>
      <c r="AM80" s="6"/>
      <c r="AN80" s="26"/>
      <c r="AO80" s="26"/>
      <c r="AP80" s="4"/>
      <c r="AQ80" s="21"/>
      <c r="AR80" s="6"/>
      <c r="AS80" s="6"/>
      <c r="AT80" s="6"/>
      <c r="AU80" s="4"/>
    </row>
    <row r="81" spans="1:47" x14ac:dyDescent="0.3">
      <c r="A81" s="128">
        <v>43404</v>
      </c>
      <c r="B81" s="29">
        <v>78</v>
      </c>
      <c r="C81" s="28">
        <f>Information!$R$54/stableGSBR[[#This Row],[HRT 
(h)]]*24</f>
        <v>0.10526315789473684</v>
      </c>
      <c r="D81" s="27">
        <v>45.6</v>
      </c>
      <c r="E81" s="42">
        <v>28.1</v>
      </c>
      <c r="F81" s="42">
        <v>7.5</v>
      </c>
      <c r="G81" s="42">
        <v>0.8</v>
      </c>
      <c r="H81" s="42">
        <v>2.8</v>
      </c>
      <c r="I81" s="42">
        <v>11.7</v>
      </c>
      <c r="J81" s="41">
        <f>stableGSBR[[#This Row],[MLVSS 
(mg L-1)]]/0.55</f>
        <v>4672.7272727272721</v>
      </c>
      <c r="K81" s="27">
        <f>1285*2</f>
        <v>2570</v>
      </c>
      <c r="L81" s="29">
        <v>1325</v>
      </c>
      <c r="M81" s="29">
        <f>stableGSBR[[#This Row],[COD 
(mg L-1)]]*Information!$AK$43</f>
        <v>1060</v>
      </c>
      <c r="N81" s="29">
        <v>365</v>
      </c>
      <c r="O81" s="29">
        <v>7.5</v>
      </c>
      <c r="P81" s="29">
        <v>60</v>
      </c>
      <c r="R81" s="29">
        <v>6.48</v>
      </c>
      <c r="S81" s="29">
        <v>258.5</v>
      </c>
      <c r="T81" s="4">
        <f>stableGSBR[[#This Row],[NH4-N 
(mg L-1)]]*1.288</f>
        <v>344.73319999999995</v>
      </c>
      <c r="U81" s="20">
        <f>stableGSBR[[#This Row],[NO2-N 
(mg L-1)]]*3.284</f>
        <v>0</v>
      </c>
      <c r="V81" s="6">
        <f>(stableGSBR[[#This Row],[NO3-N 
(mg L-1)]])*4.426</f>
        <v>0</v>
      </c>
      <c r="W81" s="6">
        <v>267.64999999999998</v>
      </c>
      <c r="Y81" s="6"/>
      <c r="Z81" s="4"/>
      <c r="AA81" s="23"/>
      <c r="AB81" s="48"/>
      <c r="AC81" s="48"/>
      <c r="AD81" s="20"/>
      <c r="AE81" s="19"/>
      <c r="AF81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1021.65</v>
      </c>
      <c r="AG81" s="19">
        <f>IFERROR(IF(Influent[[#This Row],[COD (mg L-1)]]-MEDIA[[#This Row],[COD 
(mg L-1)]]&lt;0,0,Influent[[#This Row],[COD (mg L-1)]]-MEDIA[[#This Row],[COD 
(mg L-1)]]),0)</f>
        <v>0</v>
      </c>
      <c r="AH81" s="4">
        <f>IF(IFERROR(Influent[[#This Row],[Alkalinity (mg CaCO3 L-1) ]]-stableGSBR[[#This Row],[Alkalinity 
(mg CaCO3 L-1) ]],0)&lt;0,0,IFERROR(Influent[[#This Row],[Alkalinity (mg CaCO3 L-1) ]]-stableGSBR[[#This Row],[Alkalinity 
(mg CaCO3 L-1) ]],0))</f>
        <v>4354</v>
      </c>
      <c r="AI81" s="20"/>
      <c r="AJ81" s="6"/>
      <c r="AK81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0.53771052631578964</v>
      </c>
      <c r="AL81" s="6">
        <f>Influent[[#This Row],[TN (mg L-1)]]/stableGSBR[[#This Row],[HRT 
(h)]]*24/1000</f>
        <v>0.67868421052631589</v>
      </c>
      <c r="AM81" s="6"/>
      <c r="AN81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0.79240673233537584</v>
      </c>
      <c r="AO81" s="26"/>
      <c r="AP81" s="4">
        <v>2.5999999999999999E-2</v>
      </c>
      <c r="AQ81" s="21">
        <f>stableGSBR[[#This Row],[SAA 
(g N  g VSS-1 d-1)]]/MAX(stableGSBR[SAA 
(g N  g VSS-1 d-1)])</f>
        <v>0.29213483146067415</v>
      </c>
      <c r="AR81" s="6">
        <f>stableGSBR[[#This Row],[NH4-N 
(mg L-1)]]-20</f>
        <v>247.64999999999998</v>
      </c>
      <c r="AS81" s="6">
        <f>stableGSBR[[#This Row],[Ammonia residual to reach target]]*2.9</f>
        <v>718.18499999999995</v>
      </c>
      <c r="AT81" s="6">
        <f>stableGSBR[[#This Row],[Alkalinity 
(mg CaCO3 L-1) ]]-70-stableGSBR[[#This Row],[Alkalinity need]]</f>
        <v>-423.18499999999995</v>
      </c>
      <c r="AU81" s="4"/>
    </row>
    <row r="82" spans="1:47" x14ac:dyDescent="0.3">
      <c r="A82" s="128">
        <v>43405</v>
      </c>
      <c r="B82" s="29">
        <v>79</v>
      </c>
      <c r="C82" s="28">
        <f>Information!$R$54/stableGSBR[[#This Row],[HRT 
(h)]]*24</f>
        <v>0.1090909090909091</v>
      </c>
      <c r="D82" s="27">
        <v>44</v>
      </c>
      <c r="E82" s="42">
        <v>30.4</v>
      </c>
      <c r="F82" s="42">
        <v>7.5</v>
      </c>
      <c r="G82" s="42">
        <v>0.6</v>
      </c>
      <c r="H82" s="42">
        <v>3.1</v>
      </c>
      <c r="I82" s="42">
        <v>8</v>
      </c>
      <c r="J82" s="27"/>
      <c r="K82" s="27"/>
      <c r="L82" s="29">
        <v>1355</v>
      </c>
      <c r="M82" s="29">
        <f>stableGSBR[[#This Row],[COD 
(mg L-1)]]*Information!$AK$43</f>
        <v>1084</v>
      </c>
      <c r="N82" s="29">
        <v>379</v>
      </c>
      <c r="O82" s="29">
        <v>7.6</v>
      </c>
      <c r="P82" s="29">
        <v>30</v>
      </c>
      <c r="R82" s="29">
        <v>6.99</v>
      </c>
      <c r="S82" s="29">
        <v>257.3</v>
      </c>
      <c r="T82" s="4">
        <f>stableGSBR[[#This Row],[NH4-N 
(mg L-1)]]*1.288</f>
        <v>354.52199999999999</v>
      </c>
      <c r="U82" s="20">
        <f>stableGSBR[[#This Row],[NO2-N 
(mg L-1)]]*3.284</f>
        <v>0</v>
      </c>
      <c r="V82" s="6">
        <f>(stableGSBR[[#This Row],[NO3-N 
(mg L-1)]])*4.426</f>
        <v>0</v>
      </c>
      <c r="W82" s="6">
        <v>275.25</v>
      </c>
      <c r="Y82" s="6"/>
      <c r="Z82" s="4"/>
      <c r="AA82" s="23"/>
      <c r="AB82" s="48"/>
      <c r="AC82" s="48"/>
      <c r="AD82" s="20"/>
      <c r="AE82" s="19"/>
      <c r="AF82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1137.06</v>
      </c>
      <c r="AG82" s="19">
        <f>IFERROR(IF(Influent[[#This Row],[COD (mg L-1)]]-MEDIA[[#This Row],[COD 
(mg L-1)]]&lt;0,0,Influent[[#This Row],[COD (mg L-1)]]-MEDIA[[#This Row],[COD 
(mg L-1)]]),0)</f>
        <v>1785</v>
      </c>
      <c r="AH82" s="4">
        <f>IF(IFERROR(Influent[[#This Row],[Alkalinity (mg CaCO3 L-1) ]]-stableGSBR[[#This Row],[Alkalinity 
(mg CaCO3 L-1) ]],0)&lt;0,0,IFERROR(Influent[[#This Row],[Alkalinity (mg CaCO3 L-1) ]]-stableGSBR[[#This Row],[Alkalinity 
(mg CaCO3 L-1) ]],0))</f>
        <v>4514</v>
      </c>
      <c r="AI82" s="20">
        <f>Influent[[#This Row],[COD (mg L-1)]]/stableGSBR[[#This Row],[HRT 
(h)]]*24/1000</f>
        <v>1.6090909090909089</v>
      </c>
      <c r="AJ82" s="6">
        <f>IFERROR(IF(((stableGSBR[[#This Row],[ΔC (mg L-1)]])/stableGSBR[[#This Row],[HRT 
(h)]]*24/1000) &lt;0,0, (stableGSBR[[#This Row],[ΔC (mg L-1)]])/stableGSBR[[#This Row],[HRT 
(h)]]*24/1000),0)</f>
        <v>0.97363636363636374</v>
      </c>
      <c r="AK82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0.62021454545454535</v>
      </c>
      <c r="AL82" s="6">
        <f>Influent[[#This Row],[TN (mg L-1)]]/stableGSBR[[#This Row],[HRT 
(h)]]*24/1000</f>
        <v>0.77046000000000003</v>
      </c>
      <c r="AM82" s="6"/>
      <c r="AN82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0.80510652760371304</v>
      </c>
      <c r="AO82" s="26"/>
      <c r="AP82" s="4"/>
      <c r="AQ82" s="21"/>
      <c r="AR82" s="6">
        <f>stableGSBR[[#This Row],[NH4-N 
(mg L-1)]]-20</f>
        <v>255.25</v>
      </c>
      <c r="AS82" s="6">
        <f>stableGSBR[[#This Row],[Ammonia residual to reach target]]*2.9</f>
        <v>740.22500000000002</v>
      </c>
      <c r="AT82" s="6">
        <f>stableGSBR[[#This Row],[Alkalinity 
(mg CaCO3 L-1) ]]-70-stableGSBR[[#This Row],[Alkalinity need]]</f>
        <v>-431.22500000000002</v>
      </c>
      <c r="AU82" s="4"/>
    </row>
    <row r="83" spans="1:47" x14ac:dyDescent="0.3">
      <c r="A83" s="128">
        <v>43406</v>
      </c>
      <c r="B83" s="29">
        <v>80</v>
      </c>
      <c r="C83" s="28">
        <f>Information!$R$54/stableGSBR[[#This Row],[HRT 
(h)]]*24</f>
        <v>9.9173553719008267E-2</v>
      </c>
      <c r="D83" s="27">
        <v>48.4</v>
      </c>
      <c r="E83" s="42">
        <v>28.9</v>
      </c>
      <c r="F83" s="42">
        <v>7.5</v>
      </c>
      <c r="G83" s="42">
        <v>0.6</v>
      </c>
      <c r="H83" s="42">
        <v>2.9</v>
      </c>
      <c r="I83" s="42">
        <v>12.6</v>
      </c>
      <c r="J83" s="27"/>
      <c r="K83" s="27"/>
      <c r="L83" s="29">
        <v>1370</v>
      </c>
      <c r="M83" s="29">
        <f>stableGSBR[[#This Row],[COD 
(mg L-1)]]*Information!$AK$43</f>
        <v>1096</v>
      </c>
      <c r="N83" s="29">
        <v>377</v>
      </c>
      <c r="O83" s="29">
        <v>7.6</v>
      </c>
      <c r="P83" s="29">
        <v>30</v>
      </c>
      <c r="R83" s="29">
        <v>7.07</v>
      </c>
      <c r="S83" s="29">
        <v>247</v>
      </c>
      <c r="T83" s="4">
        <f>stableGSBR[[#This Row],[NH4-N 
(mg L-1)]]*1.288</f>
        <v>347.05160000000001</v>
      </c>
      <c r="U83" s="20">
        <f>stableGSBR[[#This Row],[NO2-N 
(mg L-1)]]*3.284</f>
        <v>0</v>
      </c>
      <c r="V83" s="6">
        <f>(stableGSBR[[#This Row],[NO3-N 
(mg L-1)]])*4.426</f>
        <v>0</v>
      </c>
      <c r="W83" s="6">
        <v>269.45</v>
      </c>
      <c r="Y83" s="6"/>
      <c r="Z83" s="4"/>
      <c r="AA83" s="23"/>
      <c r="AB83" s="48"/>
      <c r="AC83" s="48"/>
      <c r="AD83" s="20"/>
      <c r="AE83" s="19"/>
      <c r="AF83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1173.25</v>
      </c>
      <c r="AG83" s="19">
        <f>IFERROR(IF(Influent[[#This Row],[COD (mg L-1)]]-MEDIA[[#This Row],[COD 
(mg L-1)]]&lt;0,0,Influent[[#This Row],[COD (mg L-1)]]-MEDIA[[#This Row],[COD 
(mg L-1)]]),0)</f>
        <v>1665</v>
      </c>
      <c r="AH83" s="4">
        <f>IF(IFERROR(Influent[[#This Row],[Alkalinity (mg CaCO3 L-1) ]]-stableGSBR[[#This Row],[Alkalinity 
(mg CaCO3 L-1) ]],0)&lt;0,0,IFERROR(Influent[[#This Row],[Alkalinity (mg CaCO3 L-1) ]]-stableGSBR[[#This Row],[Alkalinity 
(mg CaCO3 L-1) ]],0))</f>
        <v>4476</v>
      </c>
      <c r="AI83" s="20">
        <f>Influent[[#This Row],[COD (mg L-1)]]/stableGSBR[[#This Row],[HRT 
(h)]]*24/1000</f>
        <v>1.4652892561983473</v>
      </c>
      <c r="AJ83" s="6">
        <f>IFERROR(IF(((stableGSBR[[#This Row],[ΔC (mg L-1)]])/stableGSBR[[#This Row],[HRT 
(h)]]*24/1000) &lt;0,0, (stableGSBR[[#This Row],[ΔC (mg L-1)]])/stableGSBR[[#This Row],[HRT 
(h)]]*24/1000),0)</f>
        <v>0.82561983471074385</v>
      </c>
      <c r="AK83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0.58177685950413227</v>
      </c>
      <c r="AL83" s="6">
        <f>Influent[[#This Row],[TN (mg L-1)]]/stableGSBR[[#This Row],[HRT 
(h)]]*24/1000</f>
        <v>0.7154876033057852</v>
      </c>
      <c r="AM83" s="6"/>
      <c r="AN83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0.81323213419283291</v>
      </c>
      <c r="AO83" s="26"/>
      <c r="AP83" s="4"/>
      <c r="AQ83" s="21"/>
      <c r="AR83" s="6">
        <f>stableGSBR[[#This Row],[NH4-N 
(mg L-1)]]-20</f>
        <v>249.45</v>
      </c>
      <c r="AS83" s="6">
        <f>stableGSBR[[#This Row],[Ammonia residual to reach target]]*2.9</f>
        <v>723.40499999999997</v>
      </c>
      <c r="AT83" s="6">
        <f>stableGSBR[[#This Row],[Alkalinity 
(mg CaCO3 L-1) ]]-70-stableGSBR[[#This Row],[Alkalinity need]]</f>
        <v>-416.40499999999997</v>
      </c>
      <c r="AU83" s="4"/>
    </row>
    <row r="84" spans="1:47" x14ac:dyDescent="0.3">
      <c r="A84" s="128">
        <v>43407</v>
      </c>
      <c r="B84" s="29">
        <v>81</v>
      </c>
      <c r="C84" s="28">
        <f>Information!$R$54/stableGSBR[[#This Row],[HRT 
(h)]]*24</f>
        <v>9.9378881987577647E-2</v>
      </c>
      <c r="D84" s="27">
        <v>48.3</v>
      </c>
      <c r="E84" s="42">
        <v>29.2</v>
      </c>
      <c r="F84" s="42">
        <v>7.5</v>
      </c>
      <c r="G84" s="42">
        <v>0.5</v>
      </c>
      <c r="H84" s="42">
        <v>2.5</v>
      </c>
      <c r="I84" s="42">
        <v>11.7</v>
      </c>
      <c r="J84" s="27"/>
      <c r="K84" s="27"/>
      <c r="L84" s="29">
        <v>1380</v>
      </c>
      <c r="M84" s="29">
        <f>stableGSBR[[#This Row],[COD 
(mg L-1)]]*Information!$AK$43</f>
        <v>1104</v>
      </c>
      <c r="N84" s="29">
        <v>373</v>
      </c>
      <c r="O84" s="29">
        <v>7.6</v>
      </c>
      <c r="P84" s="29">
        <v>39</v>
      </c>
      <c r="R84" s="29">
        <v>7.14</v>
      </c>
      <c r="S84" s="29">
        <v>234.9</v>
      </c>
      <c r="T84" s="4">
        <f>stableGSBR[[#This Row],[NH4-N 
(mg L-1)]]*1.288</f>
        <v>340.56008000000003</v>
      </c>
      <c r="U84" s="20">
        <f>stableGSBR[[#This Row],[NO2-N 
(mg L-1)]]*3.284</f>
        <v>0</v>
      </c>
      <c r="V84" s="6">
        <f>(stableGSBR[[#This Row],[NO3-N 
(mg L-1)]])*4.426</f>
        <v>0</v>
      </c>
      <c r="W84" s="6">
        <v>264.41000000000003</v>
      </c>
      <c r="Y84" s="6"/>
      <c r="Z84" s="4"/>
      <c r="AA84" s="23"/>
      <c r="AB84" s="48"/>
      <c r="AC84" s="48"/>
      <c r="AD84" s="20"/>
      <c r="AE84" s="19"/>
      <c r="AF84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1142.6899999999998</v>
      </c>
      <c r="AG84" s="19">
        <f>IFERROR(IF(Influent[[#This Row],[COD (mg L-1)]]-MEDIA[[#This Row],[COD 
(mg L-1)]]&lt;0,0,Influent[[#This Row],[COD (mg L-1)]]-MEDIA[[#This Row],[COD 
(mg L-1)]]),0)</f>
        <v>1515</v>
      </c>
      <c r="AH84" s="4">
        <f>IF(IFERROR(Influent[[#This Row],[Alkalinity (mg CaCO3 L-1) ]]-stableGSBR[[#This Row],[Alkalinity 
(mg CaCO3 L-1) ]],0)&lt;0,0,IFERROR(Influent[[#This Row],[Alkalinity (mg CaCO3 L-1) ]]-stableGSBR[[#This Row],[Alkalinity 
(mg CaCO3 L-1) ]],0))</f>
        <v>4502</v>
      </c>
      <c r="AI84" s="20">
        <f>Influent[[#This Row],[COD (mg L-1)]]/stableGSBR[[#This Row],[HRT 
(h)]]*24/1000</f>
        <v>1.493167701863354</v>
      </c>
      <c r="AJ84" s="6">
        <f>IFERROR(IF(((stableGSBR[[#This Row],[ΔC (mg L-1)]])/stableGSBR[[#This Row],[HRT 
(h)]]*24/1000) &lt;0,0, (stableGSBR[[#This Row],[ΔC (mg L-1)]])/stableGSBR[[#This Row],[HRT 
(h)]]*24/1000),0)</f>
        <v>0.75279503105590073</v>
      </c>
      <c r="AK84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0.56779627329192539</v>
      </c>
      <c r="AL84" s="6">
        <f>Influent[[#This Row],[TN (mg L-1)]]/stableGSBR[[#This Row],[HRT 
(h)]]*24/1000</f>
        <v>0.69927950310559006</v>
      </c>
      <c r="AM84" s="6"/>
      <c r="AN84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0.81208869305664122</v>
      </c>
      <c r="AO84" s="26"/>
      <c r="AP84" s="4"/>
      <c r="AQ84" s="21"/>
      <c r="AR84" s="6">
        <f>stableGSBR[[#This Row],[NH4-N 
(mg L-1)]]-20</f>
        <v>244.41000000000003</v>
      </c>
      <c r="AS84" s="6">
        <f>stableGSBR[[#This Row],[Ammonia residual to reach target]]*2.9</f>
        <v>708.7890000000001</v>
      </c>
      <c r="AT84" s="6">
        <f>stableGSBR[[#This Row],[Alkalinity 
(mg CaCO3 L-1) ]]-70-stableGSBR[[#This Row],[Alkalinity need]]</f>
        <v>-405.7890000000001</v>
      </c>
      <c r="AU84" s="4"/>
    </row>
    <row r="85" spans="1:47" x14ac:dyDescent="0.3">
      <c r="A85" s="128">
        <v>43408</v>
      </c>
      <c r="B85" s="29">
        <v>82</v>
      </c>
      <c r="C85" s="28"/>
      <c r="D85" s="27"/>
      <c r="E85" s="42"/>
      <c r="F85" s="42"/>
      <c r="G85" s="42"/>
      <c r="H85" s="42"/>
      <c r="I85" s="42"/>
      <c r="J85" s="27"/>
      <c r="K85" s="27"/>
      <c r="T85" s="4"/>
      <c r="U85" s="20"/>
      <c r="V85" s="6"/>
      <c r="W85" s="6"/>
      <c r="Y85" s="6"/>
      <c r="Z85" s="4"/>
      <c r="AA85" s="23"/>
      <c r="AB85" s="48"/>
      <c r="AC85" s="48"/>
      <c r="AD85" s="20"/>
      <c r="AE85" s="19"/>
      <c r="AF85" s="129"/>
      <c r="AG85" s="19"/>
      <c r="AH85" s="4"/>
      <c r="AI85" s="20"/>
      <c r="AJ85" s="6"/>
      <c r="AK85" s="6"/>
      <c r="AL85" s="6"/>
      <c r="AM85" s="6"/>
      <c r="AN85" s="26"/>
      <c r="AO85" s="26"/>
      <c r="AP85" s="4"/>
      <c r="AQ85" s="21"/>
      <c r="AR85" s="6"/>
      <c r="AS85" s="6"/>
      <c r="AT85" s="6"/>
      <c r="AU85" s="4"/>
    </row>
    <row r="86" spans="1:47" x14ac:dyDescent="0.3">
      <c r="A86" s="128">
        <v>43409</v>
      </c>
      <c r="B86" s="29">
        <v>83</v>
      </c>
      <c r="C86" s="28"/>
      <c r="D86" s="27"/>
      <c r="E86" s="42"/>
      <c r="F86" s="42"/>
      <c r="G86" s="42"/>
      <c r="H86" s="42"/>
      <c r="I86" s="42"/>
      <c r="J86" s="27">
        <v>4880</v>
      </c>
      <c r="K86" s="27">
        <v>1710</v>
      </c>
      <c r="T86" s="4"/>
      <c r="U86" s="20"/>
      <c r="V86" s="6"/>
      <c r="W86" s="6"/>
      <c r="Y86" s="6"/>
      <c r="Z86" s="4"/>
      <c r="AA86" s="23"/>
      <c r="AB86" s="48"/>
      <c r="AC86" s="48"/>
      <c r="AD86" s="20"/>
      <c r="AE86" s="19"/>
      <c r="AF86" s="129"/>
      <c r="AG86" s="19"/>
      <c r="AH86" s="4"/>
      <c r="AI86" s="20"/>
      <c r="AJ86" s="6"/>
      <c r="AK86" s="6"/>
      <c r="AL86" s="6"/>
      <c r="AM86" s="6"/>
      <c r="AN86" s="26"/>
      <c r="AO86" s="26"/>
      <c r="AP86" s="4"/>
      <c r="AQ86" s="21"/>
      <c r="AR86" s="6"/>
      <c r="AS86" s="6"/>
      <c r="AT86" s="6"/>
      <c r="AU86" s="4"/>
    </row>
    <row r="87" spans="1:47" x14ac:dyDescent="0.3">
      <c r="A87" s="128">
        <v>43410</v>
      </c>
      <c r="B87" s="29">
        <v>84</v>
      </c>
      <c r="C87" s="28"/>
      <c r="D87" s="27"/>
      <c r="E87" s="42"/>
      <c r="F87" s="42"/>
      <c r="G87" s="42"/>
      <c r="H87" s="42"/>
      <c r="I87" s="42"/>
      <c r="J87" s="27"/>
      <c r="K87" s="27"/>
      <c r="T87" s="4"/>
      <c r="U87" s="20"/>
      <c r="V87" s="6"/>
      <c r="W87" s="6"/>
      <c r="Y87" s="6"/>
      <c r="Z87" s="4"/>
      <c r="AA87" s="23"/>
      <c r="AB87" s="48"/>
      <c r="AC87" s="48"/>
      <c r="AD87" s="20"/>
      <c r="AE87" s="19"/>
      <c r="AF87" s="129"/>
      <c r="AG87" s="19"/>
      <c r="AH87" s="4"/>
      <c r="AI87" s="20"/>
      <c r="AJ87" s="6"/>
      <c r="AK87" s="6"/>
      <c r="AL87" s="6"/>
      <c r="AM87" s="6"/>
      <c r="AN87" s="26"/>
      <c r="AO87" s="26"/>
      <c r="AP87" s="4"/>
      <c r="AQ87" s="21"/>
      <c r="AR87" s="6"/>
      <c r="AS87" s="6"/>
      <c r="AT87" s="6"/>
      <c r="AU87" s="4"/>
    </row>
    <row r="88" spans="1:47" x14ac:dyDescent="0.3">
      <c r="A88" s="128">
        <v>43411</v>
      </c>
      <c r="B88" s="29">
        <v>85</v>
      </c>
      <c r="C88" s="28"/>
      <c r="D88" s="27"/>
      <c r="E88" s="42"/>
      <c r="F88" s="42"/>
      <c r="G88" s="42"/>
      <c r="H88" s="42"/>
      <c r="I88" s="42"/>
      <c r="J88" s="27"/>
      <c r="K88" s="27"/>
      <c r="T88" s="4"/>
      <c r="U88" s="20"/>
      <c r="V88" s="6"/>
      <c r="W88" s="6"/>
      <c r="Y88" s="6"/>
      <c r="Z88" s="4"/>
      <c r="AA88" s="23"/>
      <c r="AB88" s="48"/>
      <c r="AC88" s="48"/>
      <c r="AD88" s="20"/>
      <c r="AE88" s="19"/>
      <c r="AF88" s="129"/>
      <c r="AG88" s="19"/>
      <c r="AH88" s="4"/>
      <c r="AI88" s="20"/>
      <c r="AJ88" s="6"/>
      <c r="AK88" s="6"/>
      <c r="AL88" s="6"/>
      <c r="AM88" s="6"/>
      <c r="AN88" s="26"/>
      <c r="AO88" s="26"/>
      <c r="AP88" s="4"/>
      <c r="AQ88" s="21"/>
      <c r="AR88" s="6"/>
      <c r="AS88" s="6"/>
      <c r="AT88" s="6"/>
      <c r="AU88" s="4"/>
    </row>
    <row r="89" spans="1:47" x14ac:dyDescent="0.3">
      <c r="A89" s="128">
        <v>43412</v>
      </c>
      <c r="B89" s="29">
        <v>86</v>
      </c>
      <c r="C89" s="28">
        <f>Information!$R$54/stableGSBR[[#This Row],[HRT 
(h)]]*24</f>
        <v>0.15047021943573669</v>
      </c>
      <c r="D89" s="27">
        <v>31.9</v>
      </c>
      <c r="E89" s="42">
        <v>33.299999999999997</v>
      </c>
      <c r="F89" s="42">
        <v>7.5</v>
      </c>
      <c r="G89" s="42">
        <v>0.8</v>
      </c>
      <c r="H89" s="42">
        <v>1.6</v>
      </c>
      <c r="I89" s="42">
        <v>34.5</v>
      </c>
      <c r="J89" s="27">
        <v>4820</v>
      </c>
      <c r="K89" s="27">
        <v>1850</v>
      </c>
      <c r="L89" s="29">
        <v>1310</v>
      </c>
      <c r="M89" s="29">
        <f>stableGSBR[[#This Row],[COD 
(mg L-1)]]*Information!$AK$43</f>
        <v>1048</v>
      </c>
      <c r="N89" s="29">
        <v>401</v>
      </c>
      <c r="O89" s="29">
        <v>7.5</v>
      </c>
      <c r="R89" s="29">
        <v>7.48</v>
      </c>
      <c r="S89" s="29">
        <v>31</v>
      </c>
      <c r="T89" s="4">
        <f>stableGSBR[[#This Row],[NH4-N 
(mg L-1)]]*1.288</f>
        <v>138.67896000000002</v>
      </c>
      <c r="U89" s="20">
        <f>stableGSBR[[#This Row],[NO2-N 
(mg L-1)]]*3.284</f>
        <v>14.177028</v>
      </c>
      <c r="V89" s="6">
        <f>(stableGSBR[[#This Row],[NO3-N 
(mg L-1)]])*4.426</f>
        <v>118.09895800000001</v>
      </c>
      <c r="W89" s="6">
        <v>107.67</v>
      </c>
      <c r="X89" s="29">
        <v>4.3170000000000002</v>
      </c>
      <c r="Y89" s="6">
        <f>IF((stableGSBR[[#This Row],[TON 
(mg L-1)]]-stableGSBR[[#This Row],[NO2-N 
(mg L-1)]])&lt;0,0.2,(stableGSBR[[#This Row],[TON 
(mg L-1)]]-stableGSBR[[#This Row],[NO2-N 
(mg L-1)]]))</f>
        <v>26.683</v>
      </c>
      <c r="Z89" s="4">
        <f>SUM(stableGSBR[[#This Row],[NO3-N 
(mg L-1)]],stableGSBR[[#This Row],[NO2-N 
(mg L-1)]],stableGSBR[[#This Row],[NH4-N 
(mg L-1)]])</f>
        <v>138.67000000000002</v>
      </c>
      <c r="AA89" s="23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2.5448008163810286E-2</v>
      </c>
      <c r="AB89" s="48">
        <f>IF(IFERROR(stableGSBR[[#This Row],[NO2-N 
(mg L-1)]]/stableGSBR[[#This Row],[NH4-N 
(mg L-1)]],0)&lt;0,0,IFERROR(stableGSBR[[#This Row],[NO2-N 
(mg L-1)]]/stableGSBR[[#This Row],[NH4-N 
(mg L-1)]],0))</f>
        <v>4.0094733909166902E-2</v>
      </c>
      <c r="AC89" s="48">
        <f>stableGSBR[[#This Row],[NO2-N 
(mg L-1)]]/(stableGSBR[[#This Row],[NO2-N 
(mg L-1)]]+stableGSBR[[#This Row],[NO3-N 
(mg L-1)]])</f>
        <v>0.13925806451612904</v>
      </c>
      <c r="AD89" s="20">
        <f>46/14*stableGSBR[[#This Row],[NO2-N 
(mg L-1)]]/(EXP(-2300/(stableGSBR[[#This Row],[Temp. 
(°C)]]+273))*10^(stableGSBR[[#This Row],[pHreactor]]))</f>
        <v>8.183132994821899E-4</v>
      </c>
      <c r="AE89" s="19">
        <f>17/14*(stableGSBR[[#This Row],[NH4+ (mg L-1)]]*10^stableGSBR[[#This Row],[pHreactor]])/(EXP(6344/(273+stableGSBR[[#This Row],[Temp. 
(°C)]]))+10^stableGSBR[pHreactor])</f>
        <v>5.2199944239962734</v>
      </c>
      <c r="AF89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1017.53</v>
      </c>
      <c r="AG89" s="19">
        <f>IFERROR(IF(Influent[[#This Row],[COD (mg L-1)]]-MEDIA[[#This Row],[COD 
(mg L-1)]]&lt;0,0,Influent[[#This Row],[COD (mg L-1)]]-MEDIA[[#This Row],[COD 
(mg L-1)]]),0)</f>
        <v>0</v>
      </c>
      <c r="AH89" s="4">
        <f>IF(IFERROR(Influent[[#This Row],[Alkalinity (mg CaCO3 L-1) ]]-stableGSBR[[#This Row],[Alkalinity 
(mg CaCO3 L-1) ]],0)&lt;0,0,IFERROR(Influent[[#This Row],[Alkalinity (mg CaCO3 L-1) ]]-stableGSBR[[#This Row],[Alkalinity 
(mg CaCO3 L-1) ]],0))</f>
        <v>4008</v>
      </c>
      <c r="AI89" s="20"/>
      <c r="AJ89" s="6"/>
      <c r="AK89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0.78886269592476488</v>
      </c>
      <c r="AL89" s="6">
        <f>Influent[[#This Row],[TN (mg L-1)]]/stableGSBR[[#This Row],[HRT 
(h)]]*24/1000</f>
        <v>0.87129780564263326</v>
      </c>
      <c r="AM89" s="6">
        <f>stableGSBR[[#This Row],[NLR 
(kg N m-3 d-1)]]*stableGSBR[[#This Row],[NRE 
(%)]]</f>
        <v>0.76696927899686518</v>
      </c>
      <c r="AN89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0.90687597301504919</v>
      </c>
      <c r="AO89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0.8802607719540626</v>
      </c>
      <c r="AP89" s="4"/>
      <c r="AQ89" s="21"/>
      <c r="AR89" s="6">
        <f>stableGSBR[[#This Row],[NH4-N 
(mg L-1)]]-20</f>
        <v>87.67</v>
      </c>
      <c r="AS89" s="6">
        <f>stableGSBR[[#This Row],[Ammonia residual to reach target]]*2.9</f>
        <v>254.24299999999999</v>
      </c>
      <c r="AT89" s="6">
        <f>stableGSBR[[#This Row],[Alkalinity 
(mg CaCO3 L-1) ]]-70-stableGSBR[[#This Row],[Alkalinity need]]</f>
        <v>76.757000000000005</v>
      </c>
      <c r="AU89" s="4"/>
    </row>
    <row r="90" spans="1:47" x14ac:dyDescent="0.3">
      <c r="A90" s="128">
        <v>43413</v>
      </c>
      <c r="B90" s="29">
        <v>87</v>
      </c>
      <c r="C90" s="28">
        <f>Information!$R$54/stableGSBR[[#This Row],[HRT 
(h)]]*24</f>
        <v>0.16326530612244899</v>
      </c>
      <c r="D90" s="27">
        <v>29.4</v>
      </c>
      <c r="E90" s="42">
        <v>32.9</v>
      </c>
      <c r="F90" s="42">
        <v>7.5</v>
      </c>
      <c r="G90" s="42">
        <v>0.9</v>
      </c>
      <c r="H90" s="42">
        <v>1.8</v>
      </c>
      <c r="I90" s="42">
        <v>99.9</v>
      </c>
      <c r="J90" s="27"/>
      <c r="K90" s="27"/>
      <c r="L90" s="29">
        <v>1390</v>
      </c>
      <c r="M90" s="29">
        <f>stableGSBR[[#This Row],[COD 
(mg L-1)]]*Information!$AK$43</f>
        <v>1112</v>
      </c>
      <c r="N90" s="29">
        <v>472</v>
      </c>
      <c r="O90" s="29">
        <v>7.5</v>
      </c>
      <c r="R90" s="29">
        <v>8.1300000000000008</v>
      </c>
      <c r="S90" s="29">
        <v>32.4</v>
      </c>
      <c r="T90" s="4">
        <f>stableGSBR[[#This Row],[NH4-N 
(mg L-1)]]*1.288</f>
        <v>168.3416</v>
      </c>
      <c r="U90" s="20">
        <f>stableGSBR[[#This Row],[NO2-N 
(mg L-1)]]*3.284</f>
        <v>16.945439999999998</v>
      </c>
      <c r="V90" s="6">
        <f>(stableGSBR[[#This Row],[NO3-N 
(mg L-1)]])*4.426</f>
        <v>120.56424</v>
      </c>
      <c r="W90" s="6">
        <v>130.69999999999999</v>
      </c>
      <c r="X90" s="29">
        <v>5.16</v>
      </c>
      <c r="Y90" s="6">
        <f>IF((stableGSBR[[#This Row],[TON 
(mg L-1)]]-stableGSBR[[#This Row],[NO2-N 
(mg L-1)]])&lt;0,0.2,(stableGSBR[[#This Row],[TON 
(mg L-1)]]-stableGSBR[[#This Row],[NO2-N 
(mg L-1)]]))</f>
        <v>27.24</v>
      </c>
      <c r="Z90" s="4">
        <f>SUM(stableGSBR[[#This Row],[NO3-N 
(mg L-1)]],stableGSBR[[#This Row],[NO2-N 
(mg L-1)]],stableGSBR[[#This Row],[NH4-N 
(mg L-1)]])</f>
        <v>163.1</v>
      </c>
      <c r="AA90" s="23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2.3511134127395132E-2</v>
      </c>
      <c r="AB90" s="48">
        <f>IF(IFERROR(stableGSBR[[#This Row],[NO2-N 
(mg L-1)]]/stableGSBR[[#This Row],[NH4-N 
(mg L-1)]],0)&lt;0,0,IFERROR(stableGSBR[[#This Row],[NO2-N 
(mg L-1)]]/stableGSBR[[#This Row],[NH4-N 
(mg L-1)]],0))</f>
        <v>3.9479724560061213E-2</v>
      </c>
      <c r="AC90" s="48">
        <f>stableGSBR[[#This Row],[NO2-N 
(mg L-1)]]/(stableGSBR[[#This Row],[NO2-N 
(mg L-1)]]+stableGSBR[[#This Row],[NO3-N 
(mg L-1)]])</f>
        <v>0.15925925925925927</v>
      </c>
      <c r="AD90" s="20">
        <f>46/14*stableGSBR[[#This Row],[NO2-N 
(mg L-1)]]/(EXP(-2300/(stableGSBR[[#This Row],[Temp. 
(°C)]]+273))*10^(stableGSBR[[#This Row],[pHreactor]]))</f>
        <v>9.8776024308574279E-4</v>
      </c>
      <c r="AE90" s="19">
        <f>17/14*(stableGSBR[[#This Row],[NH4+ (mg L-1)]]*10^stableGSBR[[#This Row],[pHreactor]])/(EXP(6344/(273+stableGSBR[[#This Row],[Temp. 
(°C)]]))+10^stableGSBR[pHreactor])</f>
        <v>6.172324875992512</v>
      </c>
      <c r="AF90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1126.2</v>
      </c>
      <c r="AG90" s="19">
        <f>IFERROR(IF(Influent[[#This Row],[COD (mg L-1)]]-MEDIA[[#This Row],[COD 
(mg L-1)]]&lt;0,0,Influent[[#This Row],[COD (mg L-1)]]-MEDIA[[#This Row],[COD 
(mg L-1)]]),0)</f>
        <v>0</v>
      </c>
      <c r="AH90" s="4">
        <f>IF(IFERROR(Influent[[#This Row],[Alkalinity (mg CaCO3 L-1) ]]-stableGSBR[[#This Row],[Alkalinity 
(mg CaCO3 L-1) ]],0)&lt;0,0,IFERROR(Influent[[#This Row],[Alkalinity (mg CaCO3 L-1) ]]-stableGSBR[[#This Row],[Alkalinity 
(mg CaCO3 L-1) ]],0))</f>
        <v>3827</v>
      </c>
      <c r="AI90" s="20"/>
      <c r="AJ90" s="6"/>
      <c r="AK90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0.945795918367347</v>
      </c>
      <c r="AL90" s="6">
        <f>Influent[[#This Row],[TN (mg L-1)]]/stableGSBR[[#This Row],[HRT 
(h)]]*24/1000</f>
        <v>1.0853061224489795</v>
      </c>
      <c r="AM90" s="6">
        <f>stableGSBR[[#This Row],[NLR 
(kg N m-3 d-1)]]*stableGSBR[[#This Row],[NRE 
(%)]]</f>
        <v>0.9521632653061225</v>
      </c>
      <c r="AN90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0.89862716202590553</v>
      </c>
      <c r="AO90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0.87732230161714941</v>
      </c>
      <c r="AP90" s="4"/>
      <c r="AQ90" s="21"/>
      <c r="AR90" s="6">
        <f>stableGSBR[[#This Row],[NH4-N 
(mg L-1)]]-20</f>
        <v>110.69999999999999</v>
      </c>
      <c r="AS90" s="6">
        <f>stableGSBR[[#This Row],[Ammonia residual to reach target]]*2.9</f>
        <v>321.02999999999997</v>
      </c>
      <c r="AT90" s="6">
        <f>stableGSBR[[#This Row],[Alkalinity 
(mg CaCO3 L-1) ]]-70-stableGSBR[[#This Row],[Alkalinity need]]</f>
        <v>80.970000000000027</v>
      </c>
      <c r="AU90" s="4"/>
    </row>
    <row r="91" spans="1:47" x14ac:dyDescent="0.3">
      <c r="A91" s="128">
        <v>43414</v>
      </c>
      <c r="B91" s="29">
        <v>88</v>
      </c>
      <c r="C91" s="28">
        <f>Information!$R$54/stableGSBR[[#This Row],[HRT 
(h)]]*24</f>
        <v>0.11162790697674418</v>
      </c>
      <c r="D91" s="27">
        <v>43</v>
      </c>
      <c r="E91" s="42">
        <v>28.1</v>
      </c>
      <c r="F91" s="42">
        <v>7.5</v>
      </c>
      <c r="G91" s="42">
        <v>1.1000000000000001</v>
      </c>
      <c r="H91" s="42">
        <v>1.8</v>
      </c>
      <c r="I91" s="42">
        <v>159.30000000000001</v>
      </c>
      <c r="J91" s="27"/>
      <c r="K91" s="27"/>
      <c r="L91" s="29">
        <v>1325</v>
      </c>
      <c r="M91" s="29">
        <f>stableGSBR[[#This Row],[COD 
(mg L-1)]]*Information!$AK$43</f>
        <v>1060</v>
      </c>
      <c r="N91" s="29">
        <v>299</v>
      </c>
      <c r="O91" s="29">
        <v>7.5</v>
      </c>
      <c r="R91" s="29">
        <v>8.7799999999999994</v>
      </c>
      <c r="S91" s="29">
        <v>38.799999999999997</v>
      </c>
      <c r="T91" s="4">
        <f>stableGSBR[[#This Row],[NH4-N 
(mg L-1)]]*1.288</f>
        <v>146.87064000000001</v>
      </c>
      <c r="U91" s="20">
        <f>stableGSBR[[#This Row],[NO2-N 
(mg L-1)]]*3.284</f>
        <v>22.974864</v>
      </c>
      <c r="V91" s="6">
        <f>(stableGSBR[[#This Row],[NO3-N 
(mg L-1)]])*4.426</f>
        <v>140.76450399999999</v>
      </c>
      <c r="W91" s="6">
        <v>114.03</v>
      </c>
      <c r="X91" s="29">
        <v>6.9960000000000004</v>
      </c>
      <c r="Y91" s="6">
        <f>IF((stableGSBR[[#This Row],[TON 
(mg L-1)]]-stableGSBR[[#This Row],[NO2-N 
(mg L-1)]])&lt;0,0.2,(stableGSBR[[#This Row],[TON 
(mg L-1)]]-stableGSBR[[#This Row],[NO2-N 
(mg L-1)]]))</f>
        <v>31.803999999999995</v>
      </c>
      <c r="Z91" s="4">
        <f>SUM(stableGSBR[[#This Row],[NO3-N 
(mg L-1)]],stableGSBR[[#This Row],[NO2-N 
(mg L-1)]],stableGSBR[[#This Row],[NH4-N 
(mg L-1)]])</f>
        <v>152.82999999999998</v>
      </c>
      <c r="AA91" s="23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2.7302617459458989E-2</v>
      </c>
      <c r="AB91" s="48">
        <f>IF(IFERROR(stableGSBR[[#This Row],[NO2-N 
(mg L-1)]]/stableGSBR[[#This Row],[NH4-N 
(mg L-1)]],0)&lt;0,0,IFERROR(stableGSBR[[#This Row],[NO2-N 
(mg L-1)]]/stableGSBR[[#This Row],[NH4-N 
(mg L-1)]],0))</f>
        <v>6.1352275716916607E-2</v>
      </c>
      <c r="AC91" s="48">
        <f>stableGSBR[[#This Row],[NO2-N 
(mg L-1)]]/(stableGSBR[[#This Row],[NO2-N 
(mg L-1)]]+stableGSBR[[#This Row],[NO3-N 
(mg L-1)]])</f>
        <v>0.1803092783505155</v>
      </c>
      <c r="AD91" s="20">
        <f>46/14*stableGSBR[[#This Row],[NO2-N 
(mg L-1)]]/(EXP(-2300/(stableGSBR[[#This Row],[Temp. 
(°C)]]+273))*10^(stableGSBR[[#This Row],[pHreactor]]))</f>
        <v>1.5097558645192841E-3</v>
      </c>
      <c r="AE91" s="19">
        <f>17/14*(stableGSBR[[#This Row],[NH4+ (mg L-1)]]*10^stableGSBR[[#This Row],[pHreactor]])/(EXP(6344/(273+stableGSBR[[#This Row],[Temp. 
(°C)]]))+10^stableGSBR[pHreactor])</f>
        <v>3.9022783059751402</v>
      </c>
      <c r="AF91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1126.0700000000002</v>
      </c>
      <c r="AG91" s="19">
        <f>IFERROR(IF(Influent[[#This Row],[COD (mg L-1)]]-MEDIA[[#This Row],[COD 
(mg L-1)]]&lt;0,0,Influent[[#This Row],[COD (mg L-1)]]-MEDIA[[#This Row],[COD 
(mg L-1)]]),0)</f>
        <v>0</v>
      </c>
      <c r="AH91" s="4">
        <f>IF(IFERROR(Influent[[#This Row],[Alkalinity (mg CaCO3 L-1) ]]-stableGSBR[[#This Row],[Alkalinity 
(mg CaCO3 L-1) ]],0)&lt;0,0,IFERROR(Influent[[#This Row],[Alkalinity (mg CaCO3 L-1) ]]-stableGSBR[[#This Row],[Alkalinity 
(mg CaCO3 L-1) ]],0))</f>
        <v>3916</v>
      </c>
      <c r="AI91" s="20"/>
      <c r="AJ91" s="6"/>
      <c r="AK91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0.65016000000000007</v>
      </c>
      <c r="AL91" s="6">
        <f>Influent[[#This Row],[TN (mg L-1)]]/stableGSBR[[#This Row],[HRT 
(h)]]*24/1000</f>
        <v>0.71966511627906982</v>
      </c>
      <c r="AM91" s="6">
        <f>stableGSBR[[#This Row],[NLR 
(kg N m-3 d-1)]]*stableGSBR[[#This Row],[NRE 
(%)]]</f>
        <v>0.63436465116279073</v>
      </c>
      <c r="AN91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0.9108374384236454</v>
      </c>
      <c r="AO91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0.88147200248177449</v>
      </c>
      <c r="AP91" s="4"/>
      <c r="AQ91" s="21"/>
      <c r="AR91" s="6">
        <f>stableGSBR[[#This Row],[NH4-N 
(mg L-1)]]-20</f>
        <v>94.03</v>
      </c>
      <c r="AS91" s="6">
        <f>stableGSBR[[#This Row],[Ammonia residual to reach target]]*2.9</f>
        <v>272.68700000000001</v>
      </c>
      <c r="AT91" s="6">
        <f>stableGSBR[[#This Row],[Alkalinity 
(mg CaCO3 L-1) ]]-70-stableGSBR[[#This Row],[Alkalinity need]]</f>
        <v>-43.687000000000012</v>
      </c>
      <c r="AU91" s="4"/>
    </row>
    <row r="92" spans="1:47" x14ac:dyDescent="0.3">
      <c r="A92" s="128">
        <v>43415</v>
      </c>
      <c r="B92" s="29">
        <v>89</v>
      </c>
      <c r="C92" s="28">
        <f>Information!$R$54/stableGSBR[[#This Row],[HRT 
(h)]]*24</f>
        <v>0.1142857142857143</v>
      </c>
      <c r="D92" s="27">
        <v>42</v>
      </c>
      <c r="E92" s="42">
        <v>25.7</v>
      </c>
      <c r="F92" s="42">
        <v>7.6</v>
      </c>
      <c r="G92" s="42">
        <v>1.3</v>
      </c>
      <c r="H92" s="42">
        <v>1.9</v>
      </c>
      <c r="I92" s="42">
        <v>179.2</v>
      </c>
      <c r="J92" s="27"/>
      <c r="K92" s="27"/>
      <c r="L92" s="29">
        <v>1405</v>
      </c>
      <c r="M92" s="29">
        <f>stableGSBR[[#This Row],[COD 
(mg L-1)]]*Information!$AK$43</f>
        <v>1124</v>
      </c>
      <c r="N92" s="29">
        <v>274</v>
      </c>
      <c r="O92" s="29">
        <v>7.5</v>
      </c>
      <c r="R92" s="29">
        <v>9.44</v>
      </c>
      <c r="S92" s="29">
        <v>91.3</v>
      </c>
      <c r="T92" s="4">
        <f>stableGSBR[[#This Row],[NH4-N 
(mg L-1)]]*1.288</f>
        <v>153.34927999999999</v>
      </c>
      <c r="U92" s="20">
        <f>stableGSBR[[#This Row],[NO2-N 
(mg L-1)]]*3.284</f>
        <v>47.108980000000003</v>
      </c>
      <c r="V92" s="6">
        <f>(stableGSBR[[#This Row],[NO3-N 
(mg L-1)]])*4.426</f>
        <v>340.60282999999998</v>
      </c>
      <c r="W92" s="6">
        <v>119.06</v>
      </c>
      <c r="X92" s="29">
        <v>14.345000000000001</v>
      </c>
      <c r="Y92" s="6">
        <f>IF((stableGSBR[[#This Row],[TON 
(mg L-1)]]-stableGSBR[[#This Row],[NO2-N 
(mg L-1)]])&lt;0,0.2,(stableGSBR[[#This Row],[TON 
(mg L-1)]]-stableGSBR[[#This Row],[NO2-N 
(mg L-1)]]))</f>
        <v>76.954999999999998</v>
      </c>
      <c r="Z92" s="4">
        <f>SUM(stableGSBR[[#This Row],[NO3-N 
(mg L-1)]],stableGSBR[[#This Row],[NO2-N 
(mg L-1)]],stableGSBR[[#This Row],[NH4-N 
(mg L-1)]])</f>
        <v>210.36</v>
      </c>
      <c r="AA92" s="23">
        <f>IF(IFERROR(stableGSBR[[#This Row],[NO3-N 
(mg L-1)]]/(Influent[[#This Row],[NH4-N (mg L-1)]]-stableGSBR[[#This Row],[NH4-N 
(mg L-1)]]), 0)&lt;0,0,IFERROR(stableGSBR[[#This Row],[NO3-N 
(mg L-1)]]/(Influent[[#This Row],[NH4-N (mg L-1)]]-stableGSBR[[#This Row],[NH4-N 
(mg L-1)]]), 0))</f>
        <v>6.8153639052730391E-2</v>
      </c>
      <c r="AB92" s="48">
        <f>IF(IFERROR(stableGSBR[[#This Row],[NO2-N 
(mg L-1)]]/stableGSBR[[#This Row],[NH4-N 
(mg L-1)]],0)&lt;0,0,IFERROR(stableGSBR[[#This Row],[NO2-N 
(mg L-1)]]/stableGSBR[[#This Row],[NH4-N 
(mg L-1)]],0))</f>
        <v>0.12048546951117084</v>
      </c>
      <c r="AC92" s="48">
        <f>stableGSBR[[#This Row],[NO2-N 
(mg L-1)]]/(stableGSBR[[#This Row],[NO2-N 
(mg L-1)]]+stableGSBR[[#This Row],[NO3-N 
(mg L-1)]])</f>
        <v>0.15711938663745895</v>
      </c>
      <c r="AD92" s="20">
        <f>46/14*stableGSBR[[#This Row],[NO2-N 
(mg L-1)]]/(EXP(-2300/(stableGSBR[[#This Row],[Temp. 
(°C)]]+273))*10^(stableGSBR[[#This Row],[pHreactor]]))</f>
        <v>2.6146429969154785E-3</v>
      </c>
      <c r="AE92" s="19">
        <f>17/14*(stableGSBR[[#This Row],[NH4+ (mg L-1)]]*10^stableGSBR[[#This Row],[pHreactor]])/(EXP(6344/(273+stableGSBR[[#This Row],[Temp. 
(°C)]]))+10^stableGSBR[pHreactor])</f>
        <v>4.3246082671733159</v>
      </c>
      <c r="AF92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1037.8400000000001</v>
      </c>
      <c r="AG92" s="19">
        <f>IFERROR(IF(Influent[[#This Row],[COD (mg L-1)]]-MEDIA[[#This Row],[COD 
(mg L-1)]]&lt;0,0,Influent[[#This Row],[COD (mg L-1)]]-MEDIA[[#This Row],[COD 
(mg L-1)]]),0)</f>
        <v>0</v>
      </c>
      <c r="AH92" s="4">
        <f>IF(IFERROR(Influent[[#This Row],[Alkalinity (mg CaCO3 L-1) ]]-stableGSBR[[#This Row],[Alkalinity 
(mg CaCO3 L-1) ]],0)&lt;0,0,IFERROR(Influent[[#This Row],[Alkalinity (mg CaCO3 L-1) ]]-stableGSBR[[#This Row],[Alkalinity 
(mg CaCO3 L-1) ]],0))</f>
        <v>3874</v>
      </c>
      <c r="AI92" s="20"/>
      <c r="AJ92" s="6"/>
      <c r="AK92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0.64522285714285732</v>
      </c>
      <c r="AL92" s="6">
        <f>Influent[[#This Row],[TN (mg L-1)]]/stableGSBR[[#This Row],[HRT 
(h)]]*24/1000</f>
        <v>0.72874285714285714</v>
      </c>
      <c r="AM92" s="6">
        <f>stableGSBR[[#This Row],[NLR 
(kg N m-3 d-1)]]*stableGSBR[[#This Row],[NRE 
(%)]]</f>
        <v>0.60853714285714289</v>
      </c>
      <c r="AN92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0.90461464508892808</v>
      </c>
      <c r="AO92" s="26">
        <f>IFERROR(IF((Influent[[#This Row],[TN (mg L-1)]]-stableGSBR[[#This Row],[TN 
(mg L-1)]])/Influent[[#This Row],[TN (mg L-1)]]&lt;0,0,IF((Influent[[#This Row],[TN (mg L-1)]]-stableGSBR[[#This Row],[TN 
(mg L-1)]])/Influent[[#This Row],[TN (mg L-1)]]&gt;1,0.999,(Influent[[#This Row],[TN (mg L-1)]]-stableGSBR[[#This Row],[TN 
(mg L-1)]])/Influent[[#This Row],[TN (mg L-1)]])),0)</f>
        <v>0.83505057633498003</v>
      </c>
      <c r="AP92" s="4"/>
      <c r="AQ92" s="21"/>
      <c r="AR92" s="6">
        <f>stableGSBR[[#This Row],[NH4-N 
(mg L-1)]]-20</f>
        <v>99.06</v>
      </c>
      <c r="AS92" s="6">
        <f>stableGSBR[[#This Row],[Ammonia residual to reach target]]*2.9</f>
        <v>287.274</v>
      </c>
      <c r="AT92" s="6">
        <f>stableGSBR[[#This Row],[Alkalinity 
(mg CaCO3 L-1) ]]-70-stableGSBR[[#This Row],[Alkalinity need]]</f>
        <v>-83.274000000000001</v>
      </c>
      <c r="AU92" s="4"/>
    </row>
    <row r="93" spans="1:47" x14ac:dyDescent="0.3">
      <c r="A93" s="128">
        <v>43416</v>
      </c>
      <c r="B93" s="29">
        <v>90</v>
      </c>
      <c r="C93" s="28">
        <f>Information!$R$54/stableGSBR[[#This Row],[HRT 
(h)]]*24</f>
        <v>0.11162790697674418</v>
      </c>
      <c r="D93" s="27">
        <v>43</v>
      </c>
      <c r="E93" s="42">
        <v>24.4</v>
      </c>
      <c r="F93" s="42">
        <v>7.6</v>
      </c>
      <c r="G93" s="42">
        <v>1.3</v>
      </c>
      <c r="H93" s="42">
        <v>2</v>
      </c>
      <c r="I93" s="42">
        <v>182.3</v>
      </c>
      <c r="J93" s="27"/>
      <c r="K93" s="27"/>
      <c r="L93" s="29">
        <v>1410</v>
      </c>
      <c r="M93" s="29">
        <f>stableGSBR[[#This Row],[COD 
(mg L-1)]]*Information!$AK$43</f>
        <v>1128</v>
      </c>
      <c r="N93" s="29">
        <v>264</v>
      </c>
      <c r="O93" s="29">
        <v>7.2</v>
      </c>
      <c r="R93" s="29">
        <v>9.98</v>
      </c>
      <c r="S93" s="29">
        <v>102.8</v>
      </c>
      <c r="T93" s="4">
        <f>stableGSBR[[#This Row],[NH4-N 
(mg L-1)]]*1.288</f>
        <v>160.678</v>
      </c>
      <c r="U93" s="20">
        <f>stableGSBR[[#This Row],[NO2-N 
(mg L-1)]]*3.284</f>
        <v>0</v>
      </c>
      <c r="V93" s="6">
        <f>(stableGSBR[[#This Row],[NO3-N 
(mg L-1)]])*4.426</f>
        <v>0</v>
      </c>
      <c r="W93" s="6">
        <v>124.75</v>
      </c>
      <c r="Y93" s="6"/>
      <c r="Z93" s="4"/>
      <c r="AA93" s="23"/>
      <c r="AB93" s="48"/>
      <c r="AC93" s="48"/>
      <c r="AD93" s="20"/>
      <c r="AE93" s="19"/>
      <c r="AF93" s="129">
        <f>IF(IFERROR(Influent[[#This Row],[NH4-N (mg L-1)]]-(stableGSBR[[#This Row],[NH4-N 
(mg L-1)]]+stableGSBR[[#This Row],[NO3-N 
(mg L-1)]]+stableGSBR[[#This Row],[NO2-N 
(mg L-1)]]),0)&lt;0,0,IFERROR(Influent[[#This Row],[NH4-N (mg L-1)]]-(stableGSBR[[#This Row],[NH4-N 
(mg L-1)]]+stableGSBR[[#This Row],[NO3-N 
(mg L-1)]]+stableGSBR[[#This Row],[NO2-N 
(mg L-1)]]),0))</f>
        <v>1049.8499999999999</v>
      </c>
      <c r="AG93" s="19">
        <f>IFERROR(IF(Influent[[#This Row],[COD (mg L-1)]]-MEDIA[[#This Row],[COD 
(mg L-1)]]&lt;0,0,Influent[[#This Row],[COD (mg L-1)]]-MEDIA[[#This Row],[COD 
(mg L-1)]]),0)</f>
        <v>0</v>
      </c>
      <c r="AH93" s="4">
        <f>IF(IFERROR(Influent[[#This Row],[Alkalinity (mg CaCO3 L-1) ]]-stableGSBR[[#This Row],[Alkalinity 
(mg CaCO3 L-1) ]],0)&lt;0,0,IFERROR(Influent[[#This Row],[Alkalinity (mg CaCO3 L-1) ]]-stableGSBR[[#This Row],[Alkalinity 
(mg CaCO3 L-1) ]],0))</f>
        <v>3910</v>
      </c>
      <c r="AI93" s="20"/>
      <c r="AJ93" s="6"/>
      <c r="AK93" s="6">
        <f>IF(IFERROR((Influent[[#This Row],[NH4-N (mg L-1)]])*stableGSBR[[#This Row],[ARE 
(%)]]/stableGSBR[[#This Row],[HRT 
(h)]]*24/1000,0)&lt;0,0,IFERROR((Influent[[#This Row],[NH4-N (mg L-1)]])*stableGSBR[[#This Row],[ARE 
(%)]]/stableGSBR[[#This Row],[HRT 
(h)]]*24/1000,0))</f>
        <v>0.58596279069767432</v>
      </c>
      <c r="AL93" s="6">
        <f>Influent[[#This Row],[TN (mg L-1)]]/stableGSBR[[#This Row],[HRT 
(h)]]*24/1000</f>
        <v>0.67222325581395337</v>
      </c>
      <c r="AM93" s="6"/>
      <c r="AN93" s="26">
        <f>IFERROR(IF((Influent[[#This Row],[NH4-N (mg L-1)]]-stableGSBR[[#This Row],[NH4-N 
(mg L-1)]])/Influent[[#This Row],[NH4-N (mg L-1)]]&lt;0,0,IF((Influent[[#This Row],[NH4-N (mg L-1)]]-stableGSBR[[#This Row],[NH4-N 
(mg L-1)]])/Influent[[#This Row],[NH4-N (mg L-1)]]&gt;1,0.999,(Influent[[#This Row],[NH4-N (mg L-1)]]-stableGSBR[[#This Row],[NH4-N 
(mg L-1)]])/Influent[[#This Row],[NH4-N (mg L-1)]])),0)</f>
        <v>0.89379363187468075</v>
      </c>
      <c r="AO93" s="26"/>
      <c r="AP93" s="4"/>
      <c r="AQ93" s="21"/>
      <c r="AR93" s="6">
        <f>stableGSBR[[#This Row],[NH4-N 
(mg L-1)]]-20</f>
        <v>104.75</v>
      </c>
      <c r="AS93" s="6">
        <f>stableGSBR[[#This Row],[Ammonia residual to reach target]]*2.9</f>
        <v>303.77499999999998</v>
      </c>
      <c r="AT93" s="6">
        <f>stableGSBR[[#This Row],[Alkalinity 
(mg CaCO3 L-1) ]]-70-stableGSBR[[#This Row],[Alkalinity need]]</f>
        <v>-109.77499999999998</v>
      </c>
      <c r="AU93" s="4"/>
    </row>
  </sheetData>
  <mergeCells count="2">
    <mergeCell ref="C2:I2"/>
    <mergeCell ref="L2:Z2"/>
  </mergeCells>
  <conditionalFormatting sqref="A75:AT93 A4:AO74">
    <cfRule type="cellIs" dxfId="130" priority="8" operator="lessThanOrEqual">
      <formula>0</formula>
    </cfRule>
  </conditionalFormatting>
  <conditionalFormatting sqref="AP4:AT34 AP36:AT74">
    <cfRule type="cellIs" dxfId="129" priority="1" operator="lessThanOrEqual">
      <formula>0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greaterThanOrEqual" id="{90976204-926D-43D8-93DC-25DB7E541A90}">
            <xm:f>Information!$AK$48</xm:f>
            <x14:dxf>
              <font>
                <b/>
                <i/>
                <color theme="8"/>
              </font>
              <fill>
                <patternFill>
                  <bgColor theme="4" tint="0.79998168889431442"/>
                </patternFill>
              </fill>
            </x14:dxf>
          </x14:cfRule>
          <xm:sqref>AA4:AA93</xm:sqref>
        </x14:conditionalFormatting>
        <x14:conditionalFormatting xmlns:xm="http://schemas.microsoft.com/office/excel/2006/main">
          <x14:cfRule type="cellIs" priority="6" operator="greaterThanOrEqual" id="{9000433F-04F6-48FD-AD92-86A427BEDB71}">
            <xm:f>Information!$AK$49</xm:f>
            <x14:dxf>
              <font>
                <b/>
                <i/>
                <color theme="9" tint="-0.499984740745262"/>
              </font>
              <fill>
                <patternFill>
                  <bgColor theme="9" tint="0.79998168889431442"/>
                </patternFill>
              </fill>
            </x14:dxf>
          </x14:cfRule>
          <xm:sqref>AB4:AB93</xm:sqref>
        </x14:conditionalFormatting>
        <x14:conditionalFormatting xmlns:xm="http://schemas.microsoft.com/office/excel/2006/main">
          <x14:cfRule type="cellIs" priority="5" operator="greaterThanOrEqual" id="{94B9F1DE-6726-48B1-B5F6-06077F74D28D}">
            <xm:f>Information!$H$84</xm:f>
            <x14:dxf>
              <font>
                <b/>
                <i/>
                <color theme="7" tint="-0.499984740745262"/>
              </font>
              <fill>
                <patternFill>
                  <bgColor theme="7" tint="0.59996337778862885"/>
                </patternFill>
              </fill>
            </x14:dxf>
          </x14:cfRule>
          <xm:sqref>AD4:AD93</xm:sqref>
        </x14:conditionalFormatting>
        <x14:conditionalFormatting xmlns:xm="http://schemas.microsoft.com/office/excel/2006/main">
          <x14:cfRule type="cellIs" priority="3" operator="greaterThanOrEqual" id="{B8413C98-FBED-44E5-8EB2-9BE7DE81B42C}">
            <xm:f>Information!$B$83</xm:f>
            <x14:dxf>
              <font>
                <b/>
                <i/>
                <color theme="5" tint="-0.499984740745262"/>
              </font>
              <fill>
                <patternFill>
                  <bgColor theme="5" tint="0.79998168889431442"/>
                </patternFill>
              </fill>
            </x14:dxf>
          </x14:cfRule>
          <xm:sqref>AE4:AE93</xm:sqref>
        </x14:conditionalFormatting>
        <x14:conditionalFormatting xmlns:xm="http://schemas.microsoft.com/office/excel/2006/main">
          <x14:cfRule type="cellIs" priority="2" operator="greaterThanOrEqual" id="{6EC786E6-E8F5-49E6-B40D-9814865AF2D2}">
            <xm:f>Information!$Y$58</xm:f>
            <x14:dxf>
              <font>
                <b/>
                <i/>
                <color theme="4" tint="-0.499984740745262"/>
              </font>
              <fill>
                <patternFill>
                  <bgColor theme="4" tint="0.79998168889431442"/>
                </patternFill>
              </fill>
            </x14:dxf>
          </x14:cfRule>
          <xm:sqref>G4:G93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59999389629810485"/>
  </sheetPr>
  <dimension ref="A1:AO98"/>
  <sheetViews>
    <sheetView zoomScale="70" zoomScaleNormal="70" workbookViewId="0">
      <pane xSplit="2" ySplit="3" topLeftCell="Q80" activePane="bottomRight" state="frozen"/>
      <selection activeCell="W91" sqref="W91"/>
      <selection pane="topRight" activeCell="W91" sqref="W91"/>
      <selection pane="bottomLeft" activeCell="W91" sqref="W91"/>
      <selection pane="bottomRight" activeCell="AM4" sqref="AM4:AM93"/>
    </sheetView>
  </sheetViews>
  <sheetFormatPr defaultColWidth="8.88671875" defaultRowHeight="14.4" x14ac:dyDescent="0.3"/>
  <cols>
    <col min="1" max="1" width="14.5546875" style="29" customWidth="1"/>
    <col min="2" max="2" width="8.6640625" style="29" customWidth="1"/>
    <col min="3" max="4" width="9.109375" style="29" customWidth="1"/>
    <col min="5" max="5" width="9.5546875" style="29" customWidth="1"/>
    <col min="6" max="8" width="9.44140625" style="29" customWidth="1"/>
    <col min="9" max="9" width="11.88671875" style="29" customWidth="1"/>
    <col min="10" max="10" width="11.5546875" style="29" customWidth="1"/>
    <col min="11" max="11" width="13.33203125" style="29" customWidth="1"/>
    <col min="12" max="12" width="12.77734375" style="29" customWidth="1"/>
    <col min="13" max="14" width="8.6640625" style="29" customWidth="1"/>
    <col min="15" max="16" width="11" style="29" customWidth="1"/>
    <col min="17" max="17" width="14.5546875" style="29" customWidth="1"/>
    <col min="18" max="19" width="9.88671875" style="29" customWidth="1"/>
    <col min="20" max="20" width="8.88671875" style="29" customWidth="1"/>
    <col min="21" max="21" width="9.33203125" style="29" customWidth="1"/>
    <col min="22" max="22" width="9.5546875" style="29" customWidth="1"/>
    <col min="23" max="23" width="9.33203125" style="29" hidden="1" customWidth="1"/>
    <col min="24" max="25" width="9.44140625" style="29" hidden="1" customWidth="1"/>
    <col min="26" max="26" width="9.109375" style="29" customWidth="1"/>
    <col min="27" max="27" width="7.6640625" style="29" customWidth="1"/>
    <col min="28" max="28" width="10.109375" style="29" customWidth="1"/>
    <col min="29" max="29" width="9.6640625" style="29" customWidth="1"/>
    <col min="30" max="31" width="8.88671875" style="29"/>
    <col min="32" max="32" width="14.109375" style="29" bestFit="1" customWidth="1"/>
    <col min="33" max="33" width="10.44140625" style="29" customWidth="1"/>
    <col min="34" max="34" width="14.5546875" style="29" customWidth="1"/>
    <col min="35" max="35" width="15.109375" style="29" customWidth="1"/>
    <col min="36" max="36" width="19.5546875" style="29" customWidth="1"/>
    <col min="37" max="37" width="12.5546875" style="29" customWidth="1"/>
    <col min="38" max="38" width="13.33203125" style="29" customWidth="1"/>
    <col min="39" max="40" width="8.88671875" style="29"/>
    <col min="41" max="41" width="40.88671875" style="29" customWidth="1"/>
    <col min="42" max="16384" width="8.88671875" style="29"/>
  </cols>
  <sheetData>
    <row r="1" spans="1:41" ht="20.399999999999999" thickBot="1" x14ac:dyDescent="0.45">
      <c r="A1" s="1" t="s">
        <v>229</v>
      </c>
      <c r="B1" s="1"/>
      <c r="C1" s="1"/>
      <c r="D1" s="1"/>
      <c r="E1" s="1"/>
      <c r="F1" s="1"/>
      <c r="G1" s="1"/>
      <c r="H1" s="1"/>
      <c r="I1" s="1"/>
      <c r="J1" s="5"/>
      <c r="K1" s="5"/>
      <c r="L1" s="5"/>
      <c r="M1" s="5"/>
      <c r="N1" s="5"/>
      <c r="O1" s="5"/>
      <c r="P1" s="5"/>
      <c r="R1" s="5"/>
      <c r="S1" s="5"/>
      <c r="T1" s="46"/>
      <c r="W1" s="46"/>
      <c r="X1" s="46"/>
      <c r="Y1" s="46"/>
      <c r="Z1" s="144"/>
      <c r="AA1" s="144"/>
      <c r="AB1" s="144"/>
    </row>
    <row r="2" spans="1:41" ht="15" thickTop="1" x14ac:dyDescent="0.3">
      <c r="C2" s="333"/>
      <c r="D2" s="333"/>
      <c r="E2" s="333"/>
      <c r="F2" s="333"/>
      <c r="G2" s="333"/>
      <c r="H2" s="333"/>
      <c r="I2" s="333"/>
      <c r="J2" s="336"/>
      <c r="K2" s="336"/>
      <c r="L2" s="336"/>
      <c r="M2" s="336"/>
      <c r="N2" s="231"/>
      <c r="O2" s="296" t="s">
        <v>145</v>
      </c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41" ht="90.6" customHeight="1" x14ac:dyDescent="0.3">
      <c r="A3" s="2" t="s">
        <v>1</v>
      </c>
      <c r="B3" s="2" t="s">
        <v>2</v>
      </c>
      <c r="C3" s="24" t="s">
        <v>351</v>
      </c>
      <c r="D3" s="24" t="s">
        <v>230</v>
      </c>
      <c r="E3" s="24" t="s">
        <v>382</v>
      </c>
      <c r="F3" s="25" t="s">
        <v>354</v>
      </c>
      <c r="G3" s="25" t="s">
        <v>626</v>
      </c>
      <c r="H3" s="25" t="s">
        <v>627</v>
      </c>
      <c r="I3" s="25" t="s">
        <v>356</v>
      </c>
      <c r="J3" s="25" t="s">
        <v>158</v>
      </c>
      <c r="K3" s="25" t="s">
        <v>371</v>
      </c>
      <c r="L3" s="25" t="s">
        <v>383</v>
      </c>
      <c r="M3" s="25" t="s">
        <v>384</v>
      </c>
      <c r="N3" s="25" t="s">
        <v>381</v>
      </c>
      <c r="O3" s="78" t="s">
        <v>359</v>
      </c>
      <c r="P3" s="78" t="s">
        <v>342</v>
      </c>
      <c r="Q3" s="78" t="s">
        <v>374</v>
      </c>
      <c r="R3" s="78" t="s">
        <v>152</v>
      </c>
      <c r="S3" s="78" t="s">
        <v>375</v>
      </c>
      <c r="T3" s="78" t="s">
        <v>350</v>
      </c>
      <c r="U3" s="78" t="s">
        <v>360</v>
      </c>
      <c r="V3" s="78" t="s">
        <v>361</v>
      </c>
      <c r="W3" s="78" t="s">
        <v>140</v>
      </c>
      <c r="X3" s="78" t="s">
        <v>128</v>
      </c>
      <c r="Y3" s="78" t="s">
        <v>159</v>
      </c>
      <c r="Z3" s="78" t="s">
        <v>362</v>
      </c>
      <c r="AA3" s="78" t="s">
        <v>377</v>
      </c>
      <c r="AB3" s="78" t="s">
        <v>364</v>
      </c>
      <c r="AC3" s="78" t="s">
        <v>365</v>
      </c>
      <c r="AD3" s="125" t="s">
        <v>150</v>
      </c>
      <c r="AE3" s="125" t="s">
        <v>164</v>
      </c>
      <c r="AF3" s="125" t="s">
        <v>367</v>
      </c>
      <c r="AG3" s="125" t="s">
        <v>368</v>
      </c>
      <c r="AH3" s="125" t="s">
        <v>378</v>
      </c>
      <c r="AI3" s="125" t="s">
        <v>344</v>
      </c>
      <c r="AJ3" s="125" t="s">
        <v>345</v>
      </c>
      <c r="AK3" s="125" t="s">
        <v>346</v>
      </c>
      <c r="AL3" s="125" t="s">
        <v>347</v>
      </c>
      <c r="AM3" s="125" t="s">
        <v>369</v>
      </c>
      <c r="AN3" s="125" t="s">
        <v>370</v>
      </c>
      <c r="AO3" s="78" t="s">
        <v>30</v>
      </c>
    </row>
    <row r="4" spans="1:41" x14ac:dyDescent="0.3">
      <c r="A4" s="128">
        <v>43327</v>
      </c>
      <c r="B4" s="29">
        <v>1</v>
      </c>
      <c r="C4" s="134">
        <v>674.3</v>
      </c>
      <c r="D4" s="134">
        <f>24/(stableLTP[[#This Row],[Cycle duration 
(h)]]+2)</f>
        <v>4</v>
      </c>
      <c r="E4" s="137">
        <v>4</v>
      </c>
      <c r="F4" s="180">
        <f>Information!$R$61/(stableLTP[Flow 
(m3 d-1)]/24*stableLTP[[#This Row],[Cycles per day]]*stableLTP[[#This Row],[Cycle duration 
(h)]])*24</f>
        <v>78.936259825003717</v>
      </c>
      <c r="G4" s="180">
        <f>stableLTP[[#This Row],[Flow 
(m3 d-1)]]*0.2</f>
        <v>134.85999999999999</v>
      </c>
      <c r="H4" s="180">
        <f>Information!$R$61*stableLTP[[#This Row],[TSS  
(mg L-1)]]/(stableLTP[[#This Row],[Flow 
(m3 d-1)]]*stableLTP[[#This Row],[TSS  
(mg L-1)]])</f>
        <v>2.1926738840278808</v>
      </c>
      <c r="I4" s="133">
        <v>34.19</v>
      </c>
      <c r="J4" s="29">
        <v>7.88</v>
      </c>
      <c r="K4" s="133">
        <v>3.5</v>
      </c>
      <c r="L4" s="133">
        <v>59.13</v>
      </c>
      <c r="M4" s="27">
        <f>stableLTP[[#This Row],[TSS  
(mg L-1)]]</f>
        <v>9820</v>
      </c>
      <c r="N4" s="133">
        <f>stableLTP[[#This Row],[VSS 
(mg L-1)]]</f>
        <v>4390</v>
      </c>
      <c r="O4" s="29">
        <v>11425</v>
      </c>
      <c r="P4" s="29">
        <f>stableLTP[[#This Row],[COD 
(mg L-1)]]*Information!$AK$44</f>
        <v>3084.75</v>
      </c>
      <c r="Q4" s="29">
        <v>1303</v>
      </c>
      <c r="R4" s="29">
        <v>9.4</v>
      </c>
      <c r="S4" s="29">
        <v>9820</v>
      </c>
      <c r="T4" s="29">
        <v>4390</v>
      </c>
      <c r="U4" s="29">
        <v>3.44</v>
      </c>
      <c r="V4" s="29">
        <v>52.6</v>
      </c>
      <c r="W4" s="6"/>
      <c r="X4" s="20"/>
      <c r="Y4" s="6"/>
      <c r="Z4" s="29">
        <v>22.5</v>
      </c>
      <c r="AA4" s="29">
        <v>96.245000000000005</v>
      </c>
      <c r="AB4" s="6">
        <f>IF(stableLTP[[#This Row],[TON 
(mg L-1)]]-stableLTP[[#This Row],[NO2-N 
(mg L-1)]]&lt;0,0.2,stableLTP[[#This Row],[TON 
(mg L-1)]]-stableLTP[[#This Row],[NO2-N 
(mg L-1)]])</f>
        <v>0.2</v>
      </c>
      <c r="AC4" s="4">
        <f>SUM(stableLTP[[#This Row],[NH4-N 
(mg L-1)]:[NO3-N 
(mg L-1)]])</f>
        <v>118.94500000000001</v>
      </c>
      <c r="AD4" s="21">
        <f>stableLTP[[#This Row],[NO3-N 
(mg L-1)]]/(Influent[[#This Row],[NH4-N (mg L-1)]]-stableLTP[[#This Row],[NH4-N 
(mg L-1)]])</f>
        <v>2.3850979082691348E-4</v>
      </c>
      <c r="AE4" s="6">
        <f>stableLTP[[#This Row],[NO2-N 
(mg L-1)]]/(Influent[[#This Row],[NH4-N (mg L-1)]]-stableLTP[[#This Row],[NH4-N 
(mg L-1)]])</f>
        <v>0.11477687409068144</v>
      </c>
      <c r="AF4" s="20">
        <f>46/14*stableLTP[[#This Row],[NO2-N 
(mg L-1)]]/(EXP(-2300/(273+stableLTP[[#This Row],[Temp. 
(°C)]]))*10^stableLTP[[#This Row],[pHreactor]])</f>
        <v>7.4416211990050831E-3</v>
      </c>
      <c r="AG4" s="19">
        <f>17/14*(stableLTP[[#This Row],[NH4-N 
(mg L-1)]]*10^stableLTP[[#This Row],[pHreactor]])/(EXP(6344/(273+stableLTP[[#This Row],[Temp. 
(°C)]]))+10^stableLTP[[#This Row],[pHreactor]])</f>
        <v>2.0585325387497826</v>
      </c>
      <c r="AH4" s="20"/>
      <c r="AI4" s="6"/>
      <c r="AJ4" s="6">
        <f>(Influent[[#This Row],[NH4-N (mg L-1)]]*stableLTP[ARE 
(%)])*24/stableLTP[[#This Row],[HRT 
(h)]]/1000</f>
        <v>0.25495203401599797</v>
      </c>
      <c r="AK4" s="6">
        <f>Influent[[#This Row],[TN (mg L-1)]]/stableLTP[[#This Row],[HRT 
(h)]]*24/1000</f>
        <v>0.26239165683701721</v>
      </c>
      <c r="AL4" s="6">
        <f>(Influent[[#This Row],[NH4-N (mg L-1)]])*stableLTP[NRE 
(%)]/stableLTP[[#This Row],[HRT 
(h)]]*24/1000</f>
        <v>0.22571113884366678</v>
      </c>
      <c r="AM4" s="33">
        <f>1-(stableLTP[[#This Row],[NH4-N 
(mg L-1)]]/Influent[[#This Row],[NH4-N (mg L-1)]])</f>
        <v>0.9738688098113909</v>
      </c>
      <c r="AN4" s="21">
        <f>1-(stableLTP[[#This Row],[TN 
(mg L-1)]]/Influent[[#This Row],[TN (mg L-1)]])</f>
        <v>0.86217409088433605</v>
      </c>
    </row>
    <row r="5" spans="1:41" x14ac:dyDescent="0.3">
      <c r="A5" s="128">
        <v>43328</v>
      </c>
      <c r="B5" s="29">
        <v>2</v>
      </c>
      <c r="C5" s="28">
        <v>617</v>
      </c>
      <c r="D5" s="28">
        <f>24/(stableLTP[[#This Row],[Cycle duration 
(h)]]+2)</f>
        <v>4</v>
      </c>
      <c r="E5" s="137">
        <v>4</v>
      </c>
      <c r="F5" s="42">
        <f>Information!$R$61/(stableLTP[Flow 
(m3 d-1)]/24*stableLTP[[#This Row],[Cycles per day]]*stableLTP[[#This Row],[Cycle duration 
(h)]])*24</f>
        <v>86.266969205834698</v>
      </c>
      <c r="G5" s="42">
        <f>stableLTP[[#This Row],[Flow 
(m3 d-1)]]*0.2</f>
        <v>123.4</v>
      </c>
      <c r="H5" s="42">
        <f>Information!$R$61*stableLTP[[#This Row],[TSS  
(mg L-1)]]/(stableLTP[[#This Row],[Flow 
(m3 d-1)]]*stableLTP[[#This Row],[TSS  
(mg L-1)]])</f>
        <v>2.3963047001620748</v>
      </c>
      <c r="I5" s="27">
        <v>35.270000000000003</v>
      </c>
      <c r="J5" s="29">
        <v>7.82</v>
      </c>
      <c r="K5" s="133">
        <v>3.5</v>
      </c>
      <c r="L5" s="27">
        <v>55.17</v>
      </c>
      <c r="M5" s="27">
        <f>stableLTP[[#This Row],[TSS  
(mg L-1)]]</f>
        <v>10520</v>
      </c>
      <c r="N5" s="27">
        <f>stableLTP[[#This Row],[VSS 
(mg L-1)]]</f>
        <v>5190</v>
      </c>
      <c r="O5" s="29">
        <v>9625</v>
      </c>
      <c r="P5" s="29">
        <f>stableLTP[[#This Row],[COD 
(mg L-1)]]*Information!$AK$44</f>
        <v>2598.75</v>
      </c>
      <c r="Q5" s="29">
        <v>1271</v>
      </c>
      <c r="R5" s="29">
        <v>9.4</v>
      </c>
      <c r="S5" s="29">
        <v>10520</v>
      </c>
      <c r="T5" s="29">
        <v>5190</v>
      </c>
      <c r="U5" s="29">
        <v>4.76</v>
      </c>
      <c r="V5" s="29">
        <v>123.4</v>
      </c>
      <c r="W5" s="6"/>
      <c r="X5" s="20"/>
      <c r="Y5" s="6"/>
      <c r="Z5" s="29">
        <v>29.76</v>
      </c>
      <c r="AA5" s="29">
        <v>164.08</v>
      </c>
      <c r="AB5" s="6">
        <f>IF(stableLTP[[#This Row],[TON 
(mg L-1)]]-stableLTP[[#This Row],[NO2-N 
(mg L-1)]]&lt;0,0.2,stableLTP[[#This Row],[TON 
(mg L-1)]]-stableLTP[[#This Row],[NO2-N 
(mg L-1)]])</f>
        <v>0.2</v>
      </c>
      <c r="AC5" s="4">
        <f>SUM(stableLTP[[#This Row],[NH4-N 
(mg L-1)]:[NO3-N 
(mg L-1)]])</f>
        <v>194.04</v>
      </c>
      <c r="AD5" s="21">
        <f>stableLTP[[#This Row],[NO3-N 
(mg L-1)]]/(Influent[[#This Row],[NH4-N (mg L-1)]]-stableLTP[[#This Row],[NH4-N 
(mg L-1)]])</f>
        <v>2.0382373323549796E-4</v>
      </c>
      <c r="AE5" s="6">
        <f>stableLTP[[#This Row],[NO2-N 
(mg L-1)]]/(Influent[[#This Row],[NH4-N (mg L-1)]]-stableLTP[[#This Row],[NH4-N 
(mg L-1)]])</f>
        <v>0.16721699074640253</v>
      </c>
      <c r="AF5" s="20">
        <f>46/14*stableLTP[[#This Row],[NO2-N 
(mg L-1)]]/(EXP(-2300/(273+stableLTP[[#This Row],[Temp. 
(°C)]]))*10^stableLTP[[#This Row],[pHreactor]])</f>
        <v>1.4189042615659463E-2</v>
      </c>
      <c r="AG5" s="19">
        <f>17/14*(stableLTP[[#This Row],[NH4-N 
(mg L-1)]]*10^stableLTP[[#This Row],[pHreactor]])/(EXP(6344/(273+stableLTP[[#This Row],[Temp. 
(°C)]]))+10^stableLTP[[#This Row],[pHreactor]])</f>
        <v>2.5616452858223546</v>
      </c>
      <c r="AH5" s="20"/>
      <c r="AI5" s="6"/>
      <c r="AJ5" s="6">
        <f>(Influent[[#This Row],[NH4-N (mg L-1)]]*stableLTP[ARE 
(%)])*24/stableLTP[[#This Row],[HRT 
(h)]]/1000</f>
        <v>0.27298698698698692</v>
      </c>
      <c r="AK5" s="6">
        <f>Influent[[#This Row],[TN (mg L-1)]]/stableLTP[[#This Row],[HRT 
(h)]]*24/1000</f>
        <v>0.28132204276348421</v>
      </c>
      <c r="AL5" s="6">
        <f>(Influent[[#This Row],[NH4-N (mg L-1)]])*stableLTP[NRE 
(%)]/stableLTP[[#This Row],[HRT 
(h)]]*24/1000</f>
        <v>0.227293960324077</v>
      </c>
      <c r="AM5" s="26">
        <f>1-(stableLTP[[#This Row],[NH4-N 
(mg L-1)]]/Influent[[#This Row],[NH4-N (mg L-1)]])</f>
        <v>0.97056379821958461</v>
      </c>
      <c r="AN5" s="26">
        <f>1-(stableLTP[[#This Row],[TN 
(mg L-1)]]/Influent[[#This Row],[TN (mg L-1)]])</f>
        <v>0.80810917721518982</v>
      </c>
    </row>
    <row r="6" spans="1:41" x14ac:dyDescent="0.3">
      <c r="A6" s="128">
        <v>43329</v>
      </c>
      <c r="B6" s="29">
        <v>3</v>
      </c>
      <c r="C6" s="28"/>
      <c r="D6" s="28"/>
      <c r="E6" s="137"/>
      <c r="F6" s="42"/>
      <c r="G6" s="42"/>
      <c r="H6" s="42"/>
      <c r="I6" s="27"/>
      <c r="K6" s="27"/>
      <c r="L6" s="27"/>
      <c r="M6" s="27"/>
      <c r="N6" s="27"/>
      <c r="W6" s="6"/>
      <c r="X6" s="20"/>
      <c r="Y6" s="6"/>
      <c r="AB6" s="6"/>
      <c r="AC6" s="4"/>
      <c r="AD6" s="21"/>
      <c r="AE6" s="6"/>
      <c r="AF6" s="20"/>
      <c r="AG6" s="19"/>
      <c r="AH6" s="20"/>
      <c r="AI6" s="6"/>
      <c r="AJ6" s="6"/>
      <c r="AK6" s="6"/>
      <c r="AL6" s="6"/>
      <c r="AM6" s="26"/>
      <c r="AN6" s="26"/>
    </row>
    <row r="7" spans="1:41" x14ac:dyDescent="0.3">
      <c r="A7" s="128">
        <v>43330</v>
      </c>
      <c r="B7" s="29">
        <v>4</v>
      </c>
      <c r="C7" s="28"/>
      <c r="D7" s="28"/>
      <c r="E7" s="137"/>
      <c r="F7" s="42"/>
      <c r="G7" s="42"/>
      <c r="H7" s="42"/>
      <c r="I7" s="27"/>
      <c r="K7" s="27"/>
      <c r="L7" s="27"/>
      <c r="M7" s="27"/>
      <c r="N7" s="27"/>
      <c r="W7" s="6"/>
      <c r="X7" s="20"/>
      <c r="Y7" s="6"/>
      <c r="AB7" s="6"/>
      <c r="AC7" s="4"/>
      <c r="AD7" s="21"/>
      <c r="AE7" s="6"/>
      <c r="AF7" s="20"/>
      <c r="AG7" s="19"/>
      <c r="AH7" s="20"/>
      <c r="AI7" s="6"/>
      <c r="AJ7" s="6"/>
      <c r="AK7" s="6"/>
      <c r="AL7" s="6"/>
      <c r="AM7" s="26"/>
      <c r="AN7" s="26"/>
    </row>
    <row r="8" spans="1:41" x14ac:dyDescent="0.3">
      <c r="A8" s="128">
        <v>43331</v>
      </c>
      <c r="B8" s="29">
        <v>5</v>
      </c>
      <c r="C8" s="28"/>
      <c r="D8" s="28"/>
      <c r="E8" s="137"/>
      <c r="F8" s="42"/>
      <c r="G8" s="42"/>
      <c r="H8" s="42"/>
      <c r="I8" s="27"/>
      <c r="K8" s="27"/>
      <c r="L8" s="27"/>
      <c r="M8" s="27"/>
      <c r="N8" s="27"/>
      <c r="W8" s="6"/>
      <c r="X8" s="20"/>
      <c r="Y8" s="6"/>
      <c r="AB8" s="6"/>
      <c r="AC8" s="4"/>
      <c r="AD8" s="21"/>
      <c r="AE8" s="6"/>
      <c r="AF8" s="20"/>
      <c r="AG8" s="19"/>
      <c r="AH8" s="20"/>
      <c r="AI8" s="6"/>
      <c r="AJ8" s="6"/>
      <c r="AK8" s="6"/>
      <c r="AL8" s="6"/>
      <c r="AM8" s="26"/>
      <c r="AN8" s="26"/>
    </row>
    <row r="9" spans="1:41" x14ac:dyDescent="0.3">
      <c r="A9" s="128">
        <v>43332</v>
      </c>
      <c r="B9" s="29">
        <v>6</v>
      </c>
      <c r="C9" s="28"/>
      <c r="D9" s="28"/>
      <c r="E9" s="137"/>
      <c r="F9" s="42"/>
      <c r="G9" s="42"/>
      <c r="H9" s="42"/>
      <c r="I9" s="27"/>
      <c r="K9" s="27"/>
      <c r="L9" s="27"/>
      <c r="M9" s="27"/>
      <c r="N9" s="27"/>
      <c r="W9" s="6"/>
      <c r="X9" s="20"/>
      <c r="Y9" s="6"/>
      <c r="AB9" s="6"/>
      <c r="AC9" s="4"/>
      <c r="AD9" s="21"/>
      <c r="AE9" s="6"/>
      <c r="AF9" s="20"/>
      <c r="AG9" s="19"/>
      <c r="AH9" s="20"/>
      <c r="AI9" s="6"/>
      <c r="AJ9" s="6"/>
      <c r="AK9" s="6"/>
      <c r="AL9" s="6"/>
      <c r="AM9" s="26"/>
      <c r="AN9" s="26"/>
    </row>
    <row r="10" spans="1:41" x14ac:dyDescent="0.3">
      <c r="A10" s="128">
        <v>43333</v>
      </c>
      <c r="B10" s="29">
        <v>7</v>
      </c>
      <c r="C10" s="28"/>
      <c r="D10" s="28"/>
      <c r="E10" s="137"/>
      <c r="F10" s="42"/>
      <c r="G10" s="42"/>
      <c r="H10" s="42"/>
      <c r="I10" s="27"/>
      <c r="K10" s="27"/>
      <c r="L10" s="27"/>
      <c r="M10" s="27"/>
      <c r="N10" s="27"/>
      <c r="W10" s="6"/>
      <c r="X10" s="20"/>
      <c r="Y10" s="6"/>
      <c r="AB10" s="6"/>
      <c r="AC10" s="4"/>
      <c r="AD10" s="21"/>
      <c r="AE10" s="6"/>
      <c r="AF10" s="20"/>
      <c r="AG10" s="19"/>
      <c r="AH10" s="20"/>
      <c r="AI10" s="6"/>
      <c r="AJ10" s="6"/>
      <c r="AK10" s="6"/>
      <c r="AL10" s="6"/>
      <c r="AM10" s="26"/>
      <c r="AN10" s="26"/>
    </row>
    <row r="11" spans="1:41" x14ac:dyDescent="0.3">
      <c r="A11" s="128">
        <v>43334</v>
      </c>
      <c r="B11" s="29">
        <v>8</v>
      </c>
      <c r="C11" s="28"/>
      <c r="D11" s="28"/>
      <c r="E11" s="137"/>
      <c r="F11" s="42"/>
      <c r="G11" s="42"/>
      <c r="H11" s="42"/>
      <c r="I11" s="27"/>
      <c r="K11" s="27"/>
      <c r="L11" s="27"/>
      <c r="M11" s="27"/>
      <c r="N11" s="27"/>
      <c r="W11" s="6"/>
      <c r="X11" s="20"/>
      <c r="Y11" s="6"/>
      <c r="AB11" s="6"/>
      <c r="AC11" s="4"/>
      <c r="AD11" s="21"/>
      <c r="AE11" s="6"/>
      <c r="AF11" s="20"/>
      <c r="AG11" s="19"/>
      <c r="AH11" s="20"/>
      <c r="AI11" s="6"/>
      <c r="AJ11" s="6"/>
      <c r="AK11" s="6"/>
      <c r="AL11" s="6"/>
      <c r="AM11" s="26"/>
      <c r="AN11" s="26"/>
    </row>
    <row r="12" spans="1:41" x14ac:dyDescent="0.3">
      <c r="A12" s="128">
        <v>43335</v>
      </c>
      <c r="B12" s="29">
        <v>9</v>
      </c>
      <c r="C12" s="28"/>
      <c r="D12" s="28"/>
      <c r="E12" s="137"/>
      <c r="F12" s="42"/>
      <c r="G12" s="42"/>
      <c r="H12" s="42"/>
      <c r="I12" s="27"/>
      <c r="K12" s="27"/>
      <c r="L12" s="27"/>
      <c r="M12" s="27"/>
      <c r="N12" s="27"/>
      <c r="W12" s="6"/>
      <c r="X12" s="20"/>
      <c r="Y12" s="6"/>
      <c r="AB12" s="6"/>
      <c r="AC12" s="4"/>
      <c r="AD12" s="21"/>
      <c r="AE12" s="6"/>
      <c r="AF12" s="20"/>
      <c r="AG12" s="19"/>
      <c r="AH12" s="20"/>
      <c r="AI12" s="6"/>
      <c r="AJ12" s="6"/>
      <c r="AK12" s="6"/>
      <c r="AL12" s="6"/>
      <c r="AM12" s="26"/>
      <c r="AN12" s="26"/>
    </row>
    <row r="13" spans="1:41" x14ac:dyDescent="0.3">
      <c r="A13" s="128">
        <v>43336</v>
      </c>
      <c r="B13" s="29">
        <v>10</v>
      </c>
      <c r="C13" s="28"/>
      <c r="D13" s="28"/>
      <c r="E13" s="137"/>
      <c r="F13" s="42"/>
      <c r="G13" s="42"/>
      <c r="H13" s="42"/>
      <c r="I13" s="27"/>
      <c r="K13" s="27"/>
      <c r="L13" s="27"/>
      <c r="M13" s="27"/>
      <c r="N13" s="27"/>
      <c r="W13" s="6"/>
      <c r="X13" s="20"/>
      <c r="Y13" s="6"/>
      <c r="AB13" s="6"/>
      <c r="AC13" s="4"/>
      <c r="AD13" s="21"/>
      <c r="AE13" s="6"/>
      <c r="AF13" s="20"/>
      <c r="AG13" s="19"/>
      <c r="AH13" s="20"/>
      <c r="AI13" s="6"/>
      <c r="AJ13" s="6"/>
      <c r="AK13" s="6"/>
      <c r="AL13" s="6"/>
      <c r="AM13" s="26"/>
      <c r="AN13" s="26"/>
    </row>
    <row r="14" spans="1:41" x14ac:dyDescent="0.3">
      <c r="A14" s="128">
        <v>43337</v>
      </c>
      <c r="B14" s="29">
        <v>11</v>
      </c>
      <c r="C14" s="28"/>
      <c r="D14" s="28"/>
      <c r="E14" s="137"/>
      <c r="F14" s="42"/>
      <c r="G14" s="42"/>
      <c r="H14" s="42"/>
      <c r="I14" s="27"/>
      <c r="K14" s="27"/>
      <c r="L14" s="27"/>
      <c r="M14" s="27"/>
      <c r="N14" s="27"/>
      <c r="W14" s="6"/>
      <c r="X14" s="20"/>
      <c r="Y14" s="6"/>
      <c r="AB14" s="6"/>
      <c r="AC14" s="4"/>
      <c r="AD14" s="21"/>
      <c r="AE14" s="6"/>
      <c r="AF14" s="20"/>
      <c r="AG14" s="19"/>
      <c r="AH14" s="20"/>
      <c r="AI14" s="6"/>
      <c r="AJ14" s="6"/>
      <c r="AK14" s="6"/>
      <c r="AL14" s="6"/>
      <c r="AM14" s="26"/>
      <c r="AN14" s="26"/>
    </row>
    <row r="15" spans="1:41" x14ac:dyDescent="0.3">
      <c r="A15" s="128">
        <v>43338</v>
      </c>
      <c r="B15" s="29">
        <v>12</v>
      </c>
      <c r="C15" s="28"/>
      <c r="D15" s="28"/>
      <c r="E15" s="137"/>
      <c r="F15" s="42"/>
      <c r="G15" s="42"/>
      <c r="H15" s="42"/>
      <c r="I15" s="27"/>
      <c r="K15" s="27"/>
      <c r="L15" s="27"/>
      <c r="M15" s="27"/>
      <c r="N15" s="27"/>
      <c r="W15" s="6"/>
      <c r="X15" s="20"/>
      <c r="Y15" s="6"/>
      <c r="AB15" s="6"/>
      <c r="AC15" s="4"/>
      <c r="AD15" s="21"/>
      <c r="AE15" s="6"/>
      <c r="AF15" s="20"/>
      <c r="AG15" s="19"/>
      <c r="AH15" s="20"/>
      <c r="AI15" s="6"/>
      <c r="AJ15" s="6"/>
      <c r="AK15" s="6"/>
      <c r="AL15" s="6"/>
      <c r="AM15" s="26"/>
      <c r="AN15" s="26"/>
    </row>
    <row r="16" spans="1:41" x14ac:dyDescent="0.3">
      <c r="A16" s="128">
        <v>43339</v>
      </c>
      <c r="B16" s="29">
        <v>13</v>
      </c>
      <c r="C16" s="28">
        <v>739</v>
      </c>
      <c r="D16" s="28">
        <f>24/(stableLTP[[#This Row],[Cycle duration 
(h)]]+2)</f>
        <v>4</v>
      </c>
      <c r="E16" s="137">
        <v>4</v>
      </c>
      <c r="F16" s="42">
        <f>Information!$R$61/(stableLTP[Flow 
(m3 d-1)]/24*stableLTP[[#This Row],[Cycles per day]]*stableLTP[[#This Row],[Cycle duration 
(h)]])*24</f>
        <v>72.025331529093364</v>
      </c>
      <c r="G16" s="42">
        <f>stableLTP[[#This Row],[Flow 
(m3 d-1)]]*0.2</f>
        <v>147.80000000000001</v>
      </c>
      <c r="H16" s="42">
        <f>Information!$R$61*stableLTP[[#This Row],[TSS  
(mg L-1)]]/(stableLTP[[#This Row],[Flow 
(m3 d-1)]]*stableLTP[[#This Row],[TSS  
(mg L-1)]])</f>
        <v>2.0007036535859268</v>
      </c>
      <c r="I16" s="27">
        <v>32.4</v>
      </c>
      <c r="J16" s="29">
        <v>7.31</v>
      </c>
      <c r="K16" s="27">
        <v>3.5</v>
      </c>
      <c r="L16" s="27">
        <v>46.34</v>
      </c>
      <c r="M16" s="27">
        <f>stableLTP[[#This Row],[TSS  
(mg L-1)]]</f>
        <v>10300</v>
      </c>
      <c r="N16" s="27">
        <f>stableLTP[[#This Row],[VSS 
(mg L-1)]]</f>
        <v>4250</v>
      </c>
      <c r="O16" s="29">
        <v>14050</v>
      </c>
      <c r="P16" s="29">
        <f>stableLTP[[#This Row],[COD 
(mg L-1)]]*Information!$AK$44</f>
        <v>3793.5000000000005</v>
      </c>
      <c r="Q16" s="29">
        <v>1690</v>
      </c>
      <c r="R16" s="29">
        <v>9.1</v>
      </c>
      <c r="S16" s="29">
        <v>10300</v>
      </c>
      <c r="T16" s="29">
        <v>4250</v>
      </c>
      <c r="U16" s="29">
        <v>15.39</v>
      </c>
      <c r="V16" s="29">
        <v>807.2</v>
      </c>
      <c r="W16" s="6"/>
      <c r="X16" s="20"/>
      <c r="Y16" s="6"/>
      <c r="Z16" s="29">
        <v>172.04</v>
      </c>
      <c r="AA16" s="29">
        <v>719.11</v>
      </c>
      <c r="AB16" s="6">
        <f>IF(stableLTP[[#This Row],[TON 
(mg L-1)]]-stableLTP[[#This Row],[NO2-N 
(mg L-1)]]&lt;0,0.2,stableLTP[[#This Row],[TON 
(mg L-1)]]-stableLTP[[#This Row],[NO2-N 
(mg L-1)]])</f>
        <v>88.090000000000032</v>
      </c>
      <c r="AC16" s="4">
        <f>SUM(stableLTP[[#This Row],[NH4-N 
(mg L-1)]:[NO3-N 
(mg L-1)]])</f>
        <v>979.24</v>
      </c>
      <c r="AD16" s="21">
        <f>stableLTP[[#This Row],[NO3-N 
(mg L-1)]]/(Influent[[#This Row],[NH4-N (mg L-1)]]-stableLTP[[#This Row],[NH4-N 
(mg L-1)]])</f>
        <v>7.2308045901531726E-2</v>
      </c>
      <c r="AE16" s="6">
        <f>stableLTP[[#This Row],[NO2-N 
(mg L-1)]]/(Influent[[#This Row],[NH4-N (mg L-1)]]-stableLTP[[#This Row],[NH4-N 
(mg L-1)]])</f>
        <v>0.59027629570042517</v>
      </c>
      <c r="AF16" s="20">
        <f>46/14*stableLTP[[#This Row],[NO2-N 
(mg L-1)]]/(EXP(-2300/(273+stableLTP[[#This Row],[Temp. 
(°C)]]))*10^stableLTP[[#This Row],[pHreactor]])</f>
        <v>0.21584561302362415</v>
      </c>
      <c r="AG16" s="19">
        <f>17/14*(stableLTP[[#This Row],[NH4-N 
(mg L-1)]]*10^stableLTP[[#This Row],[pHreactor]])/(EXP(6344/(273+stableLTP[[#This Row],[Temp. 
(°C)]]))+10^stableLTP[[#This Row],[pHreactor]])</f>
        <v>3.9819748785692579</v>
      </c>
      <c r="AH16" s="20">
        <f>Influent[[#This Row],[sCOD (mg L-1)]]/stableLTP[[#This Row],[HRT 
(h)]]*24/1000</f>
        <v>0.98965181397613833</v>
      </c>
      <c r="AI16" s="6"/>
      <c r="AJ16" s="6">
        <f>(Influent[[#This Row],[NH4-N (mg L-1)]]*stableLTP[ARE 
(%)])*24/stableLTP[[#This Row],[HRT 
(h)]]/1000</f>
        <v>0.4059438447456466</v>
      </c>
      <c r="AK16" s="6">
        <f>Influent[[#This Row],[TN (mg L-1)]]/stableLTP[[#This Row],[HRT 
(h)]]*24/1000</f>
        <v>0.46333698563428294</v>
      </c>
      <c r="AL16" s="6">
        <f>(Influent[[#This Row],[NH4-N (mg L-1)]])*stableLTP[NRE 
(%)]/stableLTP[[#This Row],[HRT 
(h)]]*24/1000</f>
        <v>0.13701874219444932</v>
      </c>
      <c r="AM16" s="26">
        <f>1-(stableLTP[[#This Row],[NH4-N 
(mg L-1)]]/Influent[[#This Row],[NH4-N (mg L-1)]])</f>
        <v>0.87625692296626623</v>
      </c>
      <c r="AN16" s="26">
        <f>1-(stableLTP[[#This Row],[TN 
(mg L-1)]]/Influent[[#This Row],[TN (mg L-1)]])</f>
        <v>0.29576411362819133</v>
      </c>
    </row>
    <row r="17" spans="1:40" x14ac:dyDescent="0.3">
      <c r="A17" s="128">
        <v>43340</v>
      </c>
      <c r="B17" s="29">
        <v>14</v>
      </c>
      <c r="C17" s="28">
        <v>264</v>
      </c>
      <c r="D17" s="28">
        <f>24/(stableLTP[[#This Row],[Cycle duration 
(h)]]+2)</f>
        <v>4</v>
      </c>
      <c r="E17" s="137">
        <v>4</v>
      </c>
      <c r="F17" s="42">
        <f>Information!$R$61/(stableLTP[Flow 
(m3 d-1)]/24*stableLTP[[#This Row],[Cycles per day]]*stableLTP[[#This Row],[Cycle duration 
(h)]])*24</f>
        <v>201.61636363636364</v>
      </c>
      <c r="G17" s="42">
        <f>stableLTP[[#This Row],[Flow 
(m3 d-1)]]*0.2</f>
        <v>52.800000000000004</v>
      </c>
      <c r="H17" s="42">
        <f>Information!$R$61*stableLTP[[#This Row],[TSS  
(mg L-1)]]/(stableLTP[[#This Row],[Flow 
(m3 d-1)]]*stableLTP[[#This Row],[TSS  
(mg L-1)]])</f>
        <v>5.6004545454545456</v>
      </c>
      <c r="I17" s="27">
        <v>33.090000000000003</v>
      </c>
      <c r="J17" s="29">
        <v>6.96</v>
      </c>
      <c r="K17" s="27">
        <v>3.5</v>
      </c>
      <c r="L17" s="27">
        <v>44.04</v>
      </c>
      <c r="M17" s="27">
        <f>stableLTP[[#This Row],[TSS  
(mg L-1)]]</f>
        <v>9300</v>
      </c>
      <c r="N17" s="27">
        <f>stableLTP[[#This Row],[VSS 
(mg L-1)]]</f>
        <v>3510</v>
      </c>
      <c r="O17" s="29">
        <v>13625</v>
      </c>
      <c r="P17" s="29">
        <f>stableLTP[[#This Row],[COD 
(mg L-1)]]*Information!$AK$44</f>
        <v>3678.7500000000005</v>
      </c>
      <c r="Q17" s="29">
        <v>1489</v>
      </c>
      <c r="R17" s="29">
        <v>9</v>
      </c>
      <c r="S17" s="29">
        <v>9300</v>
      </c>
      <c r="T17" s="29">
        <v>3510</v>
      </c>
      <c r="U17" s="29">
        <v>13.32</v>
      </c>
      <c r="V17" s="29">
        <v>841.8</v>
      </c>
      <c r="W17" s="6"/>
      <c r="X17" s="20"/>
      <c r="Y17" s="6"/>
      <c r="Z17" s="29">
        <v>187.18</v>
      </c>
      <c r="AA17" s="29">
        <v>712.54</v>
      </c>
      <c r="AB17" s="6">
        <f>IF(stableLTP[[#This Row],[TON 
(mg L-1)]]-stableLTP[[#This Row],[NO2-N 
(mg L-1)]]&lt;0,0.2,stableLTP[[#This Row],[TON 
(mg L-1)]]-stableLTP[[#This Row],[NO2-N 
(mg L-1)]])</f>
        <v>129.26</v>
      </c>
      <c r="AC17" s="4">
        <f>SUM(stableLTP[[#This Row],[NH4-N 
(mg L-1)]:[NO3-N 
(mg L-1)]])</f>
        <v>1028.98</v>
      </c>
      <c r="AD17" s="21">
        <f>stableLTP[[#This Row],[NO3-N 
(mg L-1)]]/(Influent[[#This Row],[NH4-N (mg L-1)]]-stableLTP[[#This Row],[NH4-N 
(mg L-1)]])</f>
        <v>0.10548220202053174</v>
      </c>
      <c r="AE17" s="6">
        <f>stableLTP[[#This Row],[NO2-N 
(mg L-1)]]/(Influent[[#This Row],[NH4-N (mg L-1)]]-stableLTP[[#This Row],[NH4-N 
(mg L-1)]])</f>
        <v>0.58146594636940807</v>
      </c>
      <c r="AF17" s="20">
        <f>46/14*stableLTP[[#This Row],[NO2-N 
(mg L-1)]]/(EXP(-2300/(273+stableLTP[[#This Row],[Temp. 
(°C)]]))*10^stableLTP[[#This Row],[pHreactor]])</f>
        <v>0.47074332156111648</v>
      </c>
      <c r="AG17" s="19">
        <f>17/14*(stableLTP[[#This Row],[NH4-N 
(mg L-1)]]*10^stableLTP[[#This Row],[pHreactor]])/(EXP(6344/(273+stableLTP[[#This Row],[Temp. 
(°C)]]))+10^stableLTP[[#This Row],[pHreactor]])</f>
        <v>2.0487584545751356</v>
      </c>
      <c r="AH17" s="20">
        <f>Influent[[#This Row],[sCOD (mg L-1)]]/stableLTP[[#This Row],[HRT 
(h)]]*24/1000</f>
        <v>0.4108595081568055</v>
      </c>
      <c r="AI17" s="6"/>
      <c r="AJ17" s="6">
        <f>(Influent[[#This Row],[NH4-N (mg L-1)]]*stableLTP[ARE 
(%)])*24/stableLTP[[#This Row],[HRT 
(h)]]/1000</f>
        <v>0.14587149311473635</v>
      </c>
      <c r="AK17" s="6">
        <f>Influent[[#This Row],[TN (mg L-1)]]/stableLTP[[#This Row],[HRT 
(h)]]*24/1000</f>
        <v>0.16817682547412277</v>
      </c>
      <c r="AL17" s="6">
        <f>(Influent[[#This Row],[NH4-N (mg L-1)]])*stableLTP[NRE 
(%)]/stableLTP[[#This Row],[HRT 
(h)]]*24/1000</f>
        <v>4.5682680721797972E-2</v>
      </c>
      <c r="AM17" s="26">
        <f>1-(stableLTP[[#This Row],[NH4-N 
(mg L-1)]]/Influent[[#This Row],[NH4-N (mg L-1)]])</f>
        <v>0.86749256689791876</v>
      </c>
      <c r="AN17" s="26">
        <f>1-(stableLTP[[#This Row],[TN 
(mg L-1)]]/Influent[[#This Row],[TN (mg L-1)]])</f>
        <v>0.27167327293318233</v>
      </c>
    </row>
    <row r="18" spans="1:40" x14ac:dyDescent="0.3">
      <c r="A18" s="128">
        <v>43341</v>
      </c>
      <c r="B18" s="29">
        <v>15</v>
      </c>
      <c r="C18" s="28">
        <v>444.4</v>
      </c>
      <c r="D18" s="28">
        <f>24/(stableLTP[[#This Row],[Cycle duration 
(h)]]+2)</f>
        <v>4</v>
      </c>
      <c r="E18" s="137">
        <v>4</v>
      </c>
      <c r="F18" s="42">
        <f>Information!$R$61/(stableLTP[Flow 
(m3 d-1)]/24*stableLTP[[#This Row],[Cycles per day]]*stableLTP[[#This Row],[Cycle duration 
(h)]])*24</f>
        <v>119.77209720972098</v>
      </c>
      <c r="G18" s="42">
        <f>stableLTP[[#This Row],[Flow 
(m3 d-1)]]*0.2</f>
        <v>88.88</v>
      </c>
      <c r="H18" s="42">
        <f>Information!$R$61*stableLTP[[#This Row],[TSS  
(mg L-1)]]/(stableLTP[[#This Row],[Flow 
(m3 d-1)]]*stableLTP[[#This Row],[TSS  
(mg L-1)]])</f>
        <v>3.3270027002700266</v>
      </c>
      <c r="I18" s="27">
        <v>32</v>
      </c>
      <c r="J18" s="29">
        <v>7.51</v>
      </c>
      <c r="K18" s="27">
        <v>3.5</v>
      </c>
      <c r="L18" s="27">
        <v>61.26</v>
      </c>
      <c r="M18" s="27"/>
      <c r="N18" s="27"/>
      <c r="Q18" s="29">
        <v>1305</v>
      </c>
      <c r="R18" s="29">
        <v>9.1999999999999993</v>
      </c>
      <c r="S18" s="29">
        <v>11140</v>
      </c>
      <c r="U18" s="29">
        <v>9.14</v>
      </c>
      <c r="W18" s="6"/>
      <c r="X18" s="20"/>
      <c r="Y18" s="6"/>
      <c r="Z18" s="29">
        <v>105.44</v>
      </c>
      <c r="AB18" s="6"/>
      <c r="AC18" s="4"/>
      <c r="AD18" s="21"/>
      <c r="AE18" s="6"/>
      <c r="AF18" s="20"/>
      <c r="AG18" s="19"/>
      <c r="AH18" s="20"/>
      <c r="AI18" s="6"/>
      <c r="AJ18" s="6">
        <f>(Influent[[#This Row],[NH4-N (mg L-1)]]*stableLTP[ARE 
(%)])*24/stableLTP[[#This Row],[HRT 
(h)]]/1000</f>
        <v>0.22668251314377438</v>
      </c>
      <c r="AK18" s="6">
        <f>Influent[[#This Row],[TN (mg L-1)]]/stableLTP[[#This Row],[HRT 
(h)]]*24/1000</f>
        <v>0.2478507155804453</v>
      </c>
      <c r="AL18" s="6"/>
      <c r="AM18" s="26">
        <f>1-(stableLTP[[#This Row],[NH4-N 
(mg L-1)]]/Influent[[#This Row],[NH4-N (mg L-1)]])</f>
        <v>0.91474084256489041</v>
      </c>
      <c r="AN18" s="26"/>
    </row>
    <row r="19" spans="1:40" x14ac:dyDescent="0.3">
      <c r="A19" s="128">
        <v>43342</v>
      </c>
      <c r="B19" s="29">
        <v>16</v>
      </c>
      <c r="C19" s="28">
        <v>411.8</v>
      </c>
      <c r="D19" s="28">
        <f>24/(stableLTP[[#This Row],[Cycle duration 
(h)]]+2)</f>
        <v>4</v>
      </c>
      <c r="E19" s="137">
        <v>4</v>
      </c>
      <c r="F19" s="42">
        <f>Information!$R$61/(stableLTP[Flow 
(m3 d-1)]/24*stableLTP[[#This Row],[Cycles per day]]*stableLTP[[#This Row],[Cycle duration 
(h)]])*24</f>
        <v>129.25381253035454</v>
      </c>
      <c r="G19" s="42">
        <f>stableLTP[[#This Row],[Flow 
(m3 d-1)]]*0.2</f>
        <v>82.360000000000014</v>
      </c>
      <c r="H19" s="42">
        <f>Information!$R$61*stableLTP[[#This Row],[TSS  
(mg L-1)]]/(stableLTP[[#This Row],[Flow 
(m3 d-1)]]*stableLTP[[#This Row],[TSS  
(mg L-1)]])</f>
        <v>3.5903836813987371</v>
      </c>
      <c r="I19" s="27">
        <v>32.85</v>
      </c>
      <c r="J19" s="29">
        <v>7.53</v>
      </c>
      <c r="K19" s="27">
        <v>3.5</v>
      </c>
      <c r="L19" s="27">
        <v>57.53</v>
      </c>
      <c r="M19" s="27"/>
      <c r="N19" s="27"/>
      <c r="Q19" s="29">
        <v>1251</v>
      </c>
      <c r="R19" s="29">
        <v>8.9</v>
      </c>
      <c r="S19" s="29">
        <v>9880</v>
      </c>
      <c r="U19" s="29">
        <v>10.3</v>
      </c>
      <c r="W19" s="6"/>
      <c r="X19" s="20"/>
      <c r="Y19" s="6"/>
      <c r="Z19" s="29">
        <v>59.28</v>
      </c>
      <c r="AB19" s="6"/>
      <c r="AC19" s="4"/>
      <c r="AD19" s="21"/>
      <c r="AE19" s="6"/>
      <c r="AF19" s="20"/>
      <c r="AG19" s="19"/>
      <c r="AH19" s="20">
        <f>Influent[[#This Row],[sCOD (mg L-1)]]/stableLTP[[#This Row],[HRT 
(h)]]*24/1000</f>
        <v>0.55982874766658552</v>
      </c>
      <c r="AI19" s="6">
        <f>IFERROR(IF(((Influent[[#This Row],[COD (mg L-1)]]-stableLTP[[#This Row],[sCOD]])/stableLTP[[#This Row],[HRT 
(h)]]*24/1000) &lt;0,0, (Influent[[#This Row],[sCOD (mg L-1)]]-stableLTP[[#This Row],[sCOD]])/stableLTP[[#This Row],[HRT 
(h)]]*24/1000),0)</f>
        <v>0.55982874766658552</v>
      </c>
      <c r="AJ19" s="6">
        <f>(Influent[[#This Row],[NH4-N (mg L-1)]]*stableLTP[ARE 
(%)])*24/stableLTP[[#This Row],[HRT 
(h)]]/1000</f>
        <v>0.23661723705687671</v>
      </c>
      <c r="AK19" s="6">
        <f>Influent[[#This Row],[TN (mg L-1)]]/stableLTP[[#This Row],[HRT 
(h)]]*24/1000</f>
        <v>0.24766155344533725</v>
      </c>
      <c r="AL19" s="6"/>
      <c r="AM19" s="26">
        <f>1-(stableLTP[[#This Row],[NH4-N 
(mg L-1)]]/Influent[[#This Row],[NH4-N (mg L-1)]])</f>
        <v>0.95554889022195555</v>
      </c>
      <c r="AN19" s="26"/>
    </row>
    <row r="20" spans="1:40" x14ac:dyDescent="0.3">
      <c r="A20" s="128">
        <v>43343</v>
      </c>
      <c r="B20" s="29">
        <v>17</v>
      </c>
      <c r="C20" s="28"/>
      <c r="D20" s="28"/>
      <c r="E20" s="137"/>
      <c r="F20" s="42"/>
      <c r="G20" s="42"/>
      <c r="H20" s="42"/>
      <c r="I20" s="27"/>
      <c r="K20" s="27"/>
      <c r="L20" s="27"/>
      <c r="M20" s="27"/>
      <c r="N20" s="27"/>
      <c r="W20" s="6"/>
      <c r="X20" s="20"/>
      <c r="Y20" s="6"/>
      <c r="AB20" s="6"/>
      <c r="AC20" s="4"/>
      <c r="AD20" s="21"/>
      <c r="AE20" s="6"/>
      <c r="AF20" s="20"/>
      <c r="AG20" s="19"/>
      <c r="AH20" s="20"/>
      <c r="AI20" s="6"/>
      <c r="AJ20" s="6"/>
      <c r="AK20" s="6"/>
      <c r="AL20" s="6"/>
      <c r="AM20" s="26"/>
      <c r="AN20" s="26"/>
    </row>
    <row r="21" spans="1:40" x14ac:dyDescent="0.3">
      <c r="A21" s="128">
        <v>43344</v>
      </c>
      <c r="B21" s="29">
        <v>18</v>
      </c>
      <c r="C21" s="28"/>
      <c r="D21" s="28"/>
      <c r="E21" s="137"/>
      <c r="F21" s="42"/>
      <c r="G21" s="42"/>
      <c r="H21" s="42"/>
      <c r="I21" s="27"/>
      <c r="K21" s="27"/>
      <c r="L21" s="27"/>
      <c r="M21" s="27"/>
      <c r="N21" s="27"/>
      <c r="W21" s="6"/>
      <c r="X21" s="20"/>
      <c r="Y21" s="6"/>
      <c r="AB21" s="6"/>
      <c r="AC21" s="4"/>
      <c r="AD21" s="21"/>
      <c r="AE21" s="6"/>
      <c r="AF21" s="20"/>
      <c r="AG21" s="19"/>
      <c r="AH21" s="20"/>
      <c r="AI21" s="6"/>
      <c r="AJ21" s="6"/>
      <c r="AK21" s="6"/>
      <c r="AL21" s="6"/>
      <c r="AM21" s="26"/>
      <c r="AN21" s="26"/>
    </row>
    <row r="22" spans="1:40" x14ac:dyDescent="0.3">
      <c r="A22" s="128">
        <v>43345</v>
      </c>
      <c r="B22" s="29">
        <v>19</v>
      </c>
      <c r="C22" s="28"/>
      <c r="D22" s="28"/>
      <c r="E22" s="137"/>
      <c r="F22" s="42"/>
      <c r="G22" s="42"/>
      <c r="H22" s="42"/>
      <c r="I22" s="27"/>
      <c r="K22" s="27"/>
      <c r="L22" s="27"/>
      <c r="M22" s="27"/>
      <c r="N22" s="27"/>
      <c r="W22" s="6"/>
      <c r="X22" s="20"/>
      <c r="Y22" s="6"/>
      <c r="AB22" s="6"/>
      <c r="AC22" s="4"/>
      <c r="AD22" s="21"/>
      <c r="AE22" s="6"/>
      <c r="AF22" s="20"/>
      <c r="AG22" s="19"/>
      <c r="AH22" s="20"/>
      <c r="AI22" s="6"/>
      <c r="AJ22" s="6"/>
      <c r="AK22" s="6"/>
      <c r="AL22" s="6"/>
      <c r="AM22" s="26"/>
      <c r="AN22" s="26"/>
    </row>
    <row r="23" spans="1:40" x14ac:dyDescent="0.3">
      <c r="A23" s="128">
        <v>43346</v>
      </c>
      <c r="B23" s="29">
        <v>20</v>
      </c>
      <c r="C23" s="28"/>
      <c r="D23" s="28"/>
      <c r="E23" s="137"/>
      <c r="F23" s="42"/>
      <c r="G23" s="42"/>
      <c r="H23" s="42"/>
      <c r="I23" s="27"/>
      <c r="K23" s="27"/>
      <c r="L23" s="27"/>
      <c r="M23" s="27"/>
      <c r="N23" s="27"/>
      <c r="W23" s="6"/>
      <c r="X23" s="20"/>
      <c r="Y23" s="6"/>
      <c r="AB23" s="6"/>
      <c r="AC23" s="4"/>
      <c r="AD23" s="21"/>
      <c r="AE23" s="6"/>
      <c r="AF23" s="20"/>
      <c r="AG23" s="19"/>
      <c r="AH23" s="20"/>
      <c r="AI23" s="6"/>
      <c r="AJ23" s="6"/>
      <c r="AK23" s="6"/>
      <c r="AL23" s="6"/>
      <c r="AM23" s="26"/>
      <c r="AN23" s="26"/>
    </row>
    <row r="24" spans="1:40" x14ac:dyDescent="0.3">
      <c r="A24" s="128">
        <v>43347</v>
      </c>
      <c r="B24" s="29">
        <v>21</v>
      </c>
      <c r="C24" s="28"/>
      <c r="D24" s="28"/>
      <c r="E24" s="137"/>
      <c r="F24" s="42"/>
      <c r="G24" s="42"/>
      <c r="H24" s="42"/>
      <c r="I24" s="27"/>
      <c r="K24" s="27"/>
      <c r="L24" s="27"/>
      <c r="M24" s="27"/>
      <c r="N24" s="27"/>
      <c r="W24" s="6"/>
      <c r="X24" s="20"/>
      <c r="Y24" s="6"/>
      <c r="AB24" s="6"/>
      <c r="AC24" s="4"/>
      <c r="AD24" s="21"/>
      <c r="AE24" s="6"/>
      <c r="AF24" s="20"/>
      <c r="AG24" s="19"/>
      <c r="AH24" s="20"/>
      <c r="AI24" s="6"/>
      <c r="AJ24" s="6"/>
      <c r="AK24" s="6"/>
      <c r="AL24" s="6"/>
      <c r="AM24" s="26"/>
      <c r="AN24" s="26"/>
    </row>
    <row r="25" spans="1:40" x14ac:dyDescent="0.3">
      <c r="A25" s="128">
        <v>43348</v>
      </c>
      <c r="B25" s="29">
        <v>22</v>
      </c>
      <c r="C25" s="28"/>
      <c r="D25" s="28"/>
      <c r="E25" s="137"/>
      <c r="F25" s="42"/>
      <c r="G25" s="42"/>
      <c r="H25" s="42"/>
      <c r="I25" s="27"/>
      <c r="K25" s="27"/>
      <c r="L25" s="27"/>
      <c r="M25" s="27"/>
      <c r="N25" s="27"/>
      <c r="W25" s="6"/>
      <c r="X25" s="20"/>
      <c r="Y25" s="6"/>
      <c r="AB25" s="6"/>
      <c r="AC25" s="4"/>
      <c r="AD25" s="21"/>
      <c r="AE25" s="6"/>
      <c r="AF25" s="20"/>
      <c r="AG25" s="19"/>
      <c r="AH25" s="20"/>
      <c r="AI25" s="6"/>
      <c r="AJ25" s="6"/>
      <c r="AK25" s="6"/>
      <c r="AL25" s="6"/>
      <c r="AM25" s="26"/>
      <c r="AN25" s="26"/>
    </row>
    <row r="26" spans="1:40" x14ac:dyDescent="0.3">
      <c r="A26" s="128">
        <v>43349</v>
      </c>
      <c r="B26" s="29">
        <v>23</v>
      </c>
      <c r="C26" s="28"/>
      <c r="D26" s="28"/>
      <c r="E26" s="137"/>
      <c r="F26" s="42"/>
      <c r="G26" s="42"/>
      <c r="H26" s="42"/>
      <c r="I26" s="27"/>
      <c r="K26" s="27"/>
      <c r="L26" s="27"/>
      <c r="M26" s="27"/>
      <c r="N26" s="27"/>
      <c r="W26" s="6"/>
      <c r="X26" s="20"/>
      <c r="Y26" s="6"/>
      <c r="AB26" s="6"/>
      <c r="AC26" s="4"/>
      <c r="AD26" s="21"/>
      <c r="AE26" s="6"/>
      <c r="AF26" s="20"/>
      <c r="AG26" s="19"/>
      <c r="AH26" s="20"/>
      <c r="AI26" s="6"/>
      <c r="AJ26" s="6"/>
      <c r="AK26" s="6"/>
      <c r="AL26" s="6"/>
      <c r="AM26" s="26"/>
      <c r="AN26" s="26"/>
    </row>
    <row r="27" spans="1:40" x14ac:dyDescent="0.3">
      <c r="A27" s="128">
        <v>43350</v>
      </c>
      <c r="B27" s="29">
        <v>24</v>
      </c>
      <c r="C27" s="28"/>
      <c r="D27" s="28"/>
      <c r="E27" s="137"/>
      <c r="F27" s="42"/>
      <c r="G27" s="42"/>
      <c r="H27" s="42"/>
      <c r="I27" s="27"/>
      <c r="K27" s="27"/>
      <c r="L27" s="27"/>
      <c r="M27" s="27"/>
      <c r="N27" s="27"/>
      <c r="W27" s="6"/>
      <c r="X27" s="20"/>
      <c r="Y27" s="6"/>
      <c r="AB27" s="6"/>
      <c r="AC27" s="4"/>
      <c r="AD27" s="21"/>
      <c r="AE27" s="6"/>
      <c r="AF27" s="20"/>
      <c r="AG27" s="19"/>
      <c r="AH27" s="20"/>
      <c r="AI27" s="6"/>
      <c r="AJ27" s="6"/>
      <c r="AK27" s="6"/>
      <c r="AL27" s="6"/>
      <c r="AM27" s="26"/>
      <c r="AN27" s="26"/>
    </row>
    <row r="28" spans="1:40" x14ac:dyDescent="0.3">
      <c r="A28" s="128">
        <v>43351</v>
      </c>
      <c r="B28" s="29">
        <v>25</v>
      </c>
      <c r="C28" s="28"/>
      <c r="D28" s="28"/>
      <c r="E28" s="137"/>
      <c r="F28" s="42"/>
      <c r="G28" s="42"/>
      <c r="H28" s="42"/>
      <c r="I28" s="27"/>
      <c r="K28" s="27"/>
      <c r="L28" s="27"/>
      <c r="M28" s="27"/>
      <c r="N28" s="27"/>
      <c r="W28" s="6"/>
      <c r="X28" s="20"/>
      <c r="Y28" s="6"/>
      <c r="AB28" s="6"/>
      <c r="AC28" s="4"/>
      <c r="AD28" s="21"/>
      <c r="AE28" s="6"/>
      <c r="AF28" s="20"/>
      <c r="AG28" s="19"/>
      <c r="AH28" s="20"/>
      <c r="AI28" s="6"/>
      <c r="AJ28" s="6"/>
      <c r="AK28" s="6"/>
      <c r="AL28" s="6"/>
      <c r="AM28" s="26"/>
      <c r="AN28" s="26"/>
    </row>
    <row r="29" spans="1:40" x14ac:dyDescent="0.3">
      <c r="A29" s="128">
        <v>43352</v>
      </c>
      <c r="B29" s="29">
        <v>26</v>
      </c>
      <c r="C29" s="28"/>
      <c r="D29" s="28"/>
      <c r="E29" s="137"/>
      <c r="F29" s="42"/>
      <c r="G29" s="42"/>
      <c r="H29" s="42"/>
      <c r="I29" s="27"/>
      <c r="K29" s="27"/>
      <c r="L29" s="27"/>
      <c r="M29" s="27"/>
      <c r="N29" s="27"/>
      <c r="W29" s="6"/>
      <c r="X29" s="20"/>
      <c r="Y29" s="6"/>
      <c r="AB29" s="6"/>
      <c r="AC29" s="4"/>
      <c r="AD29" s="21"/>
      <c r="AE29" s="6"/>
      <c r="AF29" s="20"/>
      <c r="AG29" s="19"/>
      <c r="AH29" s="20"/>
      <c r="AI29" s="6"/>
      <c r="AJ29" s="6"/>
      <c r="AK29" s="6"/>
      <c r="AL29" s="6"/>
      <c r="AM29" s="26"/>
      <c r="AN29" s="26"/>
    </row>
    <row r="30" spans="1:40" x14ac:dyDescent="0.3">
      <c r="A30" s="128">
        <v>43353</v>
      </c>
      <c r="B30" s="29">
        <v>27</v>
      </c>
      <c r="C30" s="28"/>
      <c r="D30" s="28"/>
      <c r="E30" s="137"/>
      <c r="F30" s="42"/>
      <c r="G30" s="42"/>
      <c r="H30" s="42"/>
      <c r="I30" s="27"/>
      <c r="K30" s="27"/>
      <c r="L30" s="27"/>
      <c r="M30" s="27"/>
      <c r="N30" s="27"/>
      <c r="W30" s="6"/>
      <c r="X30" s="20"/>
      <c r="Y30" s="6"/>
      <c r="AB30" s="6"/>
      <c r="AC30" s="4"/>
      <c r="AD30" s="21"/>
      <c r="AE30" s="6"/>
      <c r="AF30" s="20"/>
      <c r="AG30" s="19"/>
      <c r="AH30" s="20"/>
      <c r="AI30" s="6"/>
      <c r="AJ30" s="6"/>
      <c r="AK30" s="6"/>
      <c r="AL30" s="6"/>
      <c r="AM30" s="26"/>
      <c r="AN30" s="26"/>
    </row>
    <row r="31" spans="1:40" x14ac:dyDescent="0.3">
      <c r="A31" s="128">
        <v>43354</v>
      </c>
      <c r="B31" s="29">
        <v>28</v>
      </c>
      <c r="C31" s="28">
        <v>142.69999999999999</v>
      </c>
      <c r="D31" s="28">
        <f>24/(stableLTP[[#This Row],[Cycle duration 
(h)]]+2)</f>
        <v>4</v>
      </c>
      <c r="E31" s="137">
        <v>4</v>
      </c>
      <c r="F31" s="42">
        <f>Information!$R$61/(stableLTP[Flow 
(m3 d-1)]/24*stableLTP[[#This Row],[Cycles per day]]*stableLTP[[#This Row],[Cycle duration 
(h)]])*24</f>
        <v>372.99733707077786</v>
      </c>
      <c r="G31" s="42">
        <f>stableLTP[[#This Row],[Flow 
(m3 d-1)]]*0.2</f>
        <v>28.54</v>
      </c>
      <c r="H31" s="42">
        <f>Information!$R$61*stableLTP[[#This Row],[TSS  
(mg L-1)]]/(stableLTP[[#This Row],[Flow 
(m3 d-1)]]*stableLTP[[#This Row],[TSS  
(mg L-1)]])</f>
        <v>10.36103714085494</v>
      </c>
      <c r="I31" s="27">
        <v>32.24</v>
      </c>
      <c r="J31" s="29">
        <v>7.71</v>
      </c>
      <c r="K31" s="27">
        <v>3.5</v>
      </c>
      <c r="L31" s="27">
        <v>57.08</v>
      </c>
      <c r="M31" s="27"/>
      <c r="N31" s="27"/>
      <c r="O31" s="29">
        <v>12800</v>
      </c>
      <c r="P31" s="29">
        <f>stableLTP[[#This Row],[COD 
(mg L-1)]]*Information!$AK$44</f>
        <v>3456</v>
      </c>
      <c r="Q31" s="29">
        <v>1698</v>
      </c>
      <c r="R31" s="29">
        <v>8.8000000000000007</v>
      </c>
      <c r="S31" s="29">
        <v>9160</v>
      </c>
      <c r="U31" s="29">
        <v>73.569999999999993</v>
      </c>
      <c r="V31" s="29">
        <v>23.6</v>
      </c>
      <c r="W31" s="6"/>
      <c r="X31" s="20"/>
      <c r="Y31" s="6"/>
      <c r="Z31" s="29">
        <v>28.77</v>
      </c>
      <c r="AA31" s="29">
        <v>1100</v>
      </c>
      <c r="AB31" s="6">
        <f>IF(stableLTP[[#This Row],[TON 
(mg L-1)]]-stableLTP[[#This Row],[NO2-N 
(mg L-1)]]&lt;0,0.2,stableLTP[[#This Row],[TON 
(mg L-1)]]-stableLTP[[#This Row],[NO2-N 
(mg L-1)]])</f>
        <v>0.2</v>
      </c>
      <c r="AC31" s="4">
        <f>SUM(stableLTP[[#This Row],[NH4-N 
(mg L-1)]:[NO3-N 
(mg L-1)]])</f>
        <v>1128.97</v>
      </c>
      <c r="AD31" s="21">
        <f>stableLTP[[#This Row],[NO3-N 
(mg L-1)]]/(Influent[[#This Row],[NH4-N (mg L-1)]]-stableLTP[[#This Row],[NH4-N 
(mg L-1)]])</f>
        <v>1.7651783271404995E-4</v>
      </c>
      <c r="AE31" s="6">
        <f>stableLTP[[#This Row],[NO2-N 
(mg L-1)]]/(Influent[[#This Row],[NH4-N (mg L-1)]]-stableLTP[[#This Row],[NH4-N 
(mg L-1)]])</f>
        <v>0.97084807992727462</v>
      </c>
      <c r="AF31" s="20">
        <f>46/14*stableLTP[[#This Row],[NO2-N 
(mg L-1)]]/(EXP(-2300/(273+stableLTP[[#This Row],[Temp. 
(°C)]]))*10^stableLTP[[#This Row],[pHreactor]])</f>
        <v>0.13196386315043762</v>
      </c>
      <c r="AG31" s="19">
        <f>17/14*(stableLTP[[#This Row],[NH4-N 
(mg L-1)]]*10^stableLTP[[#This Row],[pHreactor]])/(EXP(6344/(273+stableLTP[[#This Row],[Temp. 
(°C)]]))+10^stableLTP[[#This Row],[pHreactor]])</f>
        <v>1.6090159878619441</v>
      </c>
      <c r="AH31" s="20">
        <f>Influent[[#This Row],[sCOD (mg L-1)]]/stableLTP[[#This Row],[HRT 
(h)]]*24/1000</f>
        <v>0.16359366122879634</v>
      </c>
      <c r="AI31" s="6"/>
      <c r="AJ31" s="6">
        <f>(Influent[[#This Row],[NH4-N (mg L-1)]]*stableLTP[ARE 
(%)])*24/stableLTP[[#This Row],[HRT 
(h)]]/1000</f>
        <v>7.2903255056858671E-2</v>
      </c>
      <c r="AK31" s="6">
        <f>Influent[[#This Row],[TN (mg L-1)]]/stableLTP[[#This Row],[HRT 
(h)]]*24/1000</f>
        <v>7.6254914373833291E-2</v>
      </c>
      <c r="AL31" s="6">
        <f>(Influent[[#This Row],[NH4-N (mg L-1)]])*stableLTP[NRE 
(%)]/stableLTP[[#This Row],[HRT 
(h)]]*24/1000</f>
        <v>3.5418023019419135E-3</v>
      </c>
      <c r="AM31" s="26">
        <f>1-(stableLTP[[#This Row],[NH4-N 
(mg L-1)]]/Influent[[#This Row],[NH4-N (mg L-1)]])</f>
        <v>0.97523670166982268</v>
      </c>
      <c r="AN31" s="26">
        <f>1-(stableLTP[[#This Row],[TN 
(mg L-1)]]/Influent[[#This Row],[TN (mg L-1)]])</f>
        <v>4.7379168354259371E-2</v>
      </c>
    </row>
    <row r="32" spans="1:40" x14ac:dyDescent="0.3">
      <c r="A32" s="128">
        <v>43355</v>
      </c>
      <c r="B32" s="29">
        <v>29</v>
      </c>
      <c r="C32" s="28">
        <v>313.3</v>
      </c>
      <c r="D32" s="28">
        <f>24/(stableLTP[[#This Row],[Cycle duration 
(h)]]+2)</f>
        <v>4</v>
      </c>
      <c r="E32" s="137">
        <v>4</v>
      </c>
      <c r="F32" s="42">
        <f>Information!$R$61/(stableLTP[Flow 
(m3 d-1)]/24*stableLTP[[#This Row],[Cycles per day]]*stableLTP[[#This Row],[Cycle duration 
(h)]])*24</f>
        <v>169.89058410469198</v>
      </c>
      <c r="G32" s="42">
        <f>stableLTP[[#This Row],[Flow 
(m3 d-1)]]*0.2</f>
        <v>62.660000000000004</v>
      </c>
      <c r="H32" s="42">
        <f>Information!$R$61*stableLTP[[#This Row],[TSS  
(mg L-1)]]/(stableLTP[[#This Row],[Flow 
(m3 d-1)]]*stableLTP[[#This Row],[TSS  
(mg L-1)]])</f>
        <v>4.7191828917969998</v>
      </c>
      <c r="I32" s="27">
        <v>30.77</v>
      </c>
      <c r="J32" s="29">
        <v>7.29</v>
      </c>
      <c r="K32" s="27">
        <v>3.5</v>
      </c>
      <c r="L32" s="27">
        <v>79.16</v>
      </c>
      <c r="M32" s="27"/>
      <c r="N32" s="27"/>
      <c r="O32" s="29">
        <v>10350</v>
      </c>
      <c r="P32" s="29">
        <f>stableLTP[[#This Row],[COD 
(mg L-1)]]*Information!$AK$44</f>
        <v>2794.5</v>
      </c>
      <c r="Q32" s="29">
        <v>1407</v>
      </c>
      <c r="R32" s="29">
        <v>8.5</v>
      </c>
      <c r="S32" s="29">
        <v>8620</v>
      </c>
      <c r="U32" s="29">
        <v>108.04</v>
      </c>
      <c r="V32" s="29">
        <v>23.4</v>
      </c>
      <c r="W32" s="6"/>
      <c r="X32" s="20"/>
      <c r="Y32" s="6"/>
      <c r="Z32" s="29">
        <v>27.39</v>
      </c>
      <c r="AA32" s="29">
        <v>1201.5</v>
      </c>
      <c r="AB32" s="6">
        <f>IF(stableLTP[[#This Row],[TON 
(mg L-1)]]-stableLTP[[#This Row],[NO2-N 
(mg L-1)]]&lt;0,0.2,stableLTP[[#This Row],[TON 
(mg L-1)]]-stableLTP[[#This Row],[NO2-N 
(mg L-1)]])</f>
        <v>0.2</v>
      </c>
      <c r="AC32" s="4">
        <f>SUM(stableLTP[[#This Row],[NH4-N 
(mg L-1)]:[NO3-N 
(mg L-1)]])</f>
        <v>1229.0900000000001</v>
      </c>
      <c r="AD32" s="21">
        <f>stableLTP[[#This Row],[NO3-N 
(mg L-1)]]/(Influent[[#This Row],[NH4-N (mg L-1)]]-stableLTP[[#This Row],[NH4-N 
(mg L-1)]])</f>
        <v>1.739115312040765E-4</v>
      </c>
      <c r="AE32" s="6">
        <f>stableLTP[[#This Row],[NO2-N 
(mg L-1)]]/(Influent[[#This Row],[NH4-N (mg L-1)]]-stableLTP[[#This Row],[NH4-N 
(mg L-1)]])</f>
        <v>1.0447735237084894</v>
      </c>
      <c r="AF32" s="20">
        <f>46/14*stableLTP[[#This Row],[NO2-N 
(mg L-1)]]/(EXP(-2300/(273+stableLTP[[#This Row],[Temp. 
(°C)]]))*10^stableLTP[[#This Row],[pHreactor]])</f>
        <v>0.39320771056190074</v>
      </c>
      <c r="AG32" s="19">
        <f>17/14*(stableLTP[[#This Row],[NH4-N 
(mg L-1)]]*10^stableLTP[[#This Row],[pHreactor]])/(EXP(6344/(273+stableLTP[[#This Row],[Temp. 
(°C)]]))+10^stableLTP[[#This Row],[pHreactor]])</f>
        <v>0.54307620490103337</v>
      </c>
      <c r="AH32" s="20">
        <f>Influent[[#This Row],[sCOD (mg L-1)]]/stableLTP[[#This Row],[HRT 
(h)]]*24/1000</f>
        <v>0.33437992046100157</v>
      </c>
      <c r="AI32" s="6"/>
      <c r="AJ32" s="6">
        <f>(Influent[[#This Row],[NH4-N (mg L-1)]]*stableLTP[ARE 
(%)])*24/stableLTP[[#This Row],[HRT 
(h)]]/1000</f>
        <v>0.16245891522152783</v>
      </c>
      <c r="AK32" s="6">
        <f>Influent[[#This Row],[TN (mg L-1)]]/stableLTP[[#This Row],[HRT 
(h)]]*24/1000</f>
        <v>0.1663564826087349</v>
      </c>
      <c r="AL32" s="6"/>
      <c r="AM32" s="26">
        <f>1-(stableLTP[[#This Row],[NH4-N 
(mg L-1)]]/Influent[[#This Row],[NH4-N (mg L-1)]])</f>
        <v>0.97673687786648544</v>
      </c>
      <c r="AN32" s="26"/>
    </row>
    <row r="33" spans="1:40" x14ac:dyDescent="0.3">
      <c r="A33" s="128">
        <v>43356</v>
      </c>
      <c r="B33" s="29">
        <v>30</v>
      </c>
      <c r="C33" s="28">
        <v>444.5</v>
      </c>
      <c r="D33" s="28">
        <f>24/(stableLTP[[#This Row],[Cycle duration 
(h)]]+2)</f>
        <v>4</v>
      </c>
      <c r="E33" s="137">
        <v>4</v>
      </c>
      <c r="F33" s="42">
        <f>Information!$R$61/(stableLTP[Flow 
(m3 d-1)]/24*stableLTP[[#This Row],[Cycles per day]]*stableLTP[[#This Row],[Cycle duration 
(h)]])*24</f>
        <v>119.745151856018</v>
      </c>
      <c r="G33" s="42">
        <f>stableLTP[[#This Row],[Flow 
(m3 d-1)]]*0.2</f>
        <v>88.9</v>
      </c>
      <c r="H33" s="42">
        <f>Information!$R$61*stableLTP[[#This Row],[TSS  
(mg L-1)]]/(stableLTP[[#This Row],[Flow 
(m3 d-1)]]*stableLTP[[#This Row],[TSS  
(mg L-1)]])</f>
        <v>3.3262542182227222</v>
      </c>
      <c r="I33" s="27">
        <v>29.65</v>
      </c>
      <c r="J33" s="29">
        <v>7.2</v>
      </c>
      <c r="K33" s="27">
        <v>3.5</v>
      </c>
      <c r="L33" s="27">
        <v>77.63</v>
      </c>
      <c r="M33" s="27"/>
      <c r="N33" s="27"/>
      <c r="O33" s="29">
        <v>9790</v>
      </c>
      <c r="P33" s="29">
        <f>stableLTP[[#This Row],[COD 
(mg L-1)]]*Information!$AK$44</f>
        <v>2643.3</v>
      </c>
      <c r="Q33" s="29">
        <v>1808</v>
      </c>
      <c r="R33" s="29">
        <v>8</v>
      </c>
      <c r="S33" s="29">
        <v>8740</v>
      </c>
      <c r="U33" s="29">
        <v>91.94</v>
      </c>
      <c r="V33" s="29">
        <v>27.4</v>
      </c>
      <c r="W33" s="6"/>
      <c r="X33" s="20"/>
      <c r="Y33" s="6"/>
      <c r="Z33" s="29">
        <v>159.86000000000001</v>
      </c>
      <c r="AA33" s="29">
        <v>1097.8</v>
      </c>
      <c r="AB33" s="6">
        <f>IF(stableLTP[[#This Row],[TON 
(mg L-1)]]-stableLTP[[#This Row],[NO2-N 
(mg L-1)]]&lt;0,0.2,stableLTP[[#This Row],[TON 
(mg L-1)]]-stableLTP[[#This Row],[NO2-N 
(mg L-1)]])</f>
        <v>0.2</v>
      </c>
      <c r="AC33" s="4">
        <f>SUM(stableLTP[[#This Row],[NH4-N 
(mg L-1)]:[NO3-N 
(mg L-1)]])</f>
        <v>1257.8599999999999</v>
      </c>
      <c r="AD33" s="21">
        <f>stableLTP[[#This Row],[NO3-N 
(mg L-1)]]/(Influent[[#This Row],[NH4-N (mg L-1)]]-stableLTP[[#This Row],[NH4-N 
(mg L-1)]])</f>
        <v>1.6894174888498444E-4</v>
      </c>
      <c r="AE33" s="6">
        <f>stableLTP[[#This Row],[NO2-N 
(mg L-1)]]/(Influent[[#This Row],[NH4-N (mg L-1)]]-stableLTP[[#This Row],[NH4-N 
(mg L-1)]])</f>
        <v>0.92732125962967948</v>
      </c>
      <c r="AF33" s="20">
        <f>46/14*stableLTP[[#This Row],[NO2-N 
(mg L-1)]]/(EXP(-2300/(273+stableLTP[[#This Row],[Temp. 
(°C)]]))*10^stableLTP[[#This Row],[pHreactor]])</f>
        <v>0.45455892440784451</v>
      </c>
      <c r="AG33" s="19">
        <f>17/14*(stableLTP[[#This Row],[NH4-N 
(mg L-1)]]*10^stableLTP[[#This Row],[pHreactor]])/(EXP(6344/(273+stableLTP[[#This Row],[Temp. 
(°C)]]))+10^stableLTP[[#This Row],[pHreactor]])</f>
        <v>2.3944381470125515</v>
      </c>
      <c r="AH33" s="20">
        <f>Influent[[#This Row],[sCOD (mg L-1)]]/stableLTP[[#This Row],[HRT 
(h)]]*24/1000</f>
        <v>0.50687647106566025</v>
      </c>
      <c r="AI33" s="6"/>
      <c r="AJ33" s="6">
        <f>(Influent[[#This Row],[NH4-N (mg L-1)]]*stableLTP[ARE 
(%)])*24/stableLTP[[#This Row],[HRT 
(h)]]/1000</f>
        <v>0.23727190253316377</v>
      </c>
      <c r="AK33" s="6">
        <f>Influent[[#This Row],[TN (mg L-1)]]/stableLTP[[#This Row],[HRT 
(h)]]*24/1000</f>
        <v>0.27059106358610863</v>
      </c>
      <c r="AL33" s="6">
        <f>(Influent[[#This Row],[NH4-N (mg L-1)]])*stableLTP[NRE 
(%)]/stableLTP[[#This Row],[HRT 
(h)]]*24/1000</f>
        <v>1.8396279917676343E-2</v>
      </c>
      <c r="AM33" s="26">
        <f>1-(stableLTP[[#This Row],[NH4-N 
(mg L-1)]]/Influent[[#This Row],[NH4-N (mg L-1)]])</f>
        <v>0.88102999181364883</v>
      </c>
      <c r="AN33" s="26">
        <f>1-(stableLTP[[#This Row],[TN 
(mg L-1)]]/Influent[[#This Row],[TN (mg L-1)]])</f>
        <v>6.8308443487136494E-2</v>
      </c>
    </row>
    <row r="34" spans="1:40" x14ac:dyDescent="0.3">
      <c r="A34" s="128">
        <v>43357</v>
      </c>
      <c r="B34" s="29">
        <v>31</v>
      </c>
      <c r="C34" s="28"/>
      <c r="D34" s="28"/>
      <c r="E34" s="137"/>
      <c r="F34" s="42"/>
      <c r="G34" s="42"/>
      <c r="H34" s="42"/>
      <c r="I34" s="27"/>
      <c r="K34" s="27"/>
      <c r="L34" s="27"/>
      <c r="M34" s="27"/>
      <c r="N34" s="27"/>
      <c r="W34" s="6"/>
      <c r="X34" s="20"/>
      <c r="Y34" s="6"/>
      <c r="AB34" s="6"/>
      <c r="AC34" s="4"/>
      <c r="AD34" s="21"/>
      <c r="AE34" s="6"/>
      <c r="AF34" s="20"/>
      <c r="AG34" s="19"/>
      <c r="AH34" s="20"/>
      <c r="AI34" s="6"/>
      <c r="AJ34" s="6"/>
      <c r="AK34" s="6"/>
      <c r="AL34" s="6"/>
      <c r="AM34" s="26"/>
      <c r="AN34" s="26"/>
    </row>
    <row r="35" spans="1:40" x14ac:dyDescent="0.3">
      <c r="A35" s="128">
        <v>43358</v>
      </c>
      <c r="B35" s="29">
        <v>32</v>
      </c>
      <c r="C35" s="28"/>
      <c r="D35" s="28"/>
      <c r="E35" s="137"/>
      <c r="F35" s="42"/>
      <c r="G35" s="42"/>
      <c r="H35" s="42"/>
      <c r="I35" s="27"/>
      <c r="K35" s="27"/>
      <c r="L35" s="27"/>
      <c r="M35" s="27"/>
      <c r="N35" s="27"/>
      <c r="W35" s="6"/>
      <c r="X35" s="20"/>
      <c r="Y35" s="6"/>
      <c r="AB35" s="6"/>
      <c r="AC35" s="4"/>
      <c r="AD35" s="21"/>
      <c r="AE35" s="6"/>
      <c r="AF35" s="20"/>
      <c r="AG35" s="19"/>
      <c r="AH35" s="20"/>
      <c r="AI35" s="6"/>
      <c r="AJ35" s="6"/>
      <c r="AK35" s="6"/>
      <c r="AL35" s="6"/>
      <c r="AM35" s="26"/>
      <c r="AN35" s="26"/>
    </row>
    <row r="36" spans="1:40" x14ac:dyDescent="0.3">
      <c r="A36" s="128">
        <v>43359</v>
      </c>
      <c r="B36" s="29">
        <v>33</v>
      </c>
      <c r="C36" s="28"/>
      <c r="D36" s="28"/>
      <c r="E36" s="137"/>
      <c r="F36" s="42"/>
      <c r="G36" s="42"/>
      <c r="H36" s="42"/>
      <c r="I36" s="27"/>
      <c r="K36" s="27"/>
      <c r="L36" s="27"/>
      <c r="M36" s="27"/>
      <c r="N36" s="27"/>
      <c r="W36" s="6"/>
      <c r="X36" s="20"/>
      <c r="Y36" s="6"/>
      <c r="AB36" s="6"/>
      <c r="AC36" s="4"/>
      <c r="AD36" s="21"/>
      <c r="AE36" s="6"/>
      <c r="AF36" s="20"/>
      <c r="AG36" s="19"/>
      <c r="AH36" s="20"/>
      <c r="AI36" s="6"/>
      <c r="AJ36" s="6"/>
      <c r="AK36" s="6"/>
      <c r="AL36" s="6"/>
      <c r="AM36" s="26"/>
      <c r="AN36" s="26"/>
    </row>
    <row r="37" spans="1:40" x14ac:dyDescent="0.3">
      <c r="A37" s="128">
        <v>43360</v>
      </c>
      <c r="B37" s="29">
        <v>34</v>
      </c>
      <c r="C37" s="28">
        <v>314.60000000000002</v>
      </c>
      <c r="D37" s="28">
        <f>24/(stableLTP[[#This Row],[Cycle duration 
(h)]]+2)</f>
        <v>4</v>
      </c>
      <c r="E37" s="137">
        <v>4</v>
      </c>
      <c r="F37" s="42">
        <f>Information!$R$61/(stableLTP[Flow 
(m3 d-1)]/24*stableLTP[[#This Row],[Cycles per day]]*stableLTP[[#This Row],[Cycle duration 
(h)]])*24</f>
        <v>169.1885568976478</v>
      </c>
      <c r="G37" s="42">
        <f>stableLTP[[#This Row],[Flow 
(m3 d-1)]]*0.2</f>
        <v>62.920000000000009</v>
      </c>
      <c r="H37" s="42">
        <f>Information!$R$61*stableLTP[[#This Row],[TSS  
(mg L-1)]]/(stableLTP[[#This Row],[Flow 
(m3 d-1)]]*stableLTP[[#This Row],[TSS  
(mg L-1)]])</f>
        <v>4.6996821360457721</v>
      </c>
      <c r="I37" s="27">
        <v>32.03</v>
      </c>
      <c r="J37" s="29">
        <v>7.23</v>
      </c>
      <c r="K37" s="27">
        <v>3.5</v>
      </c>
      <c r="L37" s="27">
        <v>61.07</v>
      </c>
      <c r="M37" s="27">
        <f>stableLTP[[#This Row],[TSS  
(mg L-1)]]</f>
        <v>8160</v>
      </c>
      <c r="N37" s="27">
        <f>stableLTP[[#This Row],[VSS 
(mg L-1)]]</f>
        <v>5700</v>
      </c>
      <c r="O37" s="29">
        <v>9175</v>
      </c>
      <c r="P37" s="29">
        <f>stableLTP[[#This Row],[COD 
(mg L-1)]]*Information!$AK$44</f>
        <v>2477.25</v>
      </c>
      <c r="Q37" s="29">
        <v>1294</v>
      </c>
      <c r="R37" s="29">
        <v>8</v>
      </c>
      <c r="S37" s="29">
        <v>8160</v>
      </c>
      <c r="T37" s="29">
        <v>5700</v>
      </c>
      <c r="U37" s="29">
        <v>14.98</v>
      </c>
      <c r="V37" s="29">
        <v>29.8</v>
      </c>
      <c r="W37" s="6"/>
      <c r="X37" s="20"/>
      <c r="Y37" s="6"/>
      <c r="Z37" s="29">
        <v>67.45</v>
      </c>
      <c r="AA37" s="29">
        <v>1218</v>
      </c>
      <c r="AB37" s="6">
        <f>IF(stableLTP[[#This Row],[TON 
(mg L-1)]]-stableLTP[[#This Row],[NO2-N 
(mg L-1)]]&lt;0,0.2,stableLTP[[#This Row],[TON 
(mg L-1)]]-stableLTP[[#This Row],[NO2-N 
(mg L-1)]])</f>
        <v>0.2</v>
      </c>
      <c r="AC37" s="4">
        <f>SUM(stableLTP[[#This Row],[NH4-N 
(mg L-1)]:[NO3-N 
(mg L-1)]])</f>
        <v>1285.6500000000001</v>
      </c>
      <c r="AD37" s="21">
        <f>stableLTP[[#This Row],[NO3-N 
(mg L-1)]]/(Influent[[#This Row],[NH4-N (mg L-1)]]-stableLTP[[#This Row],[NH4-N 
(mg L-1)]])</f>
        <v>1.3947487708776456E-4</v>
      </c>
      <c r="AE37" s="6">
        <f>stableLTP[[#This Row],[NO2-N 
(mg L-1)]]/(Influent[[#This Row],[NH4-N (mg L-1)]]-stableLTP[[#This Row],[NH4-N 
(mg L-1)]])</f>
        <v>0.84940200146448619</v>
      </c>
      <c r="AF37" s="20">
        <f>46/14*stableLTP[[#This Row],[NO2-N 
(mg L-1)]]/(EXP(-2300/(273+stableLTP[[#This Row],[Temp. 
(°C)]]))*10^stableLTP[[#This Row],[pHreactor]])</f>
        <v>0.44357039499886292</v>
      </c>
      <c r="AG37" s="19">
        <f>17/14*(stableLTP[[#This Row],[NH4-N 
(mg L-1)]]*10^stableLTP[[#This Row],[pHreactor]])/(EXP(6344/(273+stableLTP[[#This Row],[Temp. 
(°C)]]))+10^stableLTP[[#This Row],[pHreactor]])</f>
        <v>1.2707930685699842</v>
      </c>
      <c r="AH37" s="20">
        <f>Influent[[#This Row],[sCOD (mg L-1)]]/stableLTP[[#This Row],[HRT 
(h)]]*24/1000</f>
        <v>0.36449273597922244</v>
      </c>
      <c r="AI37" s="6">
        <f>IFERROR(IF(((Influent[[#This Row],[COD (mg L-1)]]-stableLTP[[#This Row],[sCOD]])/stableLTP[[#This Row],[HRT 
(h)]]*24/1000) &lt;0,0, (Influent[[#This Row],[sCOD (mg L-1)]]-stableLTP[[#This Row],[sCOD]])/stableLTP[[#This Row],[HRT 
(h)]]*24/1000),0)</f>
        <v>1.3085991396802209E-2</v>
      </c>
      <c r="AJ37" s="6">
        <f>(Influent[[#This Row],[NH4-N (mg L-1)]]*stableLTP[ARE 
(%)])*24/stableLTP[[#This Row],[HRT 
(h)]]/1000</f>
        <v>0.20341091992893798</v>
      </c>
      <c r="AK37" s="6">
        <f>Influent[[#This Row],[TN (mg L-1)]]/stableLTP[[#This Row],[HRT 
(h)]]*24/1000</f>
        <v>0.21300731361992625</v>
      </c>
      <c r="AL37" s="6">
        <f>(Influent[[#This Row],[NH4-N (mg L-1)]])*stableLTP[NRE 
(%)]/stableLTP[[#This Row],[HRT 
(h)]]*24/1000</f>
        <v>3.0629197336666737E-2</v>
      </c>
      <c r="AM37" s="26">
        <f>1-(stableLTP[[#This Row],[NH4-N 
(mg L-1)]]/Influent[[#This Row],[NH4-N (mg L-1)]])</f>
        <v>0.95507526308778479</v>
      </c>
      <c r="AN37" s="26">
        <f>1-(stableLTP[[#This Row],[TN 
(mg L-1)]]/Influent[[#This Row],[TN (mg L-1)]])</f>
        <v>0.14381326584976029</v>
      </c>
    </row>
    <row r="38" spans="1:40" x14ac:dyDescent="0.3">
      <c r="A38" s="128">
        <v>43361</v>
      </c>
      <c r="B38" s="29">
        <v>35</v>
      </c>
      <c r="C38" s="28">
        <v>107.7</v>
      </c>
      <c r="D38" s="28">
        <f>24/(stableLTP[[#This Row],[Cycle duration 
(h)]]+2)</f>
        <v>4</v>
      </c>
      <c r="E38" s="137">
        <v>4</v>
      </c>
      <c r="F38" s="42">
        <f>Information!$R$61/(stableLTP[Flow 
(m3 d-1)]/24*stableLTP[[#This Row],[Cycles per day]]*stableLTP[[#This Row],[Cycle duration 
(h)]])*24</f>
        <v>494.21281337047355</v>
      </c>
      <c r="G38" s="42">
        <f>stableLTP[[#This Row],[Flow 
(m3 d-1)]]*0.2</f>
        <v>21.540000000000003</v>
      </c>
      <c r="H38" s="42">
        <f>Information!$R$61*stableLTP[[#This Row],[TSS  
(mg L-1)]]/(stableLTP[[#This Row],[Flow 
(m3 d-1)]]*stableLTP[[#This Row],[TSS  
(mg L-1)]])</f>
        <v>13.728133704735376</v>
      </c>
      <c r="I38" s="27">
        <v>31.69</v>
      </c>
      <c r="J38" s="29">
        <v>8.02</v>
      </c>
      <c r="K38" s="27">
        <v>3.5</v>
      </c>
      <c r="L38" s="27">
        <v>59.13</v>
      </c>
      <c r="M38" s="27">
        <f>stableLTP[[#This Row],[TSS  
(mg L-1)]]</f>
        <v>13320</v>
      </c>
      <c r="N38" s="27">
        <f>stableLTP[[#This Row],[VSS 
(mg L-1)]]</f>
        <v>6600</v>
      </c>
      <c r="O38" s="29">
        <v>13450</v>
      </c>
      <c r="P38" s="29">
        <f>stableLTP[[#This Row],[COD 
(mg L-1)]]*Information!$AK$44</f>
        <v>3631.5000000000005</v>
      </c>
      <c r="Q38" s="29">
        <v>1472</v>
      </c>
      <c r="R38" s="29">
        <v>9.1999999999999993</v>
      </c>
      <c r="S38" s="29">
        <v>13320</v>
      </c>
      <c r="T38" s="29">
        <v>6600</v>
      </c>
      <c r="U38" s="29">
        <v>19.02</v>
      </c>
      <c r="V38" s="29">
        <v>24.9</v>
      </c>
      <c r="W38" s="6"/>
      <c r="X38" s="20"/>
      <c r="Y38" s="6"/>
      <c r="Z38" s="29">
        <v>15.11</v>
      </c>
      <c r="AA38" s="29">
        <v>1197.0999999999999</v>
      </c>
      <c r="AB38" s="6">
        <f>IF(stableLTP[[#This Row],[TON 
(mg L-1)]]-stableLTP[[#This Row],[NO2-N 
(mg L-1)]]&lt;0,0.2,stableLTP[[#This Row],[TON 
(mg L-1)]]-stableLTP[[#This Row],[NO2-N 
(mg L-1)]])</f>
        <v>0.2</v>
      </c>
      <c r="AC38" s="4">
        <f>SUM(stableLTP[[#This Row],[NH4-N 
(mg L-1)]:[NO3-N 
(mg L-1)]])</f>
        <v>1212.4099999999999</v>
      </c>
      <c r="AD38" s="21">
        <f>stableLTP[[#This Row],[NO3-N 
(mg L-1)]]/(Influent[[#This Row],[NH4-N (mg L-1)]]-stableLTP[[#This Row],[NH4-N 
(mg L-1)]])</f>
        <v>1.592369365998137E-4</v>
      </c>
      <c r="AE38" s="6">
        <f>stableLTP[[#This Row],[NO2-N 
(mg L-1)]]/(Influent[[#This Row],[NH4-N (mg L-1)]]-stableLTP[[#This Row],[NH4-N 
(mg L-1)]])</f>
        <v>0.95311268401818483</v>
      </c>
      <c r="AF38" s="20">
        <f>46/14*stableLTP[[#This Row],[NO2-N 
(mg L-1)]]/(EXP(-2300/(273+stableLTP[[#This Row],[Temp. 
(°C)]]))*10^stableLTP[[#This Row],[pHreactor]])</f>
        <v>7.1301698950110168E-2</v>
      </c>
      <c r="AG38" s="19">
        <f>17/14*(stableLTP[[#This Row],[NH4-N 
(mg L-1)]]*10^stableLTP[[#This Row],[pHreactor]])/(EXP(6344/(273+stableLTP[[#This Row],[Temp. 
(°C)]]))+10^stableLTP[[#This Row],[pHreactor]])</f>
        <v>1.59102144639878</v>
      </c>
      <c r="AH38" s="20">
        <f>Influent[[#This Row],[sCOD (mg L-1)]]/stableLTP[[#This Row],[HRT 
(h)]]*24/1000</f>
        <v>0.12215790114438764</v>
      </c>
      <c r="AI38" s="6"/>
      <c r="AJ38" s="6">
        <f>(Influent[[#This Row],[NH4-N (mg L-1)]]*stableLTP[ARE 
(%)])*24/stableLTP[[#This Row],[HRT 
(h)]]/1000</f>
        <v>6.0993481319156988E-2</v>
      </c>
      <c r="AK38" s="6">
        <f>Influent[[#This Row],[TN (mg L-1)]]/stableLTP[[#This Row],[HRT 
(h)]]*24/1000</f>
        <v>6.2052328815301781E-2</v>
      </c>
      <c r="AL38" s="6">
        <f>(Influent[[#This Row],[NH4-N (mg L-1)]])*stableLTP[NRE 
(%)]/stableLTP[[#This Row],[HRT 
(h)]]*24/1000</f>
        <v>3.1585488693240578E-3</v>
      </c>
      <c r="AM38" s="26">
        <f>1-(stableLTP[[#This Row],[NH4-N 
(mg L-1)]]/Influent[[#This Row],[NH4-N (mg L-1)]])</f>
        <v>0.98811265832743289</v>
      </c>
      <c r="AN38" s="26">
        <f>1-(stableLTP[[#This Row],[TN 
(mg L-1)]]/Influent[[#This Row],[TN (mg L-1)]])</f>
        <v>5.1169437327143519E-2</v>
      </c>
    </row>
    <row r="39" spans="1:40" x14ac:dyDescent="0.3">
      <c r="A39" s="128">
        <v>43362</v>
      </c>
      <c r="B39" s="29">
        <v>36</v>
      </c>
      <c r="C39" s="28">
        <v>465.2</v>
      </c>
      <c r="D39" s="28">
        <f>24/(stableLTP[[#This Row],[Cycle duration 
(h)]]+2)</f>
        <v>4</v>
      </c>
      <c r="E39" s="137">
        <v>4</v>
      </c>
      <c r="F39" s="42">
        <f>Information!$R$61/(stableLTP[Flow 
(m3 d-1)]/24*stableLTP[[#This Row],[Cycles per day]]*stableLTP[[#This Row],[Cycle duration 
(h)]])*24</f>
        <v>114.41685296646602</v>
      </c>
      <c r="G39" s="42">
        <f>stableLTP[[#This Row],[Flow 
(m3 d-1)]]*0.2</f>
        <v>93.04</v>
      </c>
      <c r="H39" s="42">
        <f>Information!$R$61*stableLTP[[#This Row],[TSS  
(mg L-1)]]/(stableLTP[[#This Row],[Flow 
(m3 d-1)]]*stableLTP[[#This Row],[TSS  
(mg L-1)]])</f>
        <v>3.1782459157351677</v>
      </c>
      <c r="I39" s="27">
        <v>29.9</v>
      </c>
      <c r="J39" s="29">
        <v>7.13</v>
      </c>
      <c r="K39" s="27">
        <v>3.5</v>
      </c>
      <c r="L39" s="27">
        <v>59.14</v>
      </c>
      <c r="M39" s="27">
        <f>stableLTP[[#This Row],[TSS  
(mg L-1)]]</f>
        <v>16440</v>
      </c>
      <c r="N39" s="27">
        <f>stableLTP[[#This Row],[VSS 
(mg L-1)]]</f>
        <v>3420</v>
      </c>
      <c r="O39" s="29">
        <v>16175</v>
      </c>
      <c r="P39" s="29">
        <f>stableLTP[[#This Row],[COD 
(mg L-1)]]*Information!$AK$44</f>
        <v>4367.25</v>
      </c>
      <c r="Q39" s="29">
        <v>1756</v>
      </c>
      <c r="R39" s="29">
        <v>9</v>
      </c>
      <c r="S39" s="29">
        <v>16440</v>
      </c>
      <c r="T39" s="29">
        <v>3420</v>
      </c>
      <c r="U39" s="29">
        <v>19.7</v>
      </c>
      <c r="V39" s="29">
        <v>28</v>
      </c>
      <c r="W39" s="6"/>
      <c r="X39" s="20"/>
      <c r="Y39" s="6"/>
      <c r="Z39" s="29">
        <v>111.62</v>
      </c>
      <c r="AA39" s="29">
        <v>1141.4000000000001</v>
      </c>
      <c r="AB39" s="6">
        <f>IF(stableLTP[[#This Row],[TON 
(mg L-1)]]-stableLTP[[#This Row],[NO2-N 
(mg L-1)]]&lt;0,0.2,stableLTP[[#This Row],[TON 
(mg L-1)]]-stableLTP[[#This Row],[NO2-N 
(mg L-1)]])</f>
        <v>0.2</v>
      </c>
      <c r="AC39" s="4">
        <f>SUM(stableLTP[[#This Row],[NH4-N 
(mg L-1)]:[NO3-N 
(mg L-1)]])</f>
        <v>1253.22</v>
      </c>
      <c r="AD39" s="21">
        <f>stableLTP[[#This Row],[NO3-N 
(mg L-1)]]/(Influent[[#This Row],[NH4-N (mg L-1)]]-stableLTP[[#This Row],[NH4-N 
(mg L-1)]])</f>
        <v>1.7607493749339717E-4</v>
      </c>
      <c r="AE39" s="6">
        <f>stableLTP[[#This Row],[NO2-N 
(mg L-1)]]/(Influent[[#This Row],[NH4-N (mg L-1)]]-stableLTP[[#This Row],[NH4-N 
(mg L-1)]])</f>
        <v>1.0048596682748177</v>
      </c>
      <c r="AF39" s="20">
        <f>46/14*stableLTP[[#This Row],[NO2-N 
(mg L-1)]]/(EXP(-2300/(273+stableLTP[[#This Row],[Temp. 
(°C)]]))*10^stableLTP[[#This Row],[pHreactor]])</f>
        <v>0.55179885949821006</v>
      </c>
      <c r="AG39" s="19">
        <f>17/14*(stableLTP[[#This Row],[NH4-N 
(mg L-1)]]*10^stableLTP[[#This Row],[pHreactor]])/(EXP(6344/(273+stableLTP[[#This Row],[Temp. 
(°C)]]))+10^stableLTP[[#This Row],[pHreactor]])</f>
        <v>1.4502334247276272</v>
      </c>
      <c r="AH39" s="20">
        <f>Influent[[#This Row],[sCOD (mg L-1)]]/stableLTP[[#This Row],[HRT 
(h)]]*24/1000</f>
        <v>0.52859345832318805</v>
      </c>
      <c r="AI39" s="6"/>
      <c r="AJ39" s="6">
        <f>(Influent[[#This Row],[NH4-N (mg L-1)]]*stableLTP[ARE 
(%)])*24/stableLTP[[#This Row],[HRT 
(h)]]/1000</f>
        <v>0.2382614037460884</v>
      </c>
      <c r="AK39" s="6">
        <f>Influent[[#This Row],[TN (mg L-1)]]/stableLTP[[#This Row],[HRT 
(h)]]*24/1000</f>
        <v>0.26171668966263567</v>
      </c>
      <c r="AL39" s="6"/>
      <c r="AM39" s="26">
        <f>1-(stableLTP[[#This Row],[NH4-N 
(mg L-1)]]/Influent[[#This Row],[NH4-N (mg L-1)]])</f>
        <v>0.91052505010020035</v>
      </c>
      <c r="AN39" s="26"/>
    </row>
    <row r="40" spans="1:40" x14ac:dyDescent="0.3">
      <c r="A40" s="128">
        <v>43363</v>
      </c>
      <c r="B40" s="29">
        <v>37</v>
      </c>
      <c r="C40" s="28">
        <v>747.4</v>
      </c>
      <c r="D40" s="28">
        <f>24/(stableLTP[[#This Row],[Cycle duration 
(h)]]+2)</f>
        <v>4</v>
      </c>
      <c r="E40" s="137">
        <v>4</v>
      </c>
      <c r="F40" s="42">
        <f>Information!$R$61/(stableLTP[Flow 
(m3 d-1)]/24*stableLTP[[#This Row],[Cycles per day]]*stableLTP[[#This Row],[Cycle duration 
(h)]])*24</f>
        <v>71.215841584158412</v>
      </c>
      <c r="G40" s="42">
        <f>stableLTP[[#This Row],[Flow 
(m3 d-1)]]*0.2</f>
        <v>149.47999999999999</v>
      </c>
      <c r="H40" s="42">
        <f>Information!$R$61*stableLTP[[#This Row],[TSS  
(mg L-1)]]/(stableLTP[[#This Row],[Flow 
(m3 d-1)]]*stableLTP[[#This Row],[TSS  
(mg L-1)]])</f>
        <v>1.9782178217821784</v>
      </c>
      <c r="I40" s="27">
        <v>30.25</v>
      </c>
      <c r="J40" s="29">
        <v>7.43</v>
      </c>
      <c r="K40" s="27">
        <v>3.5</v>
      </c>
      <c r="L40" s="27">
        <v>57.03</v>
      </c>
      <c r="M40" s="27">
        <f>stableLTP[[#This Row],[TSS  
(mg L-1)]]</f>
        <v>8240</v>
      </c>
      <c r="N40" s="27">
        <f>stableLTP[[#This Row],[VSS 
(mg L-1)]]</f>
        <v>4050</v>
      </c>
      <c r="O40" s="29">
        <v>10225</v>
      </c>
      <c r="P40" s="29">
        <f>stableLTP[[#This Row],[COD 
(mg L-1)]]*Information!$AK$44</f>
        <v>2760.75</v>
      </c>
      <c r="Q40" s="29">
        <v>2439</v>
      </c>
      <c r="R40" s="29">
        <v>8.5</v>
      </c>
      <c r="S40" s="29">
        <v>8240</v>
      </c>
      <c r="T40" s="29">
        <v>4050</v>
      </c>
      <c r="U40" s="29">
        <v>15.08</v>
      </c>
      <c r="V40" s="29">
        <v>27.7</v>
      </c>
      <c r="W40" s="6"/>
      <c r="X40" s="20"/>
      <c r="Y40" s="6"/>
      <c r="Z40" s="29">
        <v>196.96</v>
      </c>
      <c r="AA40" s="29">
        <v>1155.8</v>
      </c>
      <c r="AB40" s="6">
        <f>IF(stableLTP[[#This Row],[TON 
(mg L-1)]]-stableLTP[[#This Row],[NO2-N 
(mg L-1)]]&lt;0,0.2,stableLTP[[#This Row],[TON 
(mg L-1)]]-stableLTP[[#This Row],[NO2-N 
(mg L-1)]])</f>
        <v>0.2</v>
      </c>
      <c r="AC40" s="4">
        <f>SUM(stableLTP[[#This Row],[NH4-N 
(mg L-1)]:[NO3-N 
(mg L-1)]])</f>
        <v>1352.96</v>
      </c>
      <c r="AD40" s="21">
        <f>stableLTP[[#This Row],[NO3-N 
(mg L-1)]]/(Influent[[#This Row],[NH4-N (mg L-1)]]-stableLTP[[#This Row],[NH4-N 
(mg L-1)]])</f>
        <v>1.5461446882199237E-4</v>
      </c>
      <c r="AE40" s="6">
        <f>stableLTP[[#This Row],[NO2-N 
(mg L-1)]]/(Influent[[#This Row],[NH4-N (mg L-1)]]-stableLTP[[#This Row],[NH4-N 
(mg L-1)]])</f>
        <v>0.89351701532229388</v>
      </c>
      <c r="AF40" s="20">
        <f>46/14*stableLTP[[#This Row],[NO2-N 
(mg L-1)]]/(EXP(-2300/(273+stableLTP[[#This Row],[Temp. 
(°C)]]))*10^stableLTP[[#This Row],[pHreactor]])</f>
        <v>0.27760003796588456</v>
      </c>
      <c r="AG40" s="19">
        <f>17/14*(stableLTP[[#This Row],[NH4-N 
(mg L-1)]]*10^stableLTP[[#This Row],[pHreactor]])/(EXP(6344/(273+stableLTP[[#This Row],[Temp. 
(°C)]]))+10^stableLTP[[#This Row],[pHreactor]])</f>
        <v>5.1730579661059686</v>
      </c>
      <c r="AH40" s="20">
        <f>Influent[[#This Row],[sCOD (mg L-1)]]/stableLTP[[#This Row],[HRT 
(h)]]*24/1000</f>
        <v>0.88716216216216226</v>
      </c>
      <c r="AI40" s="6"/>
      <c r="AJ40" s="6">
        <f>(Influent[[#This Row],[NH4-N (mg L-1)]]*stableLTP[ARE 
(%)])*24/stableLTP[[#This Row],[HRT 
(h)]]/1000</f>
        <v>0.43592772772772775</v>
      </c>
      <c r="AK40" s="6">
        <f>Influent[[#This Row],[TN (mg L-1)]]/stableLTP[[#This Row],[HRT 
(h)]]*24/1000</f>
        <v>0.51109639639639637</v>
      </c>
      <c r="AL40" s="6">
        <f>(Influent[[#This Row],[NH4-N (mg L-1)]])*stableLTP[NRE 
(%)]/stableLTP[[#This Row],[HRT 
(h)]]*24/1000</f>
        <v>5.4195266166453669E-2</v>
      </c>
      <c r="AM40" s="26">
        <f>1-(stableLTP[[#This Row],[NH4-N 
(mg L-1)]]/Influent[[#This Row],[NH4-N (mg L-1)]])</f>
        <v>0.8678564240187856</v>
      </c>
      <c r="AN40" s="26">
        <f>1-(stableLTP[[#This Row],[TN 
(mg L-1)]]/Influent[[#This Row],[TN (mg L-1)]])</f>
        <v>0.10789336603828314</v>
      </c>
    </row>
    <row r="41" spans="1:40" x14ac:dyDescent="0.3">
      <c r="A41" s="128">
        <v>43364</v>
      </c>
      <c r="B41" s="29">
        <v>38</v>
      </c>
      <c r="C41" s="28">
        <v>719.4</v>
      </c>
      <c r="D41" s="28">
        <f>24/(stableLTP[[#This Row],[Cycle duration 
(h)]]+2)</f>
        <v>4</v>
      </c>
      <c r="E41" s="137">
        <v>4</v>
      </c>
      <c r="F41" s="42">
        <f>Information!$R$61/(stableLTP[Flow 
(m3 d-1)]/24*stableLTP[[#This Row],[Cycles per day]]*stableLTP[[#This Row],[Cycle duration 
(h)]])*24</f>
        <v>73.987656380316935</v>
      </c>
      <c r="G41" s="42">
        <f>stableLTP[[#This Row],[Flow 
(m3 d-1)]]*0.2</f>
        <v>143.88</v>
      </c>
      <c r="H41" s="42">
        <f>Information!$R$61*stableLTP[[#This Row],[TSS  
(mg L-1)]]/(stableLTP[[#This Row],[Flow 
(m3 d-1)]]*stableLTP[[#This Row],[TSS  
(mg L-1)]])</f>
        <v>2.0552126772310255</v>
      </c>
      <c r="I41" s="27">
        <v>30.67</v>
      </c>
      <c r="J41" s="29">
        <v>7.44</v>
      </c>
      <c r="K41" s="27">
        <v>3.5</v>
      </c>
      <c r="L41" s="27">
        <v>52.31</v>
      </c>
      <c r="M41" s="27">
        <f>stableLTP[[#This Row],[TSS  
(mg L-1)]]</f>
        <v>12420</v>
      </c>
      <c r="N41" s="27">
        <f>stableLTP[[#This Row],[VSS 
(mg L-1)]]</f>
        <v>4430</v>
      </c>
      <c r="O41" s="29">
        <v>15475</v>
      </c>
      <c r="P41" s="29">
        <f>stableLTP[[#This Row],[COD 
(mg L-1)]]*Information!$AK$44</f>
        <v>4178.25</v>
      </c>
      <c r="Q41" s="29">
        <v>2425</v>
      </c>
      <c r="R41" s="29">
        <v>9.1</v>
      </c>
      <c r="S41" s="29">
        <v>12420</v>
      </c>
      <c r="T41" s="29">
        <v>4430</v>
      </c>
      <c r="U41" s="29">
        <v>15.26</v>
      </c>
      <c r="V41" s="29">
        <v>36.200000000000003</v>
      </c>
      <c r="W41" s="6"/>
      <c r="X41" s="20"/>
      <c r="Y41" s="6"/>
      <c r="Z41" s="29">
        <v>105.07</v>
      </c>
      <c r="AA41" s="29">
        <v>1058.2</v>
      </c>
      <c r="AB41" s="6">
        <f>IF(stableLTP[[#This Row],[TON 
(mg L-1)]]-stableLTP[[#This Row],[NO2-N 
(mg L-1)]]&lt;0,0.2,stableLTP[[#This Row],[TON 
(mg L-1)]]-stableLTP[[#This Row],[NO2-N 
(mg L-1)]])</f>
        <v>0.2</v>
      </c>
      <c r="AC41" s="4">
        <f>SUM(stableLTP[[#This Row],[NH4-N 
(mg L-1)]:[NO3-N 
(mg L-1)]])</f>
        <v>1163.47</v>
      </c>
      <c r="AD41" s="21">
        <f>stableLTP[[#This Row],[NO3-N 
(mg L-1)]]/(Influent[[#This Row],[NH4-N (mg L-1)]]-stableLTP[[#This Row],[NH4-N 
(mg L-1)]])</f>
        <v>1.6032963773518353E-4</v>
      </c>
      <c r="AE41" s="6">
        <f>stableLTP[[#This Row],[NO2-N 
(mg L-1)]]/(Influent[[#This Row],[NH4-N (mg L-1)]]-stableLTP[[#This Row],[NH4-N 
(mg L-1)]])</f>
        <v>0.84830411325685606</v>
      </c>
      <c r="AF41" s="20">
        <f>46/14*stableLTP[[#This Row],[NO2-N 
(mg L-1)]]/(EXP(-2300/(273+stableLTP[[#This Row],[Temp. 
(°C)]]))*10^stableLTP[[#This Row],[pHreactor]])</f>
        <v>0.2457813075086635</v>
      </c>
      <c r="AG41" s="19">
        <f>17/14*(stableLTP[[#This Row],[NH4-N 
(mg L-1)]]*10^stableLTP[[#This Row],[pHreactor]])/(EXP(6344/(273+stableLTP[[#This Row],[Temp. 
(°C)]]))+10^stableLTP[[#This Row],[pHreactor]])</f>
        <v>2.9034426318948872</v>
      </c>
      <c r="AH41" s="20">
        <f>Influent[[#This Row],[sCOD (mg L-1)]]/stableLTP[[#This Row],[HRT 
(h)]]*24/1000</f>
        <v>0.84078889700511317</v>
      </c>
      <c r="AI41" s="6"/>
      <c r="AJ41" s="6">
        <f>(Influent[[#This Row],[NH4-N (mg L-1)]]*stableLTP[ARE 
(%)])*24/stableLTP[[#This Row],[HRT 
(h)]]/1000</f>
        <v>0.40463938803668531</v>
      </c>
      <c r="AK41" s="6">
        <f>Influent[[#This Row],[TN (mg L-1)]]/stableLTP[[#This Row],[HRT 
(h)]]*24/1000</f>
        <v>0.45150104266428587</v>
      </c>
      <c r="AL41" s="6">
        <f>(Influent[[#This Row],[NH4-N (mg L-1)]])*stableLTP[NRE 
(%)]/stableLTP[[#This Row],[HRT 
(h)]]*24/1000</f>
        <v>7.1999253338919045E-2</v>
      </c>
      <c r="AM41" s="26">
        <f>1-(stableLTP[[#This Row],[NH4-N 
(mg L-1)]]/Influent[[#This Row],[NH4-N (mg L-1)]])</f>
        <v>0.92231423290203329</v>
      </c>
      <c r="AN41" s="26">
        <f>1-(stableLTP[[#This Row],[TN 
(mg L-1)]]/Influent[[#This Row],[TN (mg L-1)]])</f>
        <v>0.16411139912752093</v>
      </c>
    </row>
    <row r="42" spans="1:40" x14ac:dyDescent="0.3">
      <c r="A42" s="128">
        <v>43365</v>
      </c>
      <c r="B42" s="29">
        <v>39</v>
      </c>
      <c r="C42" s="28">
        <v>601.4</v>
      </c>
      <c r="D42" s="28">
        <f>24/(stableLTP[[#This Row],[Cycle duration 
(h)]]+2)</f>
        <v>4</v>
      </c>
      <c r="E42" s="137">
        <v>4</v>
      </c>
      <c r="F42" s="42">
        <f>Information!$R$61/(stableLTP[Flow 
(m3 d-1)]/24*stableLTP[[#This Row],[Cycles per day]]*stableLTP[[#This Row],[Cycle duration 
(h)]])*24</f>
        <v>88.504689058862652</v>
      </c>
      <c r="G42" s="42">
        <f>stableLTP[[#This Row],[Flow 
(m3 d-1)]]*0.2</f>
        <v>120.28</v>
      </c>
      <c r="H42" s="42">
        <f>Information!$R$61*stableLTP[[#This Row],[TSS  
(mg L-1)]]/(stableLTP[[#This Row],[Flow 
(m3 d-1)]]*stableLTP[[#This Row],[TSS  
(mg L-1)]])</f>
        <v>2.4584635849684071</v>
      </c>
      <c r="I42" s="27">
        <v>30.73</v>
      </c>
      <c r="J42" s="29">
        <v>7.25</v>
      </c>
      <c r="K42" s="27">
        <v>3.5</v>
      </c>
      <c r="L42" s="27">
        <v>47.24</v>
      </c>
      <c r="M42" s="27">
        <f>stableLTP[[#This Row],[TSS  
(mg L-1)]]</f>
        <v>14800</v>
      </c>
      <c r="N42" s="27">
        <f>stableLTP[[#This Row],[VSS 
(mg L-1)]]</f>
        <v>4690</v>
      </c>
      <c r="O42" s="29">
        <v>12475</v>
      </c>
      <c r="P42" s="29">
        <f>stableLTP[[#This Row],[COD 
(mg L-1)]]*Information!$AK$44</f>
        <v>3368.25</v>
      </c>
      <c r="Q42" s="29">
        <v>2098</v>
      </c>
      <c r="R42" s="29">
        <v>9</v>
      </c>
      <c r="S42" s="29">
        <v>14800</v>
      </c>
      <c r="T42" s="29">
        <v>4690</v>
      </c>
      <c r="U42" s="29">
        <v>11.5</v>
      </c>
      <c r="V42" s="29">
        <v>32.9</v>
      </c>
      <c r="W42" s="6"/>
      <c r="X42" s="20"/>
      <c r="Y42" s="6"/>
      <c r="Z42" s="29">
        <v>117.79</v>
      </c>
      <c r="AA42" s="29">
        <v>1115.7</v>
      </c>
      <c r="AB42" s="6">
        <f>IF(stableLTP[[#This Row],[TON 
(mg L-1)]]-stableLTP[[#This Row],[NO2-N 
(mg L-1)]]&lt;0,0.2,stableLTP[[#This Row],[TON 
(mg L-1)]]-stableLTP[[#This Row],[NO2-N 
(mg L-1)]])</f>
        <v>0.2</v>
      </c>
      <c r="AC42" s="4">
        <f>SUM(stableLTP[[#This Row],[NH4-N 
(mg L-1)]:[NO3-N 
(mg L-1)]])</f>
        <v>1233.69</v>
      </c>
      <c r="AD42" s="21">
        <f>stableLTP[[#This Row],[NO3-N 
(mg L-1)]]/(Influent[[#This Row],[NH4-N (mg L-1)]]-stableLTP[[#This Row],[NH4-N 
(mg L-1)]])</f>
        <v>1.5741710021959686E-4</v>
      </c>
      <c r="AE42" s="6">
        <f>stableLTP[[#This Row],[NO2-N 
(mg L-1)]]/(Influent[[#This Row],[NH4-N (mg L-1)]]-stableLTP[[#This Row],[NH4-N 
(mg L-1)]])</f>
        <v>0.87815129357502109</v>
      </c>
      <c r="AF42" s="20">
        <f>46/14*stableLTP[[#This Row],[NO2-N 
(mg L-1)]]/(EXP(-2300/(273+stableLTP[[#This Row],[Temp. 
(°C)]]))*10^stableLTP[[#This Row],[pHreactor]])</f>
        <v>0.40075480200714525</v>
      </c>
      <c r="AG42" s="19">
        <f>17/14*(stableLTP[[#This Row],[NH4-N 
(mg L-1)]]*10^stableLTP[[#This Row],[pHreactor]])/(EXP(6344/(273+stableLTP[[#This Row],[Temp. 
(°C)]]))+10^stableLTP[[#This Row],[pHreactor]])</f>
        <v>2.1272811875583733</v>
      </c>
      <c r="AH42" s="20">
        <f>Influent[[#This Row],[sCOD (mg L-1)]]/stableLTP[[#This Row],[HRT 
(h)]]*24/1000</f>
        <v>0.70043746449151856</v>
      </c>
      <c r="AI42" s="6"/>
      <c r="AJ42" s="6">
        <f>(Influent[[#This Row],[NH4-N (mg L-1)]]*stableLTP[ARE 
(%)])*24/stableLTP[[#This Row],[HRT 
(h)]]/1000</f>
        <v>0.34452683043403759</v>
      </c>
      <c r="AK42" s="6">
        <f>Influent[[#This Row],[TN (mg L-1)]]/stableLTP[[#This Row],[HRT 
(h)]]*24/1000</f>
        <v>0.38481893289686081</v>
      </c>
      <c r="AL42" s="6">
        <f>(Influent[[#This Row],[NH4-N (mg L-1)]])*stableLTP[NRE 
(%)]/stableLTP[[#This Row],[HRT 
(h)]]*24/1000</f>
        <v>4.9185632085794101E-2</v>
      </c>
      <c r="AM42" s="26">
        <f>1-(stableLTP[[#This Row],[NH4-N 
(mg L-1)]]/Influent[[#This Row],[NH4-N (mg L-1)]])</f>
        <v>0.91515522581574582</v>
      </c>
      <c r="AN42" s="26">
        <f>1-(stableLTP[[#This Row],[TN 
(mg L-1)]]/Influent[[#This Row],[TN (mg L-1)]])</f>
        <v>0.13065016788868955</v>
      </c>
    </row>
    <row r="43" spans="1:40" x14ac:dyDescent="0.3">
      <c r="A43" s="128">
        <v>43366</v>
      </c>
      <c r="B43" s="29">
        <v>40</v>
      </c>
      <c r="C43" s="28">
        <v>785.7</v>
      </c>
      <c r="D43" s="28">
        <f>24/(stableLTP[[#This Row],[Cycle duration 
(h)]]+2)</f>
        <v>4</v>
      </c>
      <c r="E43" s="137">
        <v>4</v>
      </c>
      <c r="F43" s="42">
        <f>Information!$R$61/(stableLTP[Flow 
(m3 d-1)]/24*stableLTP[[#This Row],[Cycles per day]]*stableLTP[[#This Row],[Cycle duration 
(h)]])*24</f>
        <v>67.744329896907203</v>
      </c>
      <c r="G43" s="42">
        <f>stableLTP[[#This Row],[Flow 
(m3 d-1)]]*0.2</f>
        <v>157.14000000000001</v>
      </c>
      <c r="H43" s="42">
        <f>Information!$R$61*stableLTP[[#This Row],[TSS  
(mg L-1)]]/(stableLTP[[#This Row],[Flow 
(m3 d-1)]]*stableLTP[[#This Row],[TSS  
(mg L-1)]])</f>
        <v>1.8817869415807562</v>
      </c>
      <c r="I43" s="27">
        <v>30.6</v>
      </c>
      <c r="J43" s="29">
        <v>7.26</v>
      </c>
      <c r="K43" s="27">
        <v>3.5</v>
      </c>
      <c r="L43" s="27">
        <v>42.3</v>
      </c>
      <c r="M43" s="27">
        <f>stableLTP[[#This Row],[TSS  
(mg L-1)]]</f>
        <v>14980</v>
      </c>
      <c r="N43" s="27">
        <f>stableLTP[[#This Row],[VSS 
(mg L-1)]]</f>
        <v>5010</v>
      </c>
      <c r="O43" s="29">
        <v>17000</v>
      </c>
      <c r="P43" s="29">
        <f>stableLTP[[#This Row],[COD 
(mg L-1)]]*Information!$AK$44</f>
        <v>4590</v>
      </c>
      <c r="Q43" s="29">
        <v>1203</v>
      </c>
      <c r="R43" s="29">
        <v>8.9</v>
      </c>
      <c r="S43" s="29">
        <v>14980</v>
      </c>
      <c r="T43" s="29">
        <v>5010</v>
      </c>
      <c r="U43" s="29">
        <v>11.97</v>
      </c>
      <c r="V43" s="29">
        <v>31.4</v>
      </c>
      <c r="W43" s="6"/>
      <c r="X43" s="20"/>
      <c r="Y43" s="6"/>
      <c r="Z43" s="29">
        <v>90.63</v>
      </c>
      <c r="AA43" s="29">
        <v>1181.9000000000001</v>
      </c>
      <c r="AB43" s="6">
        <f>IF(stableLTP[[#This Row],[TON 
(mg L-1)]]-stableLTP[[#This Row],[NO2-N 
(mg L-1)]]&lt;0,0.2,stableLTP[[#This Row],[TON 
(mg L-1)]]-stableLTP[[#This Row],[NO2-N 
(mg L-1)]])</f>
        <v>0.2</v>
      </c>
      <c r="AC43" s="4">
        <f>SUM(stableLTP[[#This Row],[NH4-N 
(mg L-1)]:[NO3-N 
(mg L-1)]])</f>
        <v>1272.7300000000002</v>
      </c>
      <c r="AD43" s="21">
        <f>stableLTP[[#This Row],[NO3-N 
(mg L-1)]]/(Influent[[#This Row],[NH4-N (mg L-1)]]-stableLTP[[#This Row],[NH4-N 
(mg L-1)]])</f>
        <v>1.5070795059793379E-4</v>
      </c>
      <c r="AE43" s="6">
        <f>stableLTP[[#This Row],[NO2-N 
(mg L-1)]]/(Influent[[#This Row],[NH4-N (mg L-1)]]-stableLTP[[#This Row],[NH4-N 
(mg L-1)]])</f>
        <v>0.89060863405848967</v>
      </c>
      <c r="AF43" s="20">
        <f>46/14*stableLTP[[#This Row],[NO2-N 
(mg L-1)]]/(EXP(-2300/(273+stableLTP[[#This Row],[Temp. 
(°C)]]))*10^stableLTP[[#This Row],[pHreactor]])</f>
        <v>0.41621740773568117</v>
      </c>
      <c r="AG43" s="19">
        <f>17/14*(stableLTP[[#This Row],[NH4-N 
(mg L-1)]]*10^stableLTP[[#This Row],[pHreactor]])/(EXP(6344/(273+stableLTP[[#This Row],[Temp. 
(°C)]]))+10^stableLTP[[#This Row],[pHreactor]])</f>
        <v>1.6596353091793576</v>
      </c>
      <c r="AH43" s="20">
        <f>Influent[[#This Row],[sCOD (mg L-1)]]/stableLTP[[#This Row],[HRT 
(h)]]*24/1000</f>
        <v>0.90073959094229372</v>
      </c>
      <c r="AI43" s="6"/>
      <c r="AJ43" s="6">
        <f>(Influent[[#This Row],[NH4-N (mg L-1)]]*stableLTP[ARE 
(%)])*24/stableLTP[[#This Row],[HRT 
(h)]]/1000</f>
        <v>0.47014532505478462</v>
      </c>
      <c r="AK43" s="6">
        <f>Influent[[#This Row],[TN (mg L-1)]]/stableLTP[[#This Row],[HRT 
(h)]]*24/1000</f>
        <v>0.50232395909422956</v>
      </c>
      <c r="AL43" s="6">
        <f>(Influent[[#This Row],[NH4-N (mg L-1)]])*stableLTP[NRE 
(%)]/stableLTP[[#This Row],[HRT 
(h)]]*24/1000</f>
        <v>5.1422584931130173E-2</v>
      </c>
      <c r="AM43" s="26">
        <f>1-(stableLTP[[#This Row],[NH4-N 
(mg L-1)]]/Influent[[#This Row],[NH4-N (mg L-1)]])</f>
        <v>0.93607251181491147</v>
      </c>
      <c r="AN43" s="26">
        <f>1-(stableLTP[[#This Row],[TN 
(mg L-1)]]/Influent[[#This Row],[TN (mg L-1)]])</f>
        <v>0.10238380703857808</v>
      </c>
    </row>
    <row r="44" spans="1:40" x14ac:dyDescent="0.3">
      <c r="A44" s="128">
        <v>43367</v>
      </c>
      <c r="B44" s="29">
        <v>41</v>
      </c>
      <c r="C44" s="28">
        <v>208.2</v>
      </c>
      <c r="D44" s="28">
        <f>24/(stableLTP[[#This Row],[Cycle duration 
(h)]]+2)</f>
        <v>4</v>
      </c>
      <c r="E44" s="137">
        <v>4</v>
      </c>
      <c r="F44" s="42">
        <f>Information!$R$61/(stableLTP[Flow 
(m3 d-1)]/24*stableLTP[[#This Row],[Cycles per day]]*stableLTP[[#This Row],[Cycle duration 
(h)]])*24</f>
        <v>255.65187319884728</v>
      </c>
      <c r="G44" s="42">
        <f>stableLTP[[#This Row],[Flow 
(m3 d-1)]]*0.2</f>
        <v>41.64</v>
      </c>
      <c r="H44" s="42">
        <f>Information!$R$61*stableLTP[[#This Row],[TSS  
(mg L-1)]]/(stableLTP[[#This Row],[Flow 
(m3 d-1)]]*stableLTP[[#This Row],[TSS  
(mg L-1)]])</f>
        <v>7.1014409221902017</v>
      </c>
      <c r="I44" s="27">
        <v>30.26</v>
      </c>
      <c r="J44" s="29">
        <v>7.3</v>
      </c>
      <c r="K44" s="27">
        <v>3.5</v>
      </c>
      <c r="L44" s="27">
        <v>67</v>
      </c>
      <c r="M44" s="27">
        <f>stableLTP[[#This Row],[TSS  
(mg L-1)]]</f>
        <v>17960</v>
      </c>
      <c r="N44" s="27">
        <f>stableLTP[[#This Row],[VSS 
(mg L-1)]]</f>
        <v>4830</v>
      </c>
      <c r="O44" s="29">
        <v>16950</v>
      </c>
      <c r="P44" s="29">
        <f>stableLTP[[#This Row],[COD 
(mg L-1)]]*Information!$AK$44</f>
        <v>4576.5</v>
      </c>
      <c r="Q44" s="29">
        <v>1135</v>
      </c>
      <c r="R44" s="29">
        <v>8.4</v>
      </c>
      <c r="S44" s="29">
        <v>17960</v>
      </c>
      <c r="T44" s="29">
        <v>4830</v>
      </c>
      <c r="U44" s="29">
        <v>11.57</v>
      </c>
      <c r="V44" s="29">
        <v>30.8</v>
      </c>
      <c r="W44" s="6"/>
      <c r="X44" s="20"/>
      <c r="Y44" s="6"/>
      <c r="Z44" s="29">
        <v>138.66</v>
      </c>
      <c r="AA44" s="29">
        <v>1164.2</v>
      </c>
      <c r="AB44" s="6">
        <f>IF(stableLTP[[#This Row],[TON 
(mg L-1)]]-stableLTP[[#This Row],[NO2-N 
(mg L-1)]]&lt;0,0.2,stableLTP[[#This Row],[TON 
(mg L-1)]]-stableLTP[[#This Row],[NO2-N 
(mg L-1)]])</f>
        <v>0.2</v>
      </c>
      <c r="AC44" s="4">
        <f>SUM(stableLTP[[#This Row],[NH4-N 
(mg L-1)]:[NO3-N 
(mg L-1)]])</f>
        <v>1303.0600000000002</v>
      </c>
      <c r="AD44" s="21">
        <f>stableLTP[[#This Row],[NO3-N 
(mg L-1)]]/(Influent[[#This Row],[NH4-N (mg L-1)]]-stableLTP[[#This Row],[NH4-N 
(mg L-1)]])</f>
        <v>1.6310020876826722E-4</v>
      </c>
      <c r="AE44" s="6">
        <f>stableLTP[[#This Row],[NO2-N 
(mg L-1)]]/(Influent[[#This Row],[NH4-N (mg L-1)]]-stableLTP[[#This Row],[NH4-N 
(mg L-1)]])</f>
        <v>0.94940631524008356</v>
      </c>
      <c r="AF44" s="20">
        <f>46/14*stableLTP[[#This Row],[NO2-N 
(mg L-1)]]/(EXP(-2300/(273+stableLTP[[#This Row],[Temp. 
(°C)]]))*10^stableLTP[[#This Row],[pHreactor]])</f>
        <v>0.37709937220837703</v>
      </c>
      <c r="AG44" s="19">
        <f>17/14*(stableLTP[[#This Row],[NH4-N 
(mg L-1)]]*10^stableLTP[[#This Row],[pHreactor]])/(EXP(6344/(273+stableLTP[[#This Row],[Temp. 
(°C)]]))+10^stableLTP[[#This Row],[pHreactor]])</f>
        <v>2.7167652992989448</v>
      </c>
      <c r="AH44" s="20">
        <f>Influent[[#This Row],[sCOD (mg L-1)]]/stableLTP[[#This Row],[HRT 
(h)]]*24/1000</f>
        <v>0.23657170684197706</v>
      </c>
      <c r="AI44" s="6"/>
      <c r="AJ44" s="6">
        <f>(Influent[[#This Row],[NH4-N (mg L-1)]]*stableLTP[ARE 
(%)])*24/stableLTP[[#This Row],[HRT 
(h)]]/1000</f>
        <v>0.11511654357059763</v>
      </c>
      <c r="AK44" s="6">
        <f>Influent[[#This Row],[TN (mg L-1)]]/stableLTP[[#This Row],[HRT 
(h)]]*24/1000</f>
        <v>0.13155198739279819</v>
      </c>
      <c r="AL44" s="6">
        <f>(Influent[[#This Row],[NH4-N (mg L-1)]])*stableLTP[NRE 
(%)]/stableLTP[[#This Row],[HRT 
(h)]]*24/1000</f>
        <v>8.9840831964971991E-3</v>
      </c>
      <c r="AM44" s="26">
        <f>1-(stableLTP[[#This Row],[NH4-N 
(mg L-1)]]/Influent[[#This Row],[NH4-N (mg L-1)]])</f>
        <v>0.8984101399369917</v>
      </c>
      <c r="AN44" s="26">
        <f>1-(stableLTP[[#This Row],[TN 
(mg L-1)]]/Influent[[#This Row],[TN (mg L-1)]])</f>
        <v>7.0114956472964951E-2</v>
      </c>
    </row>
    <row r="45" spans="1:40" x14ac:dyDescent="0.3">
      <c r="A45" s="128">
        <v>43368</v>
      </c>
      <c r="B45" s="29">
        <v>42</v>
      </c>
      <c r="C45" s="28">
        <v>357.9</v>
      </c>
      <c r="D45" s="28">
        <f>24/(stableLTP[[#This Row],[Cycle duration 
(h)]]+2)</f>
        <v>4</v>
      </c>
      <c r="E45" s="137">
        <v>4</v>
      </c>
      <c r="F45" s="42">
        <f>Information!$R$61/(stableLTP[Flow 
(m3 d-1)]/24*stableLTP[[#This Row],[Cycles per day]]*stableLTP[[#This Row],[Cycle duration 
(h)]])*24</f>
        <v>148.71953059513831</v>
      </c>
      <c r="G45" s="42">
        <f>stableLTP[[#This Row],[Flow 
(m3 d-1)]]*0.2</f>
        <v>71.58</v>
      </c>
      <c r="H45" s="42">
        <f>Information!$R$61*stableLTP[[#This Row],[TSS  
(mg L-1)]]/(stableLTP[[#This Row],[Flow 
(m3 d-1)]]*stableLTP[[#This Row],[TSS  
(mg L-1)]])</f>
        <v>4.1310980720871759</v>
      </c>
      <c r="I45" s="27">
        <v>29.55</v>
      </c>
      <c r="J45" s="29">
        <v>7.92</v>
      </c>
      <c r="K45" s="27">
        <v>3.5</v>
      </c>
      <c r="L45" s="27">
        <v>35.21</v>
      </c>
      <c r="M45" s="27">
        <f>stableLTP[[#This Row],[TSS  
(mg L-1)]]</f>
        <v>12680</v>
      </c>
      <c r="N45" s="27">
        <f>stableLTP[[#This Row],[VSS 
(mg L-1)]]</f>
        <v>4650</v>
      </c>
      <c r="O45" s="29">
        <v>13475</v>
      </c>
      <c r="P45" s="29">
        <f>stableLTP[[#This Row],[COD 
(mg L-1)]]*Information!$AK$44</f>
        <v>3638.2500000000005</v>
      </c>
      <c r="Q45" s="29">
        <v>1344</v>
      </c>
      <c r="R45" s="29">
        <v>8.9</v>
      </c>
      <c r="S45" s="29">
        <v>12680</v>
      </c>
      <c r="T45" s="29">
        <v>4650</v>
      </c>
      <c r="U45" s="29">
        <v>19.96</v>
      </c>
      <c r="W45" s="6"/>
      <c r="X45" s="20"/>
      <c r="Y45" s="6"/>
      <c r="Z45" s="29">
        <v>62</v>
      </c>
      <c r="AB45" s="6"/>
      <c r="AC45" s="4"/>
      <c r="AD45" s="21"/>
      <c r="AE45" s="6"/>
      <c r="AF45" s="20"/>
      <c r="AG45" s="19"/>
      <c r="AH45" s="20">
        <f>Influent[[#This Row],[sCOD (mg L-1)]]/stableLTP[[#This Row],[HRT 
(h)]]*24/1000</f>
        <v>0.33332542001460924</v>
      </c>
      <c r="AI45" s="6"/>
      <c r="AJ45" s="6">
        <f>(Influent[[#This Row],[NH4-N (mg L-1)]]*stableLTP[ARE 
(%)])*24/stableLTP[[#This Row],[HRT 
(h)]]/1000</f>
        <v>0.18450300300300299</v>
      </c>
      <c r="AK45" s="6">
        <f>Influent[[#This Row],[TN (mg L-1)]]/stableLTP[[#This Row],[HRT 
(h)]]*24/1000</f>
        <v>0.19454068933798663</v>
      </c>
      <c r="AL45" s="6"/>
      <c r="AM45" s="26">
        <f>1-(stableLTP[[#This Row],[NH4-N 
(mg L-1)]]/Influent[[#This Row],[NH4-N (mg L-1)]])</f>
        <v>0.94856052435078408</v>
      </c>
      <c r="AN45" s="26"/>
    </row>
    <row r="46" spans="1:40" x14ac:dyDescent="0.3">
      <c r="A46" s="128">
        <v>43369</v>
      </c>
      <c r="B46" s="29">
        <v>43</v>
      </c>
      <c r="C46" s="28">
        <v>698.6</v>
      </c>
      <c r="D46" s="28">
        <f>24/(stableLTP[[#This Row],[Cycle duration 
(h)]]+2)</f>
        <v>4</v>
      </c>
      <c r="E46" s="137">
        <v>4</v>
      </c>
      <c r="F46" s="42">
        <f>Information!$R$61/(stableLTP[Flow 
(m3 d-1)]/24*stableLTP[[#This Row],[Cycles per day]]*stableLTP[[#This Row],[Cycle duration 
(h)]])*24</f>
        <v>76.190552533638694</v>
      </c>
      <c r="G46" s="42">
        <f>stableLTP[[#This Row],[Flow 
(m3 d-1)]]*0.2</f>
        <v>139.72</v>
      </c>
      <c r="H46" s="42">
        <f>Information!$R$61*stableLTP[[#This Row],[TSS  
(mg L-1)]]/(stableLTP[[#This Row],[Flow 
(m3 d-1)]]*stableLTP[[#This Row],[TSS  
(mg L-1)]])</f>
        <v>2.1164042370455198</v>
      </c>
      <c r="I46" s="27">
        <v>28.47</v>
      </c>
      <c r="J46" s="29">
        <v>7.92</v>
      </c>
      <c r="K46" s="27">
        <v>3.5</v>
      </c>
      <c r="L46" s="27">
        <v>55.68</v>
      </c>
      <c r="M46" s="27">
        <f>stableLTP[[#This Row],[TSS  
(mg L-1)]]</f>
        <v>12940</v>
      </c>
      <c r="N46" s="27">
        <f>stableLTP[[#This Row],[VSS 
(mg L-1)]]</f>
        <v>4350</v>
      </c>
      <c r="O46" s="29">
        <v>13750</v>
      </c>
      <c r="P46" s="29">
        <f>stableLTP[[#This Row],[COD 
(mg L-1)]]*Information!$AK$44</f>
        <v>3712.5000000000005</v>
      </c>
      <c r="Q46" s="29">
        <v>1341</v>
      </c>
      <c r="R46" s="29">
        <v>8.6</v>
      </c>
      <c r="S46" s="29">
        <v>12940</v>
      </c>
      <c r="T46" s="29">
        <v>4350</v>
      </c>
      <c r="U46" s="29">
        <v>11.51</v>
      </c>
      <c r="V46" s="29">
        <v>30.9</v>
      </c>
      <c r="W46" s="6"/>
      <c r="X46" s="20"/>
      <c r="Y46" s="6"/>
      <c r="Z46" s="29">
        <v>138.56</v>
      </c>
      <c r="AA46" s="29">
        <v>983.38</v>
      </c>
      <c r="AB46" s="6">
        <f>IF(stableLTP[[#This Row],[TON 
(mg L-1)]]-stableLTP[[#This Row],[NO2-N 
(mg L-1)]]&lt;0,0.2,stableLTP[[#This Row],[TON 
(mg L-1)]]-stableLTP[[#This Row],[NO2-N 
(mg L-1)]])</f>
        <v>0.2</v>
      </c>
      <c r="AC46" s="4">
        <f>SUM(stableLTP[[#This Row],[NH4-N 
(mg L-1)]:[NO3-N 
(mg L-1)]])</f>
        <v>1122.1400000000001</v>
      </c>
      <c r="AD46" s="21">
        <f>stableLTP[[#This Row],[NO3-N 
(mg L-1)]]/(Influent[[#This Row],[NH4-N (mg L-1)]]-stableLTP[[#This Row],[NH4-N 
(mg L-1)]])</f>
        <v>1.6165012447059586E-4</v>
      </c>
      <c r="AE46" s="6">
        <f>stableLTP[[#This Row],[NO2-N 
(mg L-1)]]/(Influent[[#This Row],[NH4-N (mg L-1)]]-stableLTP[[#This Row],[NH4-N 
(mg L-1)]])</f>
        <v>0.79481749700947268</v>
      </c>
      <c r="AF46" s="20">
        <f>46/14*stableLTP[[#This Row],[NO2-N 
(mg L-1)]]/(EXP(-2300/(273+stableLTP[[#This Row],[Temp. 
(°C)]]))*10^stableLTP[[#This Row],[pHreactor]])</f>
        <v>7.9929436812097049E-2</v>
      </c>
      <c r="AG46" s="19">
        <f>17/14*(stableLTP[[#This Row],[NH4-N 
(mg L-1)]]*10^stableLTP[[#This Row],[pHreactor]])/(EXP(6344/(273+stableLTP[[#This Row],[Temp. 
(°C)]]))+10^stableLTP[[#This Row],[pHreactor]])</f>
        <v>9.5807107343765612</v>
      </c>
      <c r="AH46" s="20">
        <f>Influent[[#This Row],[sCOD (mg L-1)]]/stableLTP[[#This Row],[HRT 
(h)]]*24/1000</f>
        <v>0.7456042529015503</v>
      </c>
      <c r="AI46" s="6"/>
      <c r="AJ46" s="6">
        <f>(Influent[[#This Row],[NH4-N (mg L-1)]]*stableLTP[ARE 
(%)])*24/stableLTP[[#This Row],[HRT 
(h)]]/1000</f>
        <v>0.38973020948876813</v>
      </c>
      <c r="AK46" s="6">
        <f>Influent[[#This Row],[TN (mg L-1)]]/stableLTP[[#This Row],[HRT 
(h)]]*24/1000</f>
        <v>0.43351390561732911</v>
      </c>
      <c r="AL46" s="6">
        <f>(Influent[[#This Row],[NH4-N (mg L-1)]])*stableLTP[NRE 
(%)]/stableLTP[[#This Row],[HRT 
(h)]]*24/1000</f>
        <v>8.0014802586233891E-2</v>
      </c>
      <c r="AM46" s="26">
        <f>1-(stableLTP[[#This Row],[NH4-N 
(mg L-1)]]/Influent[[#This Row],[NH4-N (mg L-1)]])</f>
        <v>0.89928768716383201</v>
      </c>
      <c r="AN46" s="26">
        <f>1-(stableLTP[[#This Row],[TN 
(mg L-1)]]/Influent[[#This Row],[TN (mg L-1)]])</f>
        <v>0.18463112431298101</v>
      </c>
    </row>
    <row r="47" spans="1:40" x14ac:dyDescent="0.3">
      <c r="A47" s="128">
        <v>43370</v>
      </c>
      <c r="B47" s="29">
        <v>44</v>
      </c>
      <c r="C47" s="28">
        <v>576.9</v>
      </c>
      <c r="D47" s="28">
        <f>24/(stableLTP[[#This Row],[Cycle duration 
(h)]]+2)</f>
        <v>4</v>
      </c>
      <c r="E47" s="137">
        <v>4</v>
      </c>
      <c r="F47" s="42">
        <f>Information!$R$61/(stableLTP[Flow 
(m3 d-1)]/24*stableLTP[[#This Row],[Cycles per day]]*stableLTP[[#This Row],[Cycle duration 
(h)]])*24</f>
        <v>92.263338533541344</v>
      </c>
      <c r="G47" s="42">
        <f>stableLTP[[#This Row],[Flow 
(m3 d-1)]]*0.2</f>
        <v>115.38</v>
      </c>
      <c r="H47" s="42">
        <f>Information!$R$61*stableLTP[[#This Row],[TSS  
(mg L-1)]]/(stableLTP[[#This Row],[Flow 
(m3 d-1)]]*stableLTP[[#This Row],[TSS  
(mg L-1)]])</f>
        <v>2.562870514820593</v>
      </c>
      <c r="I47" s="27">
        <v>29.71</v>
      </c>
      <c r="J47" s="29">
        <v>7.23</v>
      </c>
      <c r="K47" s="27">
        <v>3.5</v>
      </c>
      <c r="L47" s="27">
        <v>52.68</v>
      </c>
      <c r="M47" s="27">
        <f>stableLTP[[#This Row],[TSS  
(mg L-1)]]</f>
        <v>11880</v>
      </c>
      <c r="N47" s="27">
        <f>stableLTP[[#This Row],[VSS 
(mg L-1)]]</f>
        <v>4170</v>
      </c>
      <c r="O47" s="29">
        <v>13300</v>
      </c>
      <c r="P47" s="29">
        <f>stableLTP[[#This Row],[COD 
(mg L-1)]]*Information!$AK$44</f>
        <v>3591.0000000000005</v>
      </c>
      <c r="Q47" s="29">
        <v>1568</v>
      </c>
      <c r="R47" s="29">
        <v>8.3000000000000007</v>
      </c>
      <c r="S47" s="29">
        <v>11880</v>
      </c>
      <c r="T47" s="29">
        <v>4170</v>
      </c>
      <c r="U47" s="29">
        <v>13.8</v>
      </c>
      <c r="W47" s="6"/>
      <c r="X47" s="20"/>
      <c r="Y47" s="6"/>
      <c r="Z47" s="29">
        <v>166.99</v>
      </c>
      <c r="AB47" s="6"/>
      <c r="AC47" s="4"/>
      <c r="AD47" s="21"/>
      <c r="AE47" s="6"/>
      <c r="AF47" s="20"/>
      <c r="AG47" s="19"/>
      <c r="AH47" s="20">
        <f>Influent[[#This Row],[sCOD (mg L-1)]]/stableLTP[[#This Row],[HRT 
(h)]]*24/1000</f>
        <v>0.65785609934258582</v>
      </c>
      <c r="AI47" s="6"/>
      <c r="AJ47" s="6">
        <f>(Influent[[#This Row],[NH4-N (mg L-1)]]*stableLTP[ARE 
(%)])*24/stableLTP[[#This Row],[HRT 
(h)]]/1000</f>
        <v>0.33806103806509208</v>
      </c>
      <c r="AK47" s="6">
        <f>Influent[[#This Row],[TN (mg L-1)]]/stableLTP[[#This Row],[HRT 
(h)]]*24/1000</f>
        <v>0.38155133511890266</v>
      </c>
      <c r="AL47" s="6"/>
      <c r="AM47" s="26">
        <f>1-(stableLTP[[#This Row],[NH4-N 
(mg L-1)]]/Influent[[#This Row],[NH4-N (mg L-1)]])</f>
        <v>0.88613800627301242</v>
      </c>
      <c r="AN47" s="26"/>
    </row>
    <row r="48" spans="1:40" x14ac:dyDescent="0.3">
      <c r="A48" s="128">
        <v>43371</v>
      </c>
      <c r="B48" s="29">
        <v>45</v>
      </c>
      <c r="C48" s="28">
        <v>498.4</v>
      </c>
      <c r="D48" s="28">
        <f>24/(stableLTP[[#This Row],[Cycle duration 
(h)]]+2)</f>
        <v>4</v>
      </c>
      <c r="E48" s="137">
        <v>4</v>
      </c>
      <c r="F48" s="42">
        <f>Information!$R$61/(stableLTP[Flow 
(m3 d-1)]/24*stableLTP[[#This Row],[Cycles per day]]*stableLTP[[#This Row],[Cycle duration 
(h)]])*24</f>
        <v>106.79518459069021</v>
      </c>
      <c r="G48" s="42">
        <f>stableLTP[[#This Row],[Flow 
(m3 d-1)]]*0.2</f>
        <v>99.68</v>
      </c>
      <c r="H48" s="42">
        <f>Information!$R$61*stableLTP[[#This Row],[TSS  
(mg L-1)]]/(stableLTP[[#This Row],[Flow 
(m3 d-1)]]*stableLTP[[#This Row],[TSS  
(mg L-1)]])</f>
        <v>2.9665329052969502</v>
      </c>
      <c r="I48" s="27">
        <v>30.31</v>
      </c>
      <c r="J48" s="27">
        <v>7.56</v>
      </c>
      <c r="K48" s="27">
        <v>3.5</v>
      </c>
      <c r="L48" s="27">
        <v>50.5</v>
      </c>
      <c r="M48" s="27">
        <f>stableLTP[[#This Row],[TSS  
(mg L-1)]]</f>
        <v>12260</v>
      </c>
      <c r="N48" s="27">
        <f>stableLTP[[#This Row],[VSS 
(mg L-1)]]</f>
        <v>3950</v>
      </c>
      <c r="O48" s="29">
        <v>16260</v>
      </c>
      <c r="P48" s="29">
        <f>stableLTP[[#This Row],[COD 
(mg L-1)]]*Information!$AK$44</f>
        <v>4390.2000000000007</v>
      </c>
      <c r="Q48" s="29">
        <v>1753</v>
      </c>
      <c r="R48" s="29">
        <v>9.1999999999999993</v>
      </c>
      <c r="S48" s="29">
        <v>12260</v>
      </c>
      <c r="T48" s="29">
        <v>3950</v>
      </c>
      <c r="U48" s="29">
        <v>53.13</v>
      </c>
      <c r="V48" s="29">
        <v>31.7</v>
      </c>
      <c r="W48" s="6"/>
      <c r="X48" s="20"/>
      <c r="Y48" s="6"/>
      <c r="Z48" s="29">
        <v>79.52</v>
      </c>
      <c r="AA48" s="29">
        <v>1015.3</v>
      </c>
      <c r="AB48" s="6">
        <f>IF(stableLTP[[#This Row],[TON 
(mg L-1)]]-stableLTP[[#This Row],[NO2-N 
(mg L-1)]]&lt;0,0.2,stableLTP[[#This Row],[TON 
(mg L-1)]]-stableLTP[[#This Row],[NO2-N 
(mg L-1)]])</f>
        <v>0.2</v>
      </c>
      <c r="AC48" s="4">
        <f>SUM(stableLTP[[#This Row],[NH4-N 
(mg L-1)]:[NO3-N 
(mg L-1)]])</f>
        <v>1095.02</v>
      </c>
      <c r="AD48" s="21">
        <f>stableLTP[[#This Row],[NO3-N 
(mg L-1)]]/(Influent[[#This Row],[NH4-N (mg L-1)]]-stableLTP[[#This Row],[NH4-N 
(mg L-1)]])</f>
        <v>1.6811243359558873E-4</v>
      </c>
      <c r="AE48" s="6">
        <f>stableLTP[[#This Row],[NO2-N 
(mg L-1)]]/(Influent[[#This Row],[NH4-N (mg L-1)]]-stableLTP[[#This Row],[NH4-N 
(mg L-1)]])</f>
        <v>0.85342276914800608</v>
      </c>
      <c r="AF48" s="20">
        <f>46/14*stableLTP[[#This Row],[NO2-N 
(mg L-1)]]/(EXP(-2300/(273+stableLTP[[#This Row],[Temp. 
(°C)]]))*10^stableLTP[[#This Row],[pHreactor]])</f>
        <v>0.1805010053036129</v>
      </c>
      <c r="AG48" s="19">
        <f>17/14*(stableLTP[[#This Row],[NH4-N 
(mg L-1)]]*10^stableLTP[[#This Row],[pHreactor]])/(EXP(6344/(273+stableLTP[[#This Row],[Temp. 
(°C)]]))+10^stableLTP[[#This Row],[pHreactor]])</f>
        <v>2.8075343388481238</v>
      </c>
      <c r="AH48" s="20">
        <f>Influent[[#This Row],[sCOD (mg L-1)]]/stableLTP[[#This Row],[HRT 
(h)]]*24/1000</f>
        <v>0.52788897005113222</v>
      </c>
      <c r="AI48" s="6"/>
      <c r="AJ48" s="6">
        <f>(Influent[[#This Row],[NH4-N (mg L-1)]]*stableLTP[ARE 
(%)])*24/stableLTP[[#This Row],[HRT 
(h)]]/1000</f>
        <v>0.26735587479371264</v>
      </c>
      <c r="AK48" s="6">
        <f>Influent[[#This Row],[TN (mg L-1)]]/stableLTP[[#This Row],[HRT 
(h)]]*24/1000</f>
        <v>0.28527128930732532</v>
      </c>
      <c r="AL48" s="6">
        <f>(Influent[[#This Row],[NH4-N (mg L-1)]])*stableLTP[NRE 
(%)]/stableLTP[[#This Row],[HRT 
(h)]]*24/1000</f>
        <v>3.918210947901022E-2</v>
      </c>
      <c r="AM48" s="26">
        <f>1-(stableLTP[[#This Row],[NH4-N 
(mg L-1)]]/Influent[[#This Row],[NH4-N (mg L-1)]])</f>
        <v>0.93734635991175541</v>
      </c>
      <c r="AN48" s="26">
        <f>1-(stableLTP[[#This Row],[TN 
(mg L-1)]]/Influent[[#This Row],[TN (mg L-1)]])</f>
        <v>0.13737198676540108</v>
      </c>
    </row>
    <row r="49" spans="1:40" x14ac:dyDescent="0.3">
      <c r="A49" s="128">
        <v>43372</v>
      </c>
      <c r="B49" s="29">
        <v>46</v>
      </c>
      <c r="C49" s="28">
        <v>680.8</v>
      </c>
      <c r="D49" s="28">
        <f>24/(stableLTP[[#This Row],[Cycle duration 
(h)]]+2)</f>
        <v>4</v>
      </c>
      <c r="E49" s="137">
        <v>4</v>
      </c>
      <c r="F49" s="42">
        <f>Information!$R$61/(stableLTP[Flow 
(m3 d-1)]/24*stableLTP[[#This Row],[Cycles per day]]*stableLTP[[#This Row],[Cycle duration 
(h)]])*24</f>
        <v>78.182608695652192</v>
      </c>
      <c r="G49" s="42">
        <f>stableLTP[[#This Row],[Flow 
(m3 d-1)]]*0.2</f>
        <v>136.16</v>
      </c>
      <c r="H49" s="42">
        <f>Information!$R$61*stableLTP[[#This Row],[TSS  
(mg L-1)]]/(stableLTP[[#This Row],[Flow 
(m3 d-1)]]*stableLTP[[#This Row],[TSS  
(mg L-1)]])</f>
        <v>2.1717391304347826</v>
      </c>
      <c r="I49" s="27">
        <v>30.25</v>
      </c>
      <c r="J49" s="27">
        <v>7.67</v>
      </c>
      <c r="K49" s="27">
        <v>3.5</v>
      </c>
      <c r="L49" s="27">
        <v>64.849999999999994</v>
      </c>
      <c r="M49" s="27">
        <f>stableLTP[[#This Row],[TSS  
(mg L-1)]]</f>
        <v>11420</v>
      </c>
      <c r="N49" s="27">
        <f>stableLTP[[#This Row],[VSS 
(mg L-1)]]</f>
        <v>4110</v>
      </c>
      <c r="O49" s="29">
        <v>11500</v>
      </c>
      <c r="P49" s="29">
        <f>stableLTP[[#This Row],[COD 
(mg L-1)]]*Information!$AK$44</f>
        <v>3105</v>
      </c>
      <c r="Q49" s="29">
        <v>2075</v>
      </c>
      <c r="R49" s="29">
        <v>9.1</v>
      </c>
      <c r="S49" s="29">
        <v>11420</v>
      </c>
      <c r="T49" s="29">
        <v>4110</v>
      </c>
      <c r="U49" s="29">
        <v>12.91</v>
      </c>
      <c r="V49" s="29">
        <v>32</v>
      </c>
      <c r="W49" s="6"/>
      <c r="X49" s="20"/>
      <c r="Y49" s="6"/>
      <c r="Z49" s="29">
        <v>65.28</v>
      </c>
      <c r="AA49" s="29">
        <v>1056</v>
      </c>
      <c r="AB49" s="6">
        <f>IF(stableLTP[[#This Row],[TON 
(mg L-1)]]-stableLTP[[#This Row],[NO2-N 
(mg L-1)]]&lt;0,0.2,stableLTP[[#This Row],[TON 
(mg L-1)]]-stableLTP[[#This Row],[NO2-N 
(mg L-1)]])</f>
        <v>0.2</v>
      </c>
      <c r="AC49" s="4">
        <f>SUM(stableLTP[[#This Row],[NH4-N 
(mg L-1)]:[NO3-N 
(mg L-1)]])</f>
        <v>1121.48</v>
      </c>
      <c r="AD49" s="21">
        <f>stableLTP[[#This Row],[NO3-N 
(mg L-1)]]/(Influent[[#This Row],[NH4-N (mg L-1)]]-stableLTP[[#This Row],[NH4-N 
(mg L-1)]])</f>
        <v>1.609761594307883E-4</v>
      </c>
      <c r="AE49" s="6">
        <f>stableLTP[[#This Row],[NO2-N 
(mg L-1)]]/(Influent[[#This Row],[NH4-N (mg L-1)]]-stableLTP[[#This Row],[NH4-N 
(mg L-1)]])</f>
        <v>0.8499541217945622</v>
      </c>
      <c r="AF49" s="20">
        <f>46/14*stableLTP[[#This Row],[NO2-N 
(mg L-1)]]/(EXP(-2300/(273+stableLTP[[#This Row],[Temp. 
(°C)]]))*10^stableLTP[[#This Row],[pHreactor]])</f>
        <v>0.14594887416956756</v>
      </c>
      <c r="AG49" s="19">
        <f>17/14*(stableLTP[[#This Row],[NH4-N 
(mg L-1)]]*10^stableLTP[[#This Row],[pHreactor]])/(EXP(6344/(273+stableLTP[[#This Row],[Temp. 
(°C)]]))+10^stableLTP[[#This Row],[pHreactor]])</f>
        <v>2.9327399662002209</v>
      </c>
      <c r="AH49" s="20">
        <f>Influent[[#This Row],[sCOD (mg L-1)]]/stableLTP[[#This Row],[HRT 
(h)]]*24/1000</f>
        <v>0.80396396396396386</v>
      </c>
      <c r="AI49" s="6"/>
      <c r="AJ49" s="6">
        <f>(Influent[[#This Row],[NH4-N (mg L-1)]]*stableLTP[ARE 
(%)])*24/stableLTP[[#This Row],[HRT 
(h)]]/1000</f>
        <v>0.38139019019019016</v>
      </c>
      <c r="AK49" s="6">
        <f>Influent[[#This Row],[TN (mg L-1)]]/stableLTP[[#This Row],[HRT 
(h)]]*24/1000</f>
        <v>0.40161361361361347</v>
      </c>
      <c r="AL49" s="6">
        <f>(Influent[[#This Row],[NH4-N (mg L-1)]])*stableLTP[NRE 
(%)]/stableLTP[[#This Row],[HRT 
(h)]]*24/1000</f>
        <v>5.7322514718341343E-2</v>
      </c>
      <c r="AM49" s="26">
        <f>1-(stableLTP[[#This Row],[NH4-N 
(mg L-1)]]/Influent[[#This Row],[NH4-N (mg L-1)]])</f>
        <v>0.95008029364533153</v>
      </c>
      <c r="AN49" s="26">
        <f>1-(stableLTP[[#This Row],[TN 
(mg L-1)]]/Influent[[#This Row],[TN (mg L-1)]])</f>
        <v>0.14279599480241534</v>
      </c>
    </row>
    <row r="50" spans="1:40" x14ac:dyDescent="0.3">
      <c r="A50" s="128">
        <v>43373</v>
      </c>
      <c r="B50" s="29">
        <v>47</v>
      </c>
      <c r="C50" s="28">
        <v>335.1</v>
      </c>
      <c r="D50" s="28">
        <f>24/(stableLTP[[#This Row],[Cycle duration 
(h)]]+2)</f>
        <v>4</v>
      </c>
      <c r="E50" s="137">
        <v>4</v>
      </c>
      <c r="F50" s="42">
        <f>Information!$R$61/(stableLTP[Flow 
(m3 d-1)]/24*stableLTP[[#This Row],[Cycles per day]]*stableLTP[[#This Row],[Cycle duration 
(h)]])*24</f>
        <v>158.83831692032228</v>
      </c>
      <c r="G50" s="42">
        <f>stableLTP[[#This Row],[Flow 
(m3 d-1)]]*0.2</f>
        <v>67.02000000000001</v>
      </c>
      <c r="H50" s="42">
        <f>Information!$R$61*stableLTP[[#This Row],[TSS  
(mg L-1)]]/(stableLTP[[#This Row],[Flow 
(m3 d-1)]]*stableLTP[[#This Row],[TSS  
(mg L-1)]])</f>
        <v>4.4121754700089522</v>
      </c>
      <c r="I50" s="27">
        <v>29.98</v>
      </c>
      <c r="J50" s="27">
        <v>7.14</v>
      </c>
      <c r="K50" s="27">
        <v>3.5</v>
      </c>
      <c r="L50" s="27">
        <v>63.89</v>
      </c>
      <c r="M50" s="27">
        <f>stableLTP[[#This Row],[TSS  
(mg L-1)]]</f>
        <v>11220</v>
      </c>
      <c r="N50" s="27">
        <f>stableLTP[[#This Row],[VSS 
(mg L-1)]]</f>
        <v>3750</v>
      </c>
      <c r="O50" s="29">
        <v>11420</v>
      </c>
      <c r="P50" s="29">
        <f>stableLTP[[#This Row],[COD 
(mg L-1)]]*Information!$AK$44</f>
        <v>3083.4</v>
      </c>
      <c r="Q50" s="29">
        <v>1934</v>
      </c>
      <c r="R50" s="29">
        <v>8.8000000000000007</v>
      </c>
      <c r="S50" s="29">
        <v>11220</v>
      </c>
      <c r="T50" s="29">
        <v>3750</v>
      </c>
      <c r="U50" s="29">
        <v>53.29</v>
      </c>
      <c r="V50" s="29">
        <v>31.9</v>
      </c>
      <c r="W50" s="6"/>
      <c r="X50" s="20"/>
      <c r="Y50" s="6"/>
      <c r="Z50" s="29">
        <v>113</v>
      </c>
      <c r="AA50" s="29">
        <v>1058.2</v>
      </c>
      <c r="AB50" s="6">
        <f>IF(stableLTP[[#This Row],[TON 
(mg L-1)]]-stableLTP[[#This Row],[NO2-N 
(mg L-1)]]&lt;0,0.2,stableLTP[[#This Row],[TON 
(mg L-1)]]-stableLTP[[#This Row],[NO2-N 
(mg L-1)]])</f>
        <v>0.2</v>
      </c>
      <c r="AC50" s="4">
        <f>SUM(stableLTP[[#This Row],[NH4-N 
(mg L-1)]:[NO3-N 
(mg L-1)]])</f>
        <v>1171.4000000000001</v>
      </c>
      <c r="AD50" s="21">
        <f>stableLTP[[#This Row],[NO3-N 
(mg L-1)]]/(Influent[[#This Row],[NH4-N (mg L-1)]]-stableLTP[[#This Row],[NH4-N 
(mg L-1)]])</f>
        <v>1.5780337699226762E-4</v>
      </c>
      <c r="AE50" s="6">
        <f>stableLTP[[#This Row],[NO2-N 
(mg L-1)]]/(Influent[[#This Row],[NH4-N (mg L-1)]]-stableLTP[[#This Row],[NH4-N 
(mg L-1)]])</f>
        <v>0.83493766766608801</v>
      </c>
      <c r="AF50" s="20">
        <f>46/14*stableLTP[[#This Row],[NO2-N 
(mg L-1)]]/(EXP(-2300/(273+stableLTP[[#This Row],[Temp. 
(°C)]]))*10^stableLTP[[#This Row],[pHreactor]])</f>
        <v>0.49893037728258938</v>
      </c>
      <c r="AG50" s="19">
        <f>17/14*(stableLTP[[#This Row],[NH4-N 
(mg L-1)]]*10^stableLTP[[#This Row],[pHreactor]])/(EXP(6344/(273+stableLTP[[#This Row],[Temp. 
(°C)]]))+10^stableLTP[[#This Row],[pHreactor]])</f>
        <v>1.5102243846924901</v>
      </c>
      <c r="AH50" s="20">
        <f>Influent[[#This Row],[sCOD (mg L-1)]]/stableLTP[[#This Row],[HRT 
(h)]]*24/1000</f>
        <v>0.40388239590942293</v>
      </c>
      <c r="AI50" s="6"/>
      <c r="AJ50" s="6">
        <f>(Influent[[#This Row],[NH4-N (mg L-1)]]*stableLTP[ARE 
(%)])*24/stableLTP[[#This Row],[HRT 
(h)]]/1000</f>
        <v>0.19150039228417609</v>
      </c>
      <c r="AK50" s="6">
        <f>Influent[[#This Row],[TN (mg L-1)]]/stableLTP[[#This Row],[HRT 
(h)]]*24/1000</f>
        <v>0.20860457755052356</v>
      </c>
      <c r="AL50" s="6">
        <f>(Influent[[#This Row],[NH4-N (mg L-1)]])*stableLTP[NRE 
(%)]/stableLTP[[#This Row],[HRT 
(h)]]*24/1000</f>
        <v>3.1604922297038152E-2</v>
      </c>
      <c r="AM50" s="26">
        <f>1-(stableLTP[[#This Row],[NH4-N 
(mg L-1)]]/Influent[[#This Row],[NH4-N (mg L-1)]])</f>
        <v>0.91813966966096783</v>
      </c>
      <c r="AN50" s="26">
        <f>1-(stableLTP[[#This Row],[TN 
(mg L-1)]]/Influent[[#This Row],[TN (mg L-1)]])</f>
        <v>0.15152832101984648</v>
      </c>
    </row>
    <row r="51" spans="1:40" x14ac:dyDescent="0.3">
      <c r="A51" s="128">
        <v>43374</v>
      </c>
      <c r="B51" s="29">
        <v>48</v>
      </c>
      <c r="C51" s="28">
        <v>603.6</v>
      </c>
      <c r="D51" s="28">
        <f>24/(stableLTP[[#This Row],[Cycle duration 
(h)]]+2)</f>
        <v>4</v>
      </c>
      <c r="E51" s="137">
        <v>4</v>
      </c>
      <c r="F51" s="42">
        <f>Information!$R$61/(stableLTP[Flow 
(m3 d-1)]/24*stableLTP[[#This Row],[Cycles per day]]*stableLTP[[#This Row],[Cycle duration 
(h)]])*24</f>
        <v>88.182107355864801</v>
      </c>
      <c r="G51" s="42">
        <f>stableLTP[[#This Row],[Flow 
(m3 d-1)]]*0.2</f>
        <v>120.72000000000001</v>
      </c>
      <c r="H51" s="42">
        <f>Information!$R$61*stableLTP[[#This Row],[TSS  
(mg L-1)]]/(stableLTP[[#This Row],[Flow 
(m3 d-1)]]*stableLTP[[#This Row],[TSS  
(mg L-1)]])</f>
        <v>2.4495029821073557</v>
      </c>
      <c r="I51" s="27">
        <v>29.17</v>
      </c>
      <c r="J51" s="27">
        <v>7.31</v>
      </c>
      <c r="K51" s="27">
        <v>3.5</v>
      </c>
      <c r="L51" s="27">
        <v>59.74</v>
      </c>
      <c r="M51" s="27">
        <f>stableLTP[[#This Row],[TSS  
(mg L-1)]]</f>
        <v>12220</v>
      </c>
      <c r="N51" s="27">
        <f>stableLTP[[#This Row],[VSS 
(mg L-1)]]</f>
        <v>3990</v>
      </c>
      <c r="O51" s="29">
        <v>11760</v>
      </c>
      <c r="P51" s="29">
        <f>stableLTP[[#This Row],[COD 
(mg L-1)]]*Information!$AK$44</f>
        <v>3175.2000000000003</v>
      </c>
      <c r="Q51" s="29">
        <v>1612</v>
      </c>
      <c r="R51" s="29">
        <v>8.8000000000000007</v>
      </c>
      <c r="S51" s="29">
        <v>12220</v>
      </c>
      <c r="T51" s="29">
        <v>3990</v>
      </c>
      <c r="U51" s="29">
        <v>18.47</v>
      </c>
      <c r="V51" s="29">
        <v>30.6</v>
      </c>
      <c r="W51" s="6"/>
      <c r="X51" s="20"/>
      <c r="Y51" s="6"/>
      <c r="Z51" s="29">
        <v>109.66</v>
      </c>
      <c r="AA51" s="29">
        <v>1078.5</v>
      </c>
      <c r="AB51" s="6">
        <f>IF(stableLTP[[#This Row],[TON 
(mg L-1)]]-stableLTP[[#This Row],[NO2-N 
(mg L-1)]]&lt;0,0.2,stableLTP[[#This Row],[TON 
(mg L-1)]]-stableLTP[[#This Row],[NO2-N 
(mg L-1)]])</f>
        <v>0.2</v>
      </c>
      <c r="AC51" s="4">
        <f>SUM(stableLTP[[#This Row],[NH4-N 
(mg L-1)]:[NO3-N 
(mg L-1)]])</f>
        <v>1188.3600000000001</v>
      </c>
      <c r="AD51" s="21">
        <f>stableLTP[[#This Row],[NO3-N 
(mg L-1)]]/(Influent[[#This Row],[NH4-N (mg L-1)]]-stableLTP[[#This Row],[NH4-N 
(mg L-1)]])</f>
        <v>1.6106431298017299E-4</v>
      </c>
      <c r="AE51" s="6">
        <f>stableLTP[[#This Row],[NO2-N 
(mg L-1)]]/(Influent[[#This Row],[NH4-N (mg L-1)]]-stableLTP[[#This Row],[NH4-N 
(mg L-1)]])</f>
        <v>0.86853930774558286</v>
      </c>
      <c r="AF51" s="20">
        <f>46/14*stableLTP[[#This Row],[NO2-N 
(mg L-1)]]/(EXP(-2300/(273+stableLTP[[#This Row],[Temp. 
(°C)]]))*10^stableLTP[[#This Row],[pHreactor]])</f>
        <v>0.35085679223072525</v>
      </c>
      <c r="AG51" s="19">
        <f>17/14*(stableLTP[[#This Row],[NH4-N 
(mg L-1)]]*10^stableLTP[[#This Row],[pHreactor]])/(EXP(6344/(273+stableLTP[[#This Row],[Temp. 
(°C)]]))+10^stableLTP[[#This Row],[pHreactor]])</f>
        <v>2.0404922253739977</v>
      </c>
      <c r="AH51" s="20">
        <f>Influent[[#This Row],[sCOD (mg L-1)]]/stableLTP[[#This Row],[HRT 
(h)]]*24/1000</f>
        <v>0.72504504504504508</v>
      </c>
      <c r="AI51" s="6"/>
      <c r="AJ51" s="6">
        <f>(Influent[[#This Row],[NH4-N (mg L-1)]]*stableLTP[ARE 
(%)])*24/stableLTP[[#This Row],[HRT 
(h)]]/1000</f>
        <v>0.33795699483267055</v>
      </c>
      <c r="AK51" s="6">
        <f>Influent[[#This Row],[TN (mg L-1)]]/stableLTP[[#This Row],[HRT 
(h)]]*24/1000</f>
        <v>0.36947005437870306</v>
      </c>
      <c r="AL51" s="6">
        <f>(Influent[[#This Row],[NH4-N (mg L-1)]])*stableLTP[NRE 
(%)]/stableLTP[[#This Row],[HRT 
(h)]]*24/1000</f>
        <v>4.5833376719952211E-2</v>
      </c>
      <c r="AM51" s="26">
        <f>1-(stableLTP[[#This Row],[NH4-N 
(mg L-1)]]/Influent[[#This Row],[NH4-N (mg L-1)]])</f>
        <v>0.91885452123723543</v>
      </c>
      <c r="AN51" s="26">
        <f>1-(stableLTP[[#This Row],[TN 
(mg L-1)]]/Influent[[#This Row],[TN (mg L-1)]])</f>
        <v>0.12461409607322715</v>
      </c>
    </row>
    <row r="52" spans="1:40" x14ac:dyDescent="0.3">
      <c r="A52" s="128">
        <v>43375</v>
      </c>
      <c r="B52" s="29">
        <v>49</v>
      </c>
      <c r="C52" s="28">
        <v>558.6</v>
      </c>
      <c r="D52" s="28">
        <f>24/(stableLTP[[#This Row],[Cycle duration 
(h)]]+2)</f>
        <v>4</v>
      </c>
      <c r="E52" s="137">
        <v>4</v>
      </c>
      <c r="F52" s="42">
        <f>Information!$R$61/(stableLTP[Flow 
(m3 d-1)]/24*stableLTP[[#This Row],[Cycles per day]]*stableLTP[[#This Row],[Cycle duration 
(h)]])*24</f>
        <v>95.28592910848549</v>
      </c>
      <c r="G52" s="42">
        <f>stableLTP[[#This Row],[Flow 
(m3 d-1)]]*0.2</f>
        <v>111.72000000000001</v>
      </c>
      <c r="H52" s="42">
        <f>Information!$R$61*stableLTP[[#This Row],[TSS  
(mg L-1)]]/(stableLTP[[#This Row],[Flow 
(m3 d-1)]]*stableLTP[[#This Row],[TSS  
(mg L-1)]])</f>
        <v>2.6468313641245973</v>
      </c>
      <c r="I52" s="27">
        <v>28.85</v>
      </c>
      <c r="J52" s="27">
        <v>7.44</v>
      </c>
      <c r="K52" s="27">
        <v>3.5</v>
      </c>
      <c r="L52" s="27">
        <v>59.31</v>
      </c>
      <c r="M52" s="27"/>
      <c r="N52" s="27"/>
      <c r="O52" s="29">
        <v>14240</v>
      </c>
      <c r="P52" s="29">
        <f>stableLTP[[#This Row],[COD 
(mg L-1)]]*Information!$AK$44</f>
        <v>3844.8</v>
      </c>
      <c r="Q52" s="29">
        <v>1473</v>
      </c>
      <c r="R52" s="29">
        <v>9</v>
      </c>
      <c r="S52" s="29">
        <v>13480</v>
      </c>
      <c r="U52" s="29">
        <v>16.96</v>
      </c>
      <c r="V52" s="29">
        <v>29.6</v>
      </c>
      <c r="W52" s="6"/>
      <c r="X52" s="20"/>
      <c r="Y52" s="6"/>
      <c r="Z52" s="29">
        <v>23.37</v>
      </c>
      <c r="AA52" s="29">
        <v>1100.2</v>
      </c>
      <c r="AB52" s="6">
        <f>IF(stableLTP[[#This Row],[TON 
(mg L-1)]]-stableLTP[[#This Row],[NO2-N 
(mg L-1)]]&lt;0,0.2,stableLTP[[#This Row],[TON 
(mg L-1)]]-stableLTP[[#This Row],[NO2-N 
(mg L-1)]])</f>
        <v>0.2</v>
      </c>
      <c r="AC52" s="4">
        <f>SUM(stableLTP[[#This Row],[NH4-N 
(mg L-1)]:[NO3-N 
(mg L-1)]])</f>
        <v>1123.77</v>
      </c>
      <c r="AD52" s="21">
        <f>stableLTP[[#This Row],[NO3-N 
(mg L-1)]]/(Influent[[#This Row],[NH4-N (mg L-1)]]-stableLTP[[#This Row],[NH4-N 
(mg L-1)]])</f>
        <v>1.4998912578838034E-4</v>
      </c>
      <c r="AE52" s="6">
        <f>stableLTP[[#This Row],[NO2-N 
(mg L-1)]]/(Influent[[#This Row],[NH4-N (mg L-1)]]-stableLTP[[#This Row],[NH4-N 
(mg L-1)]])</f>
        <v>0.82509018096188025</v>
      </c>
      <c r="AF52" s="20">
        <f>46/14*stableLTP[[#This Row],[NO2-N 
(mg L-1)]]/(EXP(-2300/(273+stableLTP[[#This Row],[Temp. 
(°C)]]))*10^stableLTP[[#This Row],[pHreactor]])</f>
        <v>0.26747662056431054</v>
      </c>
      <c r="AG52" s="19">
        <f>17/14*(stableLTP[[#This Row],[NH4-N 
(mg L-1)]]*10^stableLTP[[#This Row],[pHreactor]])/(EXP(6344/(273+stableLTP[[#This Row],[Temp. 
(°C)]]))+10^stableLTP[[#This Row],[pHreactor]])</f>
        <v>0.57089949644176208</v>
      </c>
      <c r="AH52" s="20">
        <f>Influent[[#This Row],[sCOD (mg L-1)]]/stableLTP[[#This Row],[HRT 
(h)]]*24/1000</f>
        <v>0.66419040662283912</v>
      </c>
      <c r="AI52" s="6"/>
      <c r="AJ52" s="6">
        <f>(Influent[[#This Row],[NH4-N (mg L-1)]]*stableLTP[ARE 
(%)])*24/stableLTP[[#This Row],[HRT 
(h)]]/1000</f>
        <v>0.33585567459351245</v>
      </c>
      <c r="AK52" s="6">
        <f>Influent[[#This Row],[TN (mg L-1)]]/stableLTP[[#This Row],[HRT 
(h)]]*24/1000</f>
        <v>0.34179233287341398</v>
      </c>
      <c r="AL52" s="6">
        <f>(Influent[[#This Row],[NH4-N (mg L-1)]])*stableLTP[NRE 
(%)]/stableLTP[[#This Row],[HRT 
(h)]]*24/1000</f>
        <v>5.8735797277091474E-2</v>
      </c>
      <c r="AM52" s="26">
        <f>1-(stableLTP[[#This Row],[NH4-N 
(mg L-1)]]/Influent[[#This Row],[NH4-N (mg L-1)]])</f>
        <v>0.98277564858490563</v>
      </c>
      <c r="AN52" s="26">
        <f>1-(stableLTP[[#This Row],[TN 
(mg L-1)]]/Influent[[#This Row],[TN (mg L-1)]])</f>
        <v>0.17187177597641856</v>
      </c>
    </row>
    <row r="53" spans="1:40" x14ac:dyDescent="0.3">
      <c r="A53" s="128">
        <v>43376</v>
      </c>
      <c r="B53" s="29">
        <v>50</v>
      </c>
      <c r="C53" s="28">
        <v>32.799999999999997</v>
      </c>
      <c r="D53" s="28">
        <f>24/(stableLTP[[#This Row],[Cycle duration 
(h)]]+2)</f>
        <v>4</v>
      </c>
      <c r="E53" s="137">
        <v>4</v>
      </c>
      <c r="F53" s="42">
        <f>Information!$R$61/(stableLTP[Flow 
(m3 d-1)]/24*stableLTP[[#This Row],[Cycles per day]]*stableLTP[[#This Row],[Cycle duration 
(h)]])*24</f>
        <v>1622.7658536585368</v>
      </c>
      <c r="G53" s="42">
        <f>stableLTP[[#This Row],[Flow 
(m3 d-1)]]*0.2</f>
        <v>6.56</v>
      </c>
      <c r="H53" s="42">
        <f>Information!$R$61*stableLTP[[#This Row],[TSS  
(mg L-1)]]/(stableLTP[[#This Row],[Flow 
(m3 d-1)]]*stableLTP[[#This Row],[TSS  
(mg L-1)]])</f>
        <v>45.076829268292691</v>
      </c>
      <c r="I53" s="27">
        <v>29.71</v>
      </c>
      <c r="J53" s="27">
        <v>7.28</v>
      </c>
      <c r="K53" s="27">
        <v>3.5</v>
      </c>
      <c r="L53" s="27">
        <v>54.69</v>
      </c>
      <c r="M53" s="27"/>
      <c r="N53" s="27"/>
      <c r="O53" s="29">
        <v>27400</v>
      </c>
      <c r="P53" s="29">
        <f>stableLTP[[#This Row],[COD 
(mg L-1)]]*Information!$AK$44</f>
        <v>7398.0000000000009</v>
      </c>
      <c r="Q53" s="29">
        <v>1678</v>
      </c>
      <c r="R53" s="29">
        <v>8.9</v>
      </c>
      <c r="S53" s="29">
        <v>14900</v>
      </c>
      <c r="U53" s="29">
        <v>13.43</v>
      </c>
      <c r="V53" s="29">
        <v>34.5</v>
      </c>
      <c r="W53" s="6"/>
      <c r="X53" s="20"/>
      <c r="Y53" s="6"/>
      <c r="Z53" s="29">
        <v>25.65</v>
      </c>
      <c r="AA53" s="29">
        <v>956.02</v>
      </c>
      <c r="AB53" s="6">
        <f>IF(stableLTP[[#This Row],[TON 
(mg L-1)]]-stableLTP[[#This Row],[NO2-N 
(mg L-1)]]&lt;0,0.2,stableLTP[[#This Row],[TON 
(mg L-1)]]-stableLTP[[#This Row],[NO2-N 
(mg L-1)]])</f>
        <v>0.2</v>
      </c>
      <c r="AC53" s="4">
        <f>SUM(stableLTP[[#This Row],[NH4-N 
(mg L-1)]:[NO3-N 
(mg L-1)]])</f>
        <v>981.87</v>
      </c>
      <c r="AD53" s="21">
        <f>stableLTP[[#This Row],[NO3-N 
(mg L-1)]]/(Influent[[#This Row],[NH4-N (mg L-1)]]-stableLTP[[#This Row],[NH4-N 
(mg L-1)]])</f>
        <v>1.6305898658839838E-4</v>
      </c>
      <c r="AE53" s="6">
        <f>stableLTP[[#This Row],[NO2-N 
(mg L-1)]]/(Influent[[#This Row],[NH4-N (mg L-1)]]-stableLTP[[#This Row],[NH4-N 
(mg L-1)]])</f>
        <v>0.77943826179120301</v>
      </c>
      <c r="AF53" s="20">
        <f>46/14*stableLTP[[#This Row],[NO2-N 
(mg L-1)]]/(EXP(-2300/(273+stableLTP[[#This Row],[Temp. 
(°C)]]))*10^stableLTP[[#This Row],[pHreactor]])</f>
        <v>0.32876059828008081</v>
      </c>
      <c r="AG53" s="19">
        <f>17/14*(stableLTP[[#This Row],[NH4-N 
(mg L-1)]]*10^stableLTP[[#This Row],[pHreactor]])/(EXP(6344/(273+stableLTP[[#This Row],[Temp. 
(°C)]]))+10^stableLTP[[#This Row],[pHreactor]])</f>
        <v>0.46264368111937387</v>
      </c>
      <c r="AH53" s="20">
        <f>Influent[[#This Row],[sCOD (mg L-1)]]/stableLTP[[#This Row],[HRT 
(h)]]*24/1000</f>
        <v>3.5539323106890668E-2</v>
      </c>
      <c r="AI53" s="6"/>
      <c r="AJ53" s="6">
        <f>(Influent[[#This Row],[NH4-N (mg L-1)]]*stableLTP[ARE 
(%)])*24/stableLTP[[#This Row],[HRT 
(h)]]/1000</f>
        <v>1.8140140140140138E-2</v>
      </c>
      <c r="AK53" s="6">
        <f>Influent[[#This Row],[TN (mg L-1)]]/stableLTP[[#This Row],[HRT 
(h)]]*24/1000</f>
        <v>1.8522450378306233E-2</v>
      </c>
      <c r="AL53" s="6">
        <f>(Influent[[#This Row],[NH4-N (mg L-1)]])*stableLTP[NRE 
(%)]/stableLTP[[#This Row],[HRT 
(h)]]*24/1000</f>
        <v>4.0003819040842015E-3</v>
      </c>
      <c r="AM53" s="26">
        <f>1-(stableLTP[[#This Row],[NH4-N 
(mg L-1)]]/Influent[[#This Row],[NH4-N (mg L-1)]])</f>
        <v>0.97951605174892187</v>
      </c>
      <c r="AN53" s="26">
        <f>1-(stableLTP[[#This Row],[TN 
(mg L-1)]]/Influent[[#This Row],[TN (mg L-1)]])</f>
        <v>0.21600926221654426</v>
      </c>
    </row>
    <row r="54" spans="1:40" x14ac:dyDescent="0.3">
      <c r="A54" s="128">
        <v>43377</v>
      </c>
      <c r="B54" s="29">
        <v>51</v>
      </c>
      <c r="C54" s="28">
        <v>104.5</v>
      </c>
      <c r="D54" s="28">
        <f>24/(stableLTP[[#This Row],[Cycle duration 
(h)]]+2)</f>
        <v>4</v>
      </c>
      <c r="E54" s="137">
        <v>4</v>
      </c>
      <c r="F54" s="42">
        <f>Information!$R$61/(stableLTP[Flow 
(m3 d-1)]/24*stableLTP[[#This Row],[Cycles per day]]*stableLTP[[#This Row],[Cycle duration 
(h)]])*24</f>
        <v>509.34660287081329</v>
      </c>
      <c r="G54" s="42">
        <f>stableLTP[[#This Row],[Flow 
(m3 d-1)]]*0.2</f>
        <v>20.900000000000002</v>
      </c>
      <c r="H54" s="42">
        <f>Information!$R$61*stableLTP[[#This Row],[TSS  
(mg L-1)]]/(stableLTP[[#This Row],[Flow 
(m3 d-1)]]*stableLTP[[#This Row],[TSS  
(mg L-1)]])</f>
        <v>14.148516746411483</v>
      </c>
      <c r="I54" s="27">
        <v>28.84</v>
      </c>
      <c r="J54" s="27">
        <v>7.37</v>
      </c>
      <c r="K54" s="27">
        <v>3.5</v>
      </c>
      <c r="L54" s="27">
        <v>53.42</v>
      </c>
      <c r="M54" s="27">
        <f>stableLTP[[#This Row],[TSS  
(mg L-1)]]</f>
        <v>12260</v>
      </c>
      <c r="N54" s="27">
        <f>stableLTP[[#This Row],[VSS 
(mg L-1)]]</f>
        <v>2460</v>
      </c>
      <c r="O54" s="29">
        <v>18750</v>
      </c>
      <c r="P54" s="29">
        <f>stableLTP[[#This Row],[COD 
(mg L-1)]]*Information!$AK$44</f>
        <v>5062.5</v>
      </c>
      <c r="Q54" s="29">
        <v>1170</v>
      </c>
      <c r="R54" s="29">
        <v>8.3000000000000007</v>
      </c>
      <c r="S54" s="29">
        <v>12260</v>
      </c>
      <c r="T54" s="29">
        <v>2460</v>
      </c>
      <c r="V54" s="29">
        <v>30.2</v>
      </c>
      <c r="W54" s="6"/>
      <c r="X54" s="20"/>
      <c r="Y54" s="6"/>
      <c r="Z54" s="29">
        <v>26.22</v>
      </c>
      <c r="AA54" s="29">
        <v>1068.4000000000001</v>
      </c>
      <c r="AB54" s="6">
        <f>IF(stableLTP[[#This Row],[TON 
(mg L-1)]]-stableLTP[[#This Row],[NO2-N 
(mg L-1)]]&lt;0,0.2,stableLTP[[#This Row],[TON 
(mg L-1)]]-stableLTP[[#This Row],[NO2-N 
(mg L-1)]])</f>
        <v>0.2</v>
      </c>
      <c r="AC54" s="4">
        <f>SUM(stableLTP[[#This Row],[NH4-N 
(mg L-1)]:[NO3-N 
(mg L-1)]])</f>
        <v>1094.8200000000002</v>
      </c>
      <c r="AD54" s="21">
        <f>stableLTP[[#This Row],[NO3-N 
(mg L-1)]]/(Influent[[#This Row],[NH4-N (mg L-1)]]-stableLTP[[#This Row],[NH4-N 
(mg L-1)]])</f>
        <v>1.9687364649368039E-4</v>
      </c>
      <c r="AE54" s="6">
        <f>stableLTP[[#This Row],[NO2-N 
(mg L-1)]]/(Influent[[#This Row],[NH4-N (mg L-1)]]-stableLTP[[#This Row],[NH4-N 
(mg L-1)]])</f>
        <v>1.0516990195692406</v>
      </c>
      <c r="AF54" s="20">
        <f>46/14*stableLTP[[#This Row],[NO2-N 
(mg L-1)]]/(EXP(-2300/(273+stableLTP[[#This Row],[Temp. 
(°C)]]))*10^stableLTP[[#This Row],[pHreactor]])</f>
        <v>0.30525142492671559</v>
      </c>
      <c r="AG54" s="19">
        <f>17/14*(stableLTP[[#This Row],[NH4-N 
(mg L-1)]]*10^stableLTP[[#This Row],[pHreactor]])/(EXP(6344/(273+stableLTP[[#This Row],[Temp. 
(°C)]]))+10^stableLTP[[#This Row],[pHreactor]])</f>
        <v>0.54643560887366316</v>
      </c>
      <c r="AH54" s="20">
        <f>Influent[[#This Row],[sCOD (mg L-1)]]/stableLTP[[#This Row],[HRT 
(h)]]*24/1000</f>
        <v>9.5416362308254218E-2</v>
      </c>
      <c r="AI54" s="6"/>
      <c r="AJ54" s="6">
        <f>(Influent[[#This Row],[NH4-N (mg L-1)]]*stableLTP[ARE 
(%)])*24/stableLTP[[#This Row],[HRT 
(h)]]/1000</f>
        <v>4.7867444020597179E-2</v>
      </c>
      <c r="AK54" s="6">
        <f>Influent[[#This Row],[TN (mg L-1)]]/stableLTP[[#This Row],[HRT 
(h)]]*24/1000</f>
        <v>4.9112333053774507E-2</v>
      </c>
      <c r="AL54" s="6"/>
      <c r="AM54" s="26">
        <f>1-(stableLTP[[#This Row],[NH4-N 
(mg L-1)]]/Influent[[#This Row],[NH4-N (mg L-1)]])</f>
        <v>0.97483926686498412</v>
      </c>
      <c r="AN54" s="26"/>
    </row>
    <row r="55" spans="1:40" x14ac:dyDescent="0.3">
      <c r="A55" s="128">
        <v>43378</v>
      </c>
      <c r="B55" s="29">
        <v>52</v>
      </c>
      <c r="C55" s="28">
        <v>447.7</v>
      </c>
      <c r="D55" s="28">
        <f>24/(stableLTP[[#This Row],[Cycle duration 
(h)]]+2)</f>
        <v>4</v>
      </c>
      <c r="E55" s="137">
        <v>4</v>
      </c>
      <c r="F55" s="42">
        <f>Information!$R$61/(stableLTP[Flow 
(m3 d-1)]/24*stableLTP[[#This Row],[Cycles per day]]*stableLTP[[#This Row],[Cycle duration 
(h)]])*24</f>
        <v>118.88925619834711</v>
      </c>
      <c r="G55" s="42">
        <f>stableLTP[[#This Row],[Flow 
(m3 d-1)]]*0.2</f>
        <v>89.54</v>
      </c>
      <c r="H55" s="42">
        <f>Information!$R$61*stableLTP[[#This Row],[TSS  
(mg L-1)]]/(stableLTP[[#This Row],[Flow 
(m3 d-1)]]*stableLTP[[#This Row],[TSS  
(mg L-1)]])</f>
        <v>3.3024793388429754</v>
      </c>
      <c r="I55" s="27">
        <v>27.83</v>
      </c>
      <c r="J55" s="27">
        <v>7.41</v>
      </c>
      <c r="K55" s="27">
        <v>3.5</v>
      </c>
      <c r="L55" s="27">
        <v>53.44</v>
      </c>
      <c r="M55" s="27">
        <f>stableLTP[[#This Row],[TSS  
(mg L-1)]]</f>
        <v>5360</v>
      </c>
      <c r="N55" s="27">
        <f>stableLTP[[#This Row],[VSS 
(mg L-1)]]</f>
        <v>4140</v>
      </c>
      <c r="O55" s="29">
        <v>8930</v>
      </c>
      <c r="P55" s="29">
        <f>stableLTP[[#This Row],[COD 
(mg L-1)]]*Information!$AK$44</f>
        <v>2411.1000000000004</v>
      </c>
      <c r="Q55" s="29">
        <v>1078</v>
      </c>
      <c r="R55" s="29">
        <v>8.1999999999999993</v>
      </c>
      <c r="S55" s="29">
        <v>5360</v>
      </c>
      <c r="T55" s="29">
        <v>4140</v>
      </c>
      <c r="U55" s="29">
        <v>15.65</v>
      </c>
      <c r="V55" s="29">
        <v>30.9</v>
      </c>
      <c r="W55" s="6"/>
      <c r="X55" s="20"/>
      <c r="Y55" s="6"/>
      <c r="Z55" s="29">
        <v>94.44</v>
      </c>
      <c r="AA55" s="29">
        <v>979.61</v>
      </c>
      <c r="AB55" s="6">
        <f>IF(stableLTP[[#This Row],[TON 
(mg L-1)]]-stableLTP[[#This Row],[NO2-N 
(mg L-1)]]&lt;0,0.2,stableLTP[[#This Row],[TON 
(mg L-1)]]-stableLTP[[#This Row],[NO2-N 
(mg L-1)]])</f>
        <v>0.2</v>
      </c>
      <c r="AC55" s="4">
        <f>SUM(stableLTP[[#This Row],[NH4-N 
(mg L-1)]:[NO3-N 
(mg L-1)]])</f>
        <v>1074.25</v>
      </c>
      <c r="AD55" s="21">
        <f>stableLTP[[#This Row],[NO3-N 
(mg L-1)]]/(Influent[[#This Row],[NH4-N (mg L-1)]]-stableLTP[[#This Row],[NH4-N 
(mg L-1)]])</f>
        <v>2.1648301690732367E-4</v>
      </c>
      <c r="AE55" s="6">
        <f>stableLTP[[#This Row],[NO2-N 
(mg L-1)]]/(Influent[[#This Row],[NH4-N (mg L-1)]]-stableLTP[[#This Row],[NH4-N 
(mg L-1)]])</f>
        <v>1.0603446409629167</v>
      </c>
      <c r="AF55" s="20">
        <f>46/14*stableLTP[[#This Row],[NO2-N 
(mg L-1)]]/(EXP(-2300/(273+stableLTP[[#This Row],[Temp. 
(°C)]]))*10^stableLTP[[#This Row],[pHreactor]])</f>
        <v>0.26187110518465678</v>
      </c>
      <c r="AG55" s="19">
        <f>17/14*(stableLTP[[#This Row],[NH4-N 
(mg L-1)]]*10^stableLTP[[#This Row],[pHreactor]])/(EXP(6344/(273+stableLTP[[#This Row],[Temp. 
(°C)]]))+10^stableLTP[[#This Row],[pHreactor]])</f>
        <v>2.010269261938658</v>
      </c>
      <c r="AH55" s="20">
        <f>Influent[[#This Row],[sCOD (mg L-1)]]/stableLTP[[#This Row],[HRT 
(h)]]*24/1000</f>
        <v>0.32975225225225224</v>
      </c>
      <c r="AI55" s="6"/>
      <c r="AJ55" s="6">
        <f>(Influent[[#This Row],[NH4-N (mg L-1)]]*stableLTP[ARE 
(%)])*24/stableLTP[[#This Row],[HRT 
(h)]]/1000</f>
        <v>0.18649826493159824</v>
      </c>
      <c r="AK55" s="6">
        <f>Influent[[#This Row],[TN (mg L-1)]]/stableLTP[[#This Row],[HRT 
(h)]]*24/1000</f>
        <v>0.20740982649315984</v>
      </c>
      <c r="AL55" s="6"/>
      <c r="AM55" s="26">
        <f>1-(stableLTP[[#This Row],[NH4-N 
(mg L-1)]]/Influent[[#This Row],[NH4-N (mg L-1)]])</f>
        <v>0.9072571933614848</v>
      </c>
      <c r="AN55" s="26"/>
    </row>
    <row r="56" spans="1:40" x14ac:dyDescent="0.3">
      <c r="A56" s="128">
        <v>43379</v>
      </c>
      <c r="B56" s="29">
        <v>53</v>
      </c>
      <c r="C56" s="28">
        <v>684.6</v>
      </c>
      <c r="D56" s="28">
        <f>24/(stableLTP[[#This Row],[Cycle duration 
(h)]]+2)</f>
        <v>4</v>
      </c>
      <c r="E56" s="137">
        <v>4</v>
      </c>
      <c r="F56" s="42">
        <f>Information!$R$61/(stableLTP[Flow 
(m3 d-1)]/24*stableLTP[[#This Row],[Cycles per day]]*stableLTP[[#This Row],[Cycle duration 
(h)]])*24</f>
        <v>77.748641542506562</v>
      </c>
      <c r="G56" s="42">
        <f>stableLTP[[#This Row],[Flow 
(m3 d-1)]]*0.2</f>
        <v>136.92000000000002</v>
      </c>
      <c r="H56" s="42">
        <f>Information!$R$61*stableLTP[[#This Row],[TSS  
(mg L-1)]]/(stableLTP[[#This Row],[Flow 
(m3 d-1)]]*stableLTP[[#This Row],[TSS  
(mg L-1)]])</f>
        <v>2.1596844872918495</v>
      </c>
      <c r="I56" s="27">
        <v>26.33</v>
      </c>
      <c r="J56" s="27">
        <v>7.89</v>
      </c>
      <c r="K56" s="27">
        <v>3.5</v>
      </c>
      <c r="L56" s="27">
        <v>76.069999999999993</v>
      </c>
      <c r="M56" s="27">
        <f>stableLTP[[#This Row],[TSS  
(mg L-1)]]</f>
        <v>7520</v>
      </c>
      <c r="N56" s="27">
        <f>stableLTP[[#This Row],[VSS 
(mg L-1)]]</f>
        <v>6140</v>
      </c>
      <c r="O56" s="29">
        <v>10150</v>
      </c>
      <c r="P56" s="29">
        <f>stableLTP[[#This Row],[COD 
(mg L-1)]]*Information!$AK$44</f>
        <v>2740.5</v>
      </c>
      <c r="Q56" s="29">
        <v>1098</v>
      </c>
      <c r="R56" s="29">
        <v>8.3000000000000007</v>
      </c>
      <c r="S56" s="29">
        <v>7520</v>
      </c>
      <c r="T56" s="29">
        <v>6140</v>
      </c>
      <c r="U56" s="29">
        <v>15.34</v>
      </c>
      <c r="V56" s="29">
        <v>32.6</v>
      </c>
      <c r="W56" s="6"/>
      <c r="X56" s="20"/>
      <c r="Y56" s="6"/>
      <c r="Z56" s="29">
        <v>139.44</v>
      </c>
      <c r="AA56" s="29">
        <v>924.59</v>
      </c>
      <c r="AB56" s="6">
        <f>IF(stableLTP[[#This Row],[TON 
(mg L-1)]]-stableLTP[[#This Row],[NO2-N 
(mg L-1)]]&lt;0,0.2,stableLTP[[#This Row],[TON 
(mg L-1)]]-stableLTP[[#This Row],[NO2-N 
(mg L-1)]])</f>
        <v>0.2</v>
      </c>
      <c r="AC56" s="4">
        <f>SUM(stableLTP[[#This Row],[NH4-N 
(mg L-1)]:[NO3-N 
(mg L-1)]])</f>
        <v>1064.23</v>
      </c>
      <c r="AD56" s="21">
        <f>stableLTP[[#This Row],[NO3-N 
(mg L-1)]]/(Influent[[#This Row],[NH4-N (mg L-1)]]-stableLTP[[#This Row],[NH4-N 
(mg L-1)]])</f>
        <v>1.8831327796922962E-4</v>
      </c>
      <c r="AE56" s="6">
        <f>stableLTP[[#This Row],[NO2-N 
(mg L-1)]]/(Influent[[#This Row],[NH4-N (mg L-1)]]-stableLTP[[#This Row],[NH4-N 
(mg L-1)]])</f>
        <v>0.87056286838785013</v>
      </c>
      <c r="AF56" s="20">
        <f>46/14*stableLTP[[#This Row],[NO2-N 
(mg L-1)]]/(EXP(-2300/(273+stableLTP[[#This Row],[Temp. 
(°C)]]))*10^stableLTP[[#This Row],[pHreactor]])</f>
        <v>8.5039901202170198E-2</v>
      </c>
      <c r="AG56" s="19">
        <f>17/14*(stableLTP[[#This Row],[NH4-N 
(mg L-1)]]*10^stableLTP[[#This Row],[pHreactor]])/(EXP(6344/(273+stableLTP[[#This Row],[Temp. 
(°C)]]))+10^stableLTP[[#This Row],[pHreactor]])</f>
        <v>7.8290827062074628</v>
      </c>
      <c r="AH56" s="20">
        <f>Influent[[#This Row],[sCOD (mg L-1)]]/stableLTP[[#This Row],[HRT 
(h)]]*24/1000</f>
        <v>0.6181458485512541</v>
      </c>
      <c r="AI56" s="6"/>
      <c r="AJ56" s="6">
        <f>(Influent[[#This Row],[NH4-N (mg L-1)]]*stableLTP[ARE 
(%)])*24/stableLTP[[#This Row],[HRT 
(h)]]/1000</f>
        <v>0.32784418472526583</v>
      </c>
      <c r="AK56" s="6">
        <f>Influent[[#This Row],[TN (mg L-1)]]/stableLTP[[#This Row],[HRT 
(h)]]*24/1000</f>
        <v>0.3709492465438412</v>
      </c>
      <c r="AL56" s="6">
        <f>(Influent[[#This Row],[NH4-N (mg L-1)]])*stableLTP[NRE 
(%)]/stableLTP[[#This Row],[HRT 
(h)]]*24/1000</f>
        <v>4.2428148356665175E-2</v>
      </c>
      <c r="AM56" s="26">
        <f>1-(stableLTP[[#This Row],[NH4-N 
(mg L-1)]]/Influent[[#This Row],[NH4-N (mg L-1)]])</f>
        <v>0.88394506866416978</v>
      </c>
      <c r="AN56" s="26">
        <f>1-(stableLTP[[#This Row],[TN 
(mg L-1)]]/Influent[[#This Row],[TN (mg L-1)]])</f>
        <v>0.11439627194807356</v>
      </c>
    </row>
    <row r="57" spans="1:40" x14ac:dyDescent="0.3">
      <c r="A57" s="128">
        <v>43380</v>
      </c>
      <c r="B57" s="29">
        <v>54</v>
      </c>
      <c r="C57" s="28"/>
      <c r="D57" s="28"/>
      <c r="E57" s="137"/>
      <c r="F57" s="42"/>
      <c r="G57" s="42"/>
      <c r="H57" s="42"/>
      <c r="I57" s="27"/>
      <c r="J57" s="27"/>
      <c r="K57" s="27"/>
      <c r="L57" s="27"/>
      <c r="M57" s="27"/>
      <c r="N57" s="27"/>
      <c r="W57" s="6"/>
      <c r="X57" s="20"/>
      <c r="Y57" s="6"/>
      <c r="AB57" s="6"/>
      <c r="AC57" s="4"/>
      <c r="AD57" s="21"/>
      <c r="AE57" s="6"/>
      <c r="AF57" s="20"/>
      <c r="AG57" s="19"/>
      <c r="AH57" s="20"/>
      <c r="AI57" s="6"/>
      <c r="AJ57" s="6"/>
      <c r="AK57" s="6"/>
      <c r="AL57" s="6"/>
      <c r="AM57" s="26"/>
      <c r="AN57" s="26"/>
    </row>
    <row r="58" spans="1:40" x14ac:dyDescent="0.3">
      <c r="A58" s="128">
        <v>43381</v>
      </c>
      <c r="B58" s="29">
        <v>55</v>
      </c>
      <c r="C58" s="28">
        <v>442.9</v>
      </c>
      <c r="D58" s="28">
        <f>24/(stableLTP[[#This Row],[Cycle duration 
(h)]]+2)</f>
        <v>4</v>
      </c>
      <c r="E58" s="137">
        <v>4</v>
      </c>
      <c r="F58" s="42">
        <f>Information!$R$61/(stableLTP[Flow 
(m3 d-1)]/24*stableLTP[[#This Row],[Cycles per day]]*stableLTP[[#This Row],[Cycle duration 
(h)]])*24</f>
        <v>120.17773763829308</v>
      </c>
      <c r="G58" s="42">
        <f>stableLTP[[#This Row],[Flow 
(m3 d-1)]]*0.2</f>
        <v>88.58</v>
      </c>
      <c r="H58" s="42">
        <f>Information!$R$61*stableLTP[[#This Row],[TSS  
(mg L-1)]]/(stableLTP[[#This Row],[Flow 
(m3 d-1)]]*stableLTP[[#This Row],[TSS  
(mg L-1)]])</f>
        <v>3.3382704899525852</v>
      </c>
      <c r="I58" s="27">
        <v>26.76</v>
      </c>
      <c r="J58" s="27">
        <v>7.32</v>
      </c>
      <c r="K58" s="27">
        <v>3.5</v>
      </c>
      <c r="L58" s="27">
        <v>71.39</v>
      </c>
      <c r="M58" s="27">
        <f>stableLTP[[#This Row],[TSS  
(mg L-1)]]</f>
        <v>8900</v>
      </c>
      <c r="N58" s="27">
        <f>stableLTP[[#This Row],[VSS 
(mg L-1)]]</f>
        <v>4260</v>
      </c>
      <c r="O58" s="29">
        <v>13550</v>
      </c>
      <c r="P58" s="29">
        <f>stableLTP[[#This Row],[COD 
(mg L-1)]]*Information!$AK$44</f>
        <v>3658.5000000000005</v>
      </c>
      <c r="Q58" s="29">
        <v>965</v>
      </c>
      <c r="R58" s="29">
        <v>8</v>
      </c>
      <c r="S58" s="29">
        <v>8900</v>
      </c>
      <c r="T58" s="29">
        <v>4260</v>
      </c>
      <c r="U58" s="29">
        <v>12.33</v>
      </c>
      <c r="V58" s="29">
        <v>32.5</v>
      </c>
      <c r="W58" s="6"/>
      <c r="X58" s="20"/>
      <c r="Y58" s="6"/>
      <c r="Z58" s="29">
        <v>191.01</v>
      </c>
      <c r="AA58" s="29">
        <v>852.2</v>
      </c>
      <c r="AB58" s="6">
        <f>IF(stableLTP[[#This Row],[TON 
(mg L-1)]]-stableLTP[[#This Row],[NO2-N 
(mg L-1)]]&lt;0,0.2,stableLTP[[#This Row],[TON 
(mg L-1)]]-stableLTP[[#This Row],[NO2-N 
(mg L-1)]])</f>
        <v>0.2</v>
      </c>
      <c r="AC58" s="4">
        <f>SUM(stableLTP[[#This Row],[NH4-N 
(mg L-1)]:[NO3-N 
(mg L-1)]])</f>
        <v>1043.4100000000001</v>
      </c>
      <c r="AD58" s="21">
        <f>stableLTP[[#This Row],[NO3-N 
(mg L-1)]]/(Influent[[#This Row],[NH4-N (mg L-1)]]-stableLTP[[#This Row],[NH4-N 
(mg L-1)]])</f>
        <v>1.8527267505951886E-4</v>
      </c>
      <c r="AE58" s="6">
        <f>stableLTP[[#This Row],[NO2-N 
(mg L-1)]]/(Influent[[#This Row],[NH4-N (mg L-1)]]-stableLTP[[#This Row],[NH4-N 
(mg L-1)]])</f>
        <v>0.78944686842860989</v>
      </c>
      <c r="AF58" s="20">
        <f>46/14*stableLTP[[#This Row],[NO2-N 
(mg L-1)]]/(EXP(-2300/(273+stableLTP[[#This Row],[Temp. 
(°C)]]))*10^stableLTP[[#This Row],[pHreactor]])</f>
        <v>0.28802365633090782</v>
      </c>
      <c r="AG58" s="19">
        <f>17/14*(stableLTP[[#This Row],[NH4-N 
(mg L-1)]]*10^stableLTP[[#This Row],[pHreactor]])/(EXP(6344/(273+stableLTP[[#This Row],[Temp. 
(°C)]]))+10^stableLTP[[#This Row],[pHreactor]])</f>
        <v>3.0785091395804671</v>
      </c>
      <c r="AH58" s="20">
        <f>Influent[[#This Row],[sCOD (mg L-1)]]/stableLTP[[#This Row],[HRT 
(h)]]*24/1000</f>
        <v>0.43405709763817868</v>
      </c>
      <c r="AI58" s="6"/>
      <c r="AJ58" s="6">
        <f>(Influent[[#This Row],[NH4-N (mg L-1)]]*stableLTP[ARE 
(%)])*24/stableLTP[[#This Row],[HRT 
(h)]]/1000</f>
        <v>0.21557869626383142</v>
      </c>
      <c r="AK58" s="6">
        <f>Influent[[#This Row],[TN (mg L-1)]]/stableLTP[[#This Row],[HRT 
(h)]]*24/1000</f>
        <v>0.2571581110389668</v>
      </c>
      <c r="AL58" s="6">
        <f>(Influent[[#This Row],[NH4-N (mg L-1)]])*stableLTP[NRE 
(%)]/stableLTP[[#This Row],[HRT 
(h)]]*24/1000</f>
        <v>4.8133304474823904E-2</v>
      </c>
      <c r="AM58" s="26">
        <f>1-(stableLTP[[#This Row],[NH4-N 
(mg L-1)]]/Influent[[#This Row],[NH4-N (mg L-1)]])</f>
        <v>0.84965761511216054</v>
      </c>
      <c r="AN58" s="26">
        <f>1-(stableLTP[[#This Row],[TN 
(mg L-1)]]/Influent[[#This Row],[TN (mg L-1)]])</f>
        <v>0.18970718997899338</v>
      </c>
    </row>
    <row r="59" spans="1:40" x14ac:dyDescent="0.3">
      <c r="A59" s="128">
        <v>43382</v>
      </c>
      <c r="B59" s="29">
        <v>56</v>
      </c>
      <c r="C59" s="28">
        <v>402.3</v>
      </c>
      <c r="D59" s="28">
        <f>24/(stableLTP[[#This Row],[Cycle duration 
(h)]]+2)</f>
        <v>4</v>
      </c>
      <c r="E59" s="137">
        <v>4</v>
      </c>
      <c r="F59" s="42">
        <f>Information!$R$61/(stableLTP[Flow 
(m3 d-1)]/24*stableLTP[[#This Row],[Cycles per day]]*stableLTP[[#This Row],[Cycle duration 
(h)]])*24</f>
        <v>132.30604026845637</v>
      </c>
      <c r="G59" s="42">
        <f>stableLTP[[#This Row],[Flow 
(m3 d-1)]]*0.2</f>
        <v>80.460000000000008</v>
      </c>
      <c r="H59" s="42">
        <f>Information!$R$61*stableLTP[[#This Row],[TSS  
(mg L-1)]]/(stableLTP[[#This Row],[Flow 
(m3 d-1)]]*stableLTP[[#This Row],[TSS  
(mg L-1)]])</f>
        <v>3.6751677852348994</v>
      </c>
      <c r="I59" s="27">
        <v>27.53</v>
      </c>
      <c r="J59" s="27">
        <v>7.4</v>
      </c>
      <c r="K59" s="27">
        <v>3.5</v>
      </c>
      <c r="L59" s="27">
        <v>67.290000000000006</v>
      </c>
      <c r="M59" s="27">
        <f>stableLTP[[#This Row],[TSS  
(mg L-1)]]</f>
        <v>11740</v>
      </c>
      <c r="N59" s="27">
        <f>stableLTP[[#This Row],[VSS 
(mg L-1)]]</f>
        <v>4340</v>
      </c>
      <c r="O59" s="29">
        <v>11975</v>
      </c>
      <c r="P59" s="29">
        <f>stableLTP[[#This Row],[COD 
(mg L-1)]]*Information!$AK$44</f>
        <v>3233.25</v>
      </c>
      <c r="Q59" s="29">
        <v>1051</v>
      </c>
      <c r="R59" s="29">
        <v>8.9</v>
      </c>
      <c r="S59" s="29">
        <v>11740</v>
      </c>
      <c r="T59" s="29">
        <v>4340</v>
      </c>
      <c r="U59" s="29">
        <v>13.59</v>
      </c>
      <c r="V59" s="29">
        <v>985.8</v>
      </c>
      <c r="W59" s="6"/>
      <c r="X59" s="20"/>
      <c r="Y59" s="6"/>
      <c r="Z59" s="29">
        <v>135.19999999999999</v>
      </c>
      <c r="AA59" s="29">
        <v>891.62</v>
      </c>
      <c r="AB59" s="6">
        <f>IF(stableLTP[[#This Row],[TON 
(mg L-1)]]-stableLTP[[#This Row],[NO2-N 
(mg L-1)]]&lt;0,0.2,stableLTP[[#This Row],[TON 
(mg L-1)]]-stableLTP[[#This Row],[NO2-N 
(mg L-1)]])</f>
        <v>94.17999999999995</v>
      </c>
      <c r="AC59" s="4">
        <f>SUM(stableLTP[[#This Row],[NH4-N 
(mg L-1)]:[NO3-N 
(mg L-1)]])</f>
        <v>1121</v>
      </c>
      <c r="AD59" s="21">
        <f>stableLTP[[#This Row],[NO3-N 
(mg L-1)]]/(Influent[[#This Row],[NH4-N (mg L-1)]]-stableLTP[[#This Row],[NH4-N 
(mg L-1)]])</f>
        <v>7.9766240365884603E-2</v>
      </c>
      <c r="AE59" s="6">
        <f>stableLTP[[#This Row],[NO2-N 
(mg L-1)]]/(Influent[[#This Row],[NH4-N (mg L-1)]]-stableLTP[[#This Row],[NH4-N 
(mg L-1)]])</f>
        <v>0.75516219192004741</v>
      </c>
      <c r="AF59" s="20">
        <f>46/14*stableLTP[[#This Row],[NO2-N 
(mg L-1)]]/(EXP(-2300/(273+stableLTP[[#This Row],[Temp. 
(°C)]]))*10^stableLTP[[#This Row],[pHreactor]])</f>
        <v>0.2457699164012882</v>
      </c>
      <c r="AG59" s="19">
        <f>17/14*(stableLTP[[#This Row],[NH4-N 
(mg L-1)]]*10^stableLTP[[#This Row],[pHreactor]])/(EXP(6344/(273+stableLTP[[#This Row],[Temp. 
(°C)]]))+10^stableLTP[[#This Row],[pHreactor]])</f>
        <v>2.7558841291677099</v>
      </c>
      <c r="AH59" s="20">
        <f>Influent[[#This Row],[sCOD (mg L-1)]]/stableLTP[[#This Row],[HRT 
(h)]]*24/1000</f>
        <v>0.39590029218407602</v>
      </c>
      <c r="AI59" s="6"/>
      <c r="AJ59" s="6">
        <f>(Influent[[#This Row],[NH4-N (mg L-1)]]*stableLTP[ARE 
(%)])*24/stableLTP[[#This Row],[HRT 
(h)]]/1000</f>
        <v>0.21417616264913564</v>
      </c>
      <c r="AK59" s="6">
        <f>Influent[[#This Row],[TN (mg L-1)]]/stableLTP[[#This Row],[HRT 
(h)]]*24/1000</f>
        <v>0.23873739956172391</v>
      </c>
      <c r="AL59" s="6">
        <f>(Influent[[#This Row],[NH4-N (mg L-1)]])*stableLTP[NRE 
(%)]/stableLTP[[#This Row],[HRT 
(h)]]*24/1000</f>
        <v>3.5385296344959127E-2</v>
      </c>
      <c r="AM59" s="26">
        <f>1-(stableLTP[[#This Row],[NH4-N 
(mg L-1)]]/Influent[[#This Row],[NH4-N (mg L-1)]])</f>
        <v>0.89725663044304282</v>
      </c>
      <c r="AN59" s="26">
        <f>1-(stableLTP[[#This Row],[TN 
(mg L-1)]]/Influent[[#This Row],[TN (mg L-1)]])</f>
        <v>0.14824101512043164</v>
      </c>
    </row>
    <row r="60" spans="1:40" x14ac:dyDescent="0.3">
      <c r="A60" s="128">
        <v>43383</v>
      </c>
      <c r="B60" s="29">
        <v>57</v>
      </c>
      <c r="C60" s="28">
        <v>558.20000000000005</v>
      </c>
      <c r="D60" s="28">
        <f>24/(stableLTP[[#This Row],[Cycle duration 
(h)]]+2)</f>
        <v>4</v>
      </c>
      <c r="E60" s="137">
        <v>4</v>
      </c>
      <c r="F60" s="42">
        <f>Information!$R$61/(stableLTP[Flow 
(m3 d-1)]/24*stableLTP[[#This Row],[Cycles per day]]*stableLTP[[#This Row],[Cycle duration 
(h)]])*24</f>
        <v>95.354209960587596</v>
      </c>
      <c r="G60" s="42">
        <f>stableLTP[[#This Row],[Flow 
(m3 d-1)]]*0.2</f>
        <v>111.64000000000001</v>
      </c>
      <c r="H60" s="42">
        <f>Information!$R$61*stableLTP[[#This Row],[TSS  
(mg L-1)]]/(stableLTP[[#This Row],[Flow 
(m3 d-1)]]*stableLTP[[#This Row],[TSS  
(mg L-1)]])</f>
        <v>2.6487280544607663</v>
      </c>
      <c r="I60" s="27">
        <v>27.86</v>
      </c>
      <c r="J60" s="27">
        <v>7.32</v>
      </c>
      <c r="K60" s="27">
        <v>3.5</v>
      </c>
      <c r="L60" s="27">
        <v>63.71</v>
      </c>
      <c r="M60" s="27">
        <f>stableLTP[[#This Row],[TSS  
(mg L-1)]]</f>
        <v>10720</v>
      </c>
      <c r="N60" s="27">
        <f>stableLTP[[#This Row],[VSS 
(mg L-1)]]</f>
        <v>4200</v>
      </c>
      <c r="O60" s="29">
        <v>12200</v>
      </c>
      <c r="P60" s="29">
        <f>stableLTP[[#This Row],[COD 
(mg L-1)]]*Information!$AK$44</f>
        <v>3294</v>
      </c>
      <c r="Q60" s="29">
        <v>1051</v>
      </c>
      <c r="R60" s="29">
        <v>8.8000000000000007</v>
      </c>
      <c r="S60" s="29">
        <v>10720</v>
      </c>
      <c r="T60" s="29">
        <v>4200</v>
      </c>
      <c r="U60" s="29">
        <v>14.76</v>
      </c>
      <c r="V60" s="29">
        <v>1031.7</v>
      </c>
      <c r="W60" s="6"/>
      <c r="X60" s="20"/>
      <c r="Y60" s="6"/>
      <c r="Z60" s="29">
        <v>129.85</v>
      </c>
      <c r="AA60" s="29">
        <v>924.25</v>
      </c>
      <c r="AB60" s="6">
        <f>IF(stableLTP[[#This Row],[TON 
(mg L-1)]]-stableLTP[[#This Row],[NO2-N 
(mg L-1)]]&lt;0,0.2,stableLTP[[#This Row],[TON 
(mg L-1)]]-stableLTP[[#This Row],[NO2-N 
(mg L-1)]])</f>
        <v>107.45000000000005</v>
      </c>
      <c r="AC60" s="4">
        <f>SUM(stableLTP[[#This Row],[NH4-N 
(mg L-1)]:[NO3-N 
(mg L-1)]])</f>
        <v>1161.55</v>
      </c>
      <c r="AD60" s="21">
        <f>stableLTP[[#This Row],[NO3-N 
(mg L-1)]]/(Influent[[#This Row],[NH4-N (mg L-1)]]-stableLTP[[#This Row],[NH4-N 
(mg L-1)]])</f>
        <v>9.0832241430322536E-2</v>
      </c>
      <c r="AE60" s="6">
        <f>stableLTP[[#This Row],[NO2-N 
(mg L-1)]]/(Influent[[#This Row],[NH4-N (mg L-1)]]-stableLTP[[#This Row],[NH4-N 
(mg L-1)]])</f>
        <v>0.78130943826873489</v>
      </c>
      <c r="AF60" s="20">
        <f>46/14*stableLTP[[#This Row],[NO2-N 
(mg L-1)]]/(EXP(-2300/(273+stableLTP[[#This Row],[Temp. 
(°C)]]))*10^stableLTP[[#This Row],[pHreactor]])</f>
        <v>0.30373353114005264</v>
      </c>
      <c r="AG60" s="19">
        <f>17/14*(stableLTP[[#This Row],[NH4-N 
(mg L-1)]]*10^stableLTP[[#This Row],[pHreactor]])/(EXP(6344/(273+stableLTP[[#This Row],[Temp. 
(°C)]]))+10^stableLTP[[#This Row],[pHreactor]])</f>
        <v>2.2587473617819542</v>
      </c>
      <c r="AH60" s="20">
        <f>Influent[[#This Row],[sCOD (mg L-1)]]/stableLTP[[#This Row],[HRT 
(h)]]*24/1000</f>
        <v>0.55385074263452649</v>
      </c>
      <c r="AI60" s="6"/>
      <c r="AJ60" s="6">
        <f>(Influent[[#This Row],[NH4-N (mg L-1)]]*stableLTP[ARE 
(%)])*24/stableLTP[[#This Row],[HRT 
(h)]]/1000</f>
        <v>0.2977403935466999</v>
      </c>
      <c r="AK60" s="6">
        <f>Influent[[#This Row],[TN (mg L-1)]]/stableLTP[[#This Row],[HRT 
(h)]]*24/1000</f>
        <v>0.33047308569831096</v>
      </c>
      <c r="AL60" s="6">
        <f>(Influent[[#This Row],[NH4-N (mg L-1)]])*stableLTP[NRE 
(%)]/stableLTP[[#This Row],[HRT 
(h)]]*24/1000</f>
        <v>3.8113118845363961E-2</v>
      </c>
      <c r="AM60" s="26">
        <f>1-(stableLTP[[#This Row],[NH4-N 
(mg L-1)]]/Influent[[#This Row],[NH4-N (mg L-1)]])</f>
        <v>0.9010892748324193</v>
      </c>
      <c r="AN60" s="26">
        <f>1-(stableLTP[[#This Row],[TN 
(mg L-1)]]/Influent[[#This Row],[TN (mg L-1)]])</f>
        <v>0.11534653465346534</v>
      </c>
    </row>
    <row r="61" spans="1:40" x14ac:dyDescent="0.3">
      <c r="A61" s="128">
        <v>43384</v>
      </c>
      <c r="B61" s="29">
        <v>58</v>
      </c>
      <c r="C61" s="28">
        <v>532.4</v>
      </c>
      <c r="D61" s="28">
        <f>24/(stableLTP[[#This Row],[Cycle duration 
(h)]]+2)</f>
        <v>4</v>
      </c>
      <c r="E61" s="137">
        <v>4</v>
      </c>
      <c r="F61" s="42">
        <f>Information!$R$61/(stableLTP[Flow 
(m3 d-1)]/24*stableLTP[[#This Row],[Cycles per day]]*stableLTP[[#This Row],[Cycle duration 
(h)]])*24</f>
        <v>99.975056348610082</v>
      </c>
      <c r="G61" s="42">
        <f>stableLTP[[#This Row],[Flow 
(m3 d-1)]]*0.2</f>
        <v>106.48</v>
      </c>
      <c r="H61" s="42">
        <f>Information!$R$61*stableLTP[[#This Row],[TSS  
(mg L-1)]]/(stableLTP[[#This Row],[Flow 
(m3 d-1)]]*stableLTP[[#This Row],[TSS  
(mg L-1)]])</f>
        <v>2.7770848985725016</v>
      </c>
      <c r="I61" s="27">
        <v>28.25</v>
      </c>
      <c r="J61" s="27">
        <v>7.17</v>
      </c>
      <c r="K61" s="27">
        <v>3.5</v>
      </c>
      <c r="L61" s="27">
        <v>43.03</v>
      </c>
      <c r="M61" s="27">
        <f>stableLTP[[#This Row],[TSS  
(mg L-1)]]</f>
        <v>10580</v>
      </c>
      <c r="N61" s="27">
        <f>stableLTP[[#This Row],[VSS 
(mg L-1)]]</f>
        <v>3570</v>
      </c>
      <c r="O61" s="29">
        <v>11225</v>
      </c>
      <c r="P61" s="29">
        <f>stableLTP[[#This Row],[COD 
(mg L-1)]]*Information!$AK$44</f>
        <v>3030.75</v>
      </c>
      <c r="Q61" s="29">
        <v>1069</v>
      </c>
      <c r="R61" s="29">
        <v>8.6999999999999993</v>
      </c>
      <c r="S61" s="29">
        <v>10580</v>
      </c>
      <c r="T61" s="29">
        <v>3570</v>
      </c>
      <c r="U61" s="29">
        <v>15.97</v>
      </c>
      <c r="V61" s="29">
        <v>1071.3</v>
      </c>
      <c r="W61" s="6"/>
      <c r="X61" s="20"/>
      <c r="Y61" s="6"/>
      <c r="Z61" s="29">
        <v>122.48</v>
      </c>
      <c r="AA61" s="29">
        <v>948.78</v>
      </c>
      <c r="AB61" s="6">
        <f>IF(stableLTP[[#This Row],[TON 
(mg L-1)]]-stableLTP[[#This Row],[NO2-N 
(mg L-1)]]&lt;0,0.2,stableLTP[[#This Row],[TON 
(mg L-1)]]-stableLTP[[#This Row],[NO2-N 
(mg L-1)]])</f>
        <v>122.51999999999998</v>
      </c>
      <c r="AC61" s="4">
        <f>SUM(stableLTP[[#This Row],[NH4-N 
(mg L-1)]:[NO3-N 
(mg L-1)]])</f>
        <v>1193.78</v>
      </c>
      <c r="AD61" s="21">
        <f>stableLTP[[#This Row],[NO3-N 
(mg L-1)]]/(Influent[[#This Row],[NH4-N (mg L-1)]]-stableLTP[[#This Row],[NH4-N 
(mg L-1)]])</f>
        <v>0.1018013826110077</v>
      </c>
      <c r="AE61" s="6">
        <f>stableLTP[[#This Row],[NO2-N 
(mg L-1)]]/(Influent[[#This Row],[NH4-N (mg L-1)]]-stableLTP[[#This Row],[NH4-N 
(mg L-1)]])</f>
        <v>0.78833754320659399</v>
      </c>
      <c r="AF61" s="20">
        <f>46/14*stableLTP[[#This Row],[NO2-N 
(mg L-1)]]/(EXP(-2300/(273+stableLTP[[#This Row],[Temp. 
(°C)]]))*10^stableLTP[[#This Row],[pHreactor]])</f>
        <v>0.43608446412154545</v>
      </c>
      <c r="AG61" s="19">
        <f>17/14*(stableLTP[[#This Row],[NH4-N 
(mg L-1)]]*10^stableLTP[[#This Row],[pHreactor]])/(EXP(6344/(273+stableLTP[[#This Row],[Temp. 
(°C)]]))+10^stableLTP[[#This Row],[pHreactor]])</f>
        <v>1.5561262143924983</v>
      </c>
      <c r="AH61" s="20">
        <f>Influent[[#This Row],[sCOD (mg L-1)]]/stableLTP[[#This Row],[HRT 
(h)]]*24/1000</f>
        <v>0.52717149582014444</v>
      </c>
      <c r="AI61" s="6"/>
      <c r="AJ61" s="6">
        <f>(Influent[[#This Row],[NH4-N (mg L-1)]]*stableLTP[ARE 
(%)])*24/stableLTP[[#This Row],[HRT 
(h)]]/1000</f>
        <v>0.28891686641596542</v>
      </c>
      <c r="AK61" s="6">
        <f>Influent[[#This Row],[TN (mg L-1)]]/stableLTP[[#This Row],[HRT 
(h)]]*24/1000</f>
        <v>0.32057596335073812</v>
      </c>
      <c r="AL61" s="6">
        <f>(Influent[[#This Row],[NH4-N (mg L-1)]])*stableLTP[NRE 
(%)]/stableLTP[[#This Row],[HRT 
(h)]]*24/1000</f>
        <v>3.3757970268233448E-2</v>
      </c>
      <c r="AM61" s="26">
        <f>1-(stableLTP[[#This Row],[NH4-N 
(mg L-1)]]/Influent[[#This Row],[NH4-N (mg L-1)]])</f>
        <v>0.90763197586726996</v>
      </c>
      <c r="AN61" s="26">
        <f>1-(stableLTP[[#This Row],[TN 
(mg L-1)]]/Influent[[#This Row],[TN (mg L-1)]])</f>
        <v>0.10605062153661837</v>
      </c>
    </row>
    <row r="62" spans="1:40" x14ac:dyDescent="0.3">
      <c r="A62" s="128">
        <v>43385</v>
      </c>
      <c r="B62" s="29">
        <v>59</v>
      </c>
      <c r="C62" s="28">
        <v>615.5</v>
      </c>
      <c r="D62" s="28">
        <f>24/(stableLTP[[#This Row],[Cycle duration 
(h)]]+2)</f>
        <v>4</v>
      </c>
      <c r="E62" s="137">
        <v>4</v>
      </c>
      <c r="F62" s="42">
        <f>Information!$R$61/(stableLTP[Flow 
(m3 d-1)]/24*stableLTP[[#This Row],[Cycles per day]]*stableLTP[[#This Row],[Cycle duration 
(h)]])*24</f>
        <v>86.477205523964258</v>
      </c>
      <c r="G62" s="42">
        <f>stableLTP[[#This Row],[Flow 
(m3 d-1)]]*0.2</f>
        <v>123.10000000000001</v>
      </c>
      <c r="H62" s="42">
        <f>Information!$R$61*stableLTP[[#This Row],[TSS  
(mg L-1)]]/(stableLTP[[#This Row],[Flow 
(m3 d-1)]]*stableLTP[[#This Row],[TSS  
(mg L-1)]])</f>
        <v>2.4021445978878964</v>
      </c>
      <c r="I62" s="27">
        <v>28.91</v>
      </c>
      <c r="J62" s="27">
        <v>7.76</v>
      </c>
      <c r="K62" s="27">
        <v>3.5</v>
      </c>
      <c r="L62" s="27">
        <v>59.67</v>
      </c>
      <c r="M62" s="27">
        <f>stableLTP[[#This Row],[TSS  
(mg L-1)]]</f>
        <v>8440</v>
      </c>
      <c r="N62" s="27">
        <f>stableLTP[[#This Row],[VSS 
(mg L-1)]]</f>
        <v>5330</v>
      </c>
      <c r="O62" s="29">
        <v>12875</v>
      </c>
      <c r="P62" s="29">
        <f>stableLTP[[#This Row],[COD 
(mg L-1)]]*Information!$AK$44</f>
        <v>3476.2500000000005</v>
      </c>
      <c r="Q62" s="29">
        <v>1245</v>
      </c>
      <c r="R62" s="29">
        <v>8.8000000000000007</v>
      </c>
      <c r="S62" s="29">
        <v>8440</v>
      </c>
      <c r="T62" s="29">
        <v>5330</v>
      </c>
      <c r="U62" s="29">
        <v>10.37</v>
      </c>
      <c r="W62" s="6"/>
      <c r="X62" s="20"/>
      <c r="Y62" s="6"/>
      <c r="Z62" s="29">
        <v>125.93</v>
      </c>
      <c r="AB62" s="6"/>
      <c r="AC62" s="4"/>
      <c r="AD62" s="21"/>
      <c r="AE62" s="6"/>
      <c r="AF62" s="20"/>
      <c r="AG62" s="19"/>
      <c r="AH62" s="20">
        <f>Influent[[#This Row],[sCOD (mg L-1)]]/stableLTP[[#This Row],[HRT 
(h)]]*24/1000</f>
        <v>0.62319312555799045</v>
      </c>
      <c r="AI62" s="6"/>
      <c r="AJ62" s="6">
        <f>(Influent[[#This Row],[NH4-N (mg L-1)]]*stableLTP[ARE 
(%)])*24/stableLTP[[#This Row],[HRT 
(h)]]/1000</f>
        <v>0.35384214620025428</v>
      </c>
      <c r="AK62" s="6">
        <f>Influent[[#This Row],[TN (mg L-1)]]/stableLTP[[#This Row],[HRT 
(h)]]*24/1000</f>
        <v>0.39111550604658712</v>
      </c>
      <c r="AL62" s="6"/>
      <c r="AM62" s="26">
        <f>1-(stableLTP[[#This Row],[NH4-N 
(mg L-1)]]/Influent[[#This Row],[NH4-N (mg L-1)]])</f>
        <v>0.91010778785066737</v>
      </c>
      <c r="AN62" s="26"/>
    </row>
    <row r="63" spans="1:40" x14ac:dyDescent="0.3">
      <c r="A63" s="128">
        <v>43386</v>
      </c>
      <c r="B63" s="29">
        <v>60</v>
      </c>
      <c r="C63" s="28">
        <v>656.4</v>
      </c>
      <c r="D63" s="28">
        <f>24/(stableLTP[[#This Row],[Cycle duration 
(h)]]+2)</f>
        <v>4</v>
      </c>
      <c r="E63" s="137">
        <v>4</v>
      </c>
      <c r="F63" s="42">
        <f>Information!$R$61/(stableLTP[Flow 
(m3 d-1)]/24*stableLTP[[#This Row],[Cycles per day]]*stableLTP[[#This Row],[Cycle duration 
(h)]])*24</f>
        <v>81.088848263254107</v>
      </c>
      <c r="G63" s="42">
        <f>stableLTP[[#This Row],[Flow 
(m3 d-1)]]*0.2</f>
        <v>131.28</v>
      </c>
      <c r="H63" s="42">
        <f>Information!$R$61*stableLTP[[#This Row],[TSS  
(mg L-1)]]/(stableLTP[[#This Row],[Flow 
(m3 d-1)]]*stableLTP[[#This Row],[TSS  
(mg L-1)]])</f>
        <v>2.2524680073126144</v>
      </c>
      <c r="I63" s="27">
        <v>29.38</v>
      </c>
      <c r="J63" s="27">
        <v>7.65</v>
      </c>
      <c r="K63" s="27">
        <v>3.5</v>
      </c>
      <c r="L63" s="27">
        <v>55.93</v>
      </c>
      <c r="M63" s="27">
        <f>stableLTP[[#This Row],[TSS  
(mg L-1)]]</f>
        <v>8620</v>
      </c>
      <c r="N63" s="27">
        <f>stableLTP[[#This Row],[VSS 
(mg L-1)]]</f>
        <v>5430</v>
      </c>
      <c r="O63" s="29">
        <v>9980</v>
      </c>
      <c r="P63" s="29">
        <f>stableLTP[[#This Row],[COD 
(mg L-1)]]*Information!$AK$44</f>
        <v>2694.6000000000004</v>
      </c>
      <c r="Q63" s="29">
        <v>1091</v>
      </c>
      <c r="R63" s="29">
        <v>8.4</v>
      </c>
      <c r="S63" s="29">
        <v>8620</v>
      </c>
      <c r="T63" s="29">
        <v>5430</v>
      </c>
      <c r="U63" s="29">
        <v>16.88</v>
      </c>
      <c r="W63" s="6"/>
      <c r="X63" s="20"/>
      <c r="Y63" s="6"/>
      <c r="Z63" s="29">
        <v>99.36</v>
      </c>
      <c r="AB63" s="6"/>
      <c r="AC63" s="4"/>
      <c r="AD63" s="21"/>
      <c r="AE63" s="6"/>
      <c r="AF63" s="20"/>
      <c r="AG63" s="19"/>
      <c r="AH63" s="20">
        <f>Influent[[#This Row],[sCOD (mg L-1)]]/stableLTP[[#This Row],[HRT 
(h)]]*24/1000</f>
        <v>0.65128560993425866</v>
      </c>
      <c r="AI63" s="6"/>
      <c r="AJ63" s="6">
        <f>(Influent[[#This Row],[NH4-N (mg L-1)]]*stableLTP[ARE 
(%)])*24/stableLTP[[#This Row],[HRT 
(h)]]/1000</f>
        <v>0.38107533479425382</v>
      </c>
      <c r="AK63" s="6">
        <f>Influent[[#This Row],[TN (mg L-1)]]/stableLTP[[#This Row],[HRT 
(h)]]*24/1000</f>
        <v>0.41054227200173155</v>
      </c>
      <c r="AL63" s="6"/>
      <c r="AM63" s="26">
        <f>1-(stableLTP[[#This Row],[NH4-N 
(mg L-1)]]/Influent[[#This Row],[NH4-N (mg L-1)]])</f>
        <v>0.92835820895522392</v>
      </c>
      <c r="AN63" s="26"/>
    </row>
    <row r="64" spans="1:40" x14ac:dyDescent="0.3">
      <c r="A64" s="128">
        <v>43387</v>
      </c>
      <c r="B64" s="29">
        <v>61</v>
      </c>
      <c r="C64" s="28">
        <v>755.9</v>
      </c>
      <c r="D64" s="28">
        <f>24/(stableLTP[[#This Row],[Cycle duration 
(h)]]+2)</f>
        <v>4</v>
      </c>
      <c r="E64" s="137">
        <v>4</v>
      </c>
      <c r="F64" s="42">
        <f>Information!$R$61/(stableLTP[Flow 
(m3 d-1)]/24*stableLTP[[#This Row],[Cycles per day]]*stableLTP[[#This Row],[Cycle duration 
(h)]])*24</f>
        <v>70.415028442915727</v>
      </c>
      <c r="G64" s="42">
        <f>stableLTP[[#This Row],[Flow 
(m3 d-1)]]*0.2</f>
        <v>151.18</v>
      </c>
      <c r="H64" s="42">
        <f>Information!$R$61*stableLTP[[#This Row],[TSS  
(mg L-1)]]/(stableLTP[[#This Row],[Flow 
(m3 d-1)]]*stableLTP[[#This Row],[TSS  
(mg L-1)]])</f>
        <v>1.9559730123032146</v>
      </c>
      <c r="I64" s="27">
        <v>29.47</v>
      </c>
      <c r="J64" s="27">
        <v>7.37</v>
      </c>
      <c r="K64" s="27">
        <v>3.5</v>
      </c>
      <c r="L64" s="27">
        <v>52.99</v>
      </c>
      <c r="M64" s="27">
        <f>stableLTP[[#This Row],[TSS  
(mg L-1)]]</f>
        <v>8560</v>
      </c>
      <c r="N64" s="27">
        <f>stableLTP[[#This Row],[VSS 
(mg L-1)]]</f>
        <v>4790</v>
      </c>
      <c r="O64" s="29">
        <v>9710</v>
      </c>
      <c r="P64" s="29">
        <f>stableLTP[[#This Row],[COD 
(mg L-1)]]*Information!$AK$44</f>
        <v>2621.7000000000003</v>
      </c>
      <c r="Q64" s="29">
        <v>1099</v>
      </c>
      <c r="R64" s="29">
        <v>8.3000000000000007</v>
      </c>
      <c r="S64" s="29">
        <v>8560</v>
      </c>
      <c r="T64" s="29">
        <v>4790</v>
      </c>
      <c r="U64" s="29">
        <v>12.34</v>
      </c>
      <c r="W64" s="6"/>
      <c r="X64" s="20"/>
      <c r="Y64" s="6"/>
      <c r="Z64" s="29">
        <v>85.56</v>
      </c>
      <c r="AB64" s="6"/>
      <c r="AC64" s="4"/>
      <c r="AD64" s="21"/>
      <c r="AE64" s="6"/>
      <c r="AF64" s="20"/>
      <c r="AG64" s="19"/>
      <c r="AH64" s="20">
        <f>Influent[[#This Row],[sCOD (mg L-1)]]/stableLTP[[#This Row],[HRT 
(h)]]*24/1000</f>
        <v>0.78221938154370596</v>
      </c>
      <c r="AI64" s="6"/>
      <c r="AJ64" s="6">
        <f>(Influent[[#This Row],[NH4-N (mg L-1)]]*stableLTP[ARE 
(%)])*24/stableLTP[[#This Row],[HRT 
(h)]]/1000</f>
        <v>0.41280051492934372</v>
      </c>
      <c r="AK64" s="6">
        <f>Influent[[#This Row],[TN (mg L-1)]]/stableLTP[[#This Row],[HRT 
(h)]]*24/1000</f>
        <v>0.44219219516814118</v>
      </c>
      <c r="AL64" s="6"/>
      <c r="AM64" s="26">
        <f>1-(stableLTP[[#This Row],[NH4-N 
(mg L-1)]]/Influent[[#This Row],[NH4-N (mg L-1)]])</f>
        <v>0.93401712038250939</v>
      </c>
      <c r="AN64" s="26"/>
    </row>
    <row r="65" spans="1:40" x14ac:dyDescent="0.3">
      <c r="A65" s="128">
        <v>43388</v>
      </c>
      <c r="B65" s="29">
        <v>62</v>
      </c>
      <c r="C65" s="28">
        <v>520.9</v>
      </c>
      <c r="D65" s="28">
        <f>24/(stableLTP[[#This Row],[Cycle duration 
(h)]]+2)</f>
        <v>4</v>
      </c>
      <c r="E65" s="137">
        <v>4</v>
      </c>
      <c r="F65" s="42">
        <f>Information!$R$61/(stableLTP[Flow 
(m3 d-1)]/24*stableLTP[[#This Row],[Cycles per day]]*stableLTP[[#This Row],[Cycle duration 
(h)]])*24</f>
        <v>102.18222307544633</v>
      </c>
      <c r="G65" s="42">
        <f>stableLTP[[#This Row],[Flow 
(m3 d-1)]]*0.2</f>
        <v>104.18</v>
      </c>
      <c r="H65" s="42">
        <f>Information!$R$61*stableLTP[[#This Row],[TSS  
(mg L-1)]]/(stableLTP[[#This Row],[Flow 
(m3 d-1)]]*stableLTP[[#This Row],[TSS  
(mg L-1)]])</f>
        <v>2.8383950854290649</v>
      </c>
      <c r="I65" s="27">
        <v>28.8</v>
      </c>
      <c r="J65" s="27">
        <v>7.43</v>
      </c>
      <c r="K65" s="27">
        <v>3.5</v>
      </c>
      <c r="L65" s="27">
        <v>47.91</v>
      </c>
      <c r="M65" s="27">
        <f>stableLTP[[#This Row],[TSS  
(mg L-1)]]</f>
        <v>7760</v>
      </c>
      <c r="N65" s="27">
        <f>stableLTP[[#This Row],[VSS 
(mg L-1)]]</f>
        <v>4095</v>
      </c>
      <c r="O65" s="29">
        <v>9070</v>
      </c>
      <c r="P65" s="29">
        <f>stableLTP[[#This Row],[COD 
(mg L-1)]]*Information!$AK$44</f>
        <v>2448.9</v>
      </c>
      <c r="Q65" s="29">
        <v>1091</v>
      </c>
      <c r="R65" s="29">
        <v>8.1999999999999993</v>
      </c>
      <c r="S65" s="29">
        <v>7760</v>
      </c>
      <c r="T65" s="29">
        <v>4095</v>
      </c>
      <c r="U65" s="29">
        <v>14.58</v>
      </c>
      <c r="W65" s="6"/>
      <c r="X65" s="20"/>
      <c r="Y65" s="6"/>
      <c r="Z65" s="29">
        <v>81.599999999999994</v>
      </c>
      <c r="AB65" s="6"/>
      <c r="AC65" s="4"/>
      <c r="AD65" s="21"/>
      <c r="AE65" s="6"/>
      <c r="AF65" s="20"/>
      <c r="AG65" s="19"/>
      <c r="AH65" s="20">
        <f>Influent[[#This Row],[sCOD (mg L-1)]]/stableLTP[[#This Row],[HRT 
(h)]]*24/1000</f>
        <v>0.59611151692232789</v>
      </c>
      <c r="AI65" s="6">
        <f>IFERROR(IF(((Influent[[#This Row],[COD (mg L-1)]]-stableLTP[[#This Row],[sCOD]])/stableLTP[[#This Row],[HRT 
(h)]]*24/1000) &lt;0,0, (Influent[[#This Row],[sCOD (mg L-1)]]-stableLTP[[#This Row],[sCOD]])/stableLTP[[#This Row],[HRT 
(h)]]*24/1000),0)</f>
        <v>2.0927319211102975E-2</v>
      </c>
      <c r="AJ65" s="6">
        <f>(Influent[[#This Row],[NH4-N (mg L-1)]]*stableLTP[ARE 
(%)])*24/stableLTP[[#This Row],[HRT 
(h)]]/1000</f>
        <v>0.29070418616815008</v>
      </c>
      <c r="AK65" s="6">
        <f>Influent[[#This Row],[TN (mg L-1)]]/stableLTP[[#This Row],[HRT 
(h)]]*24/1000</f>
        <v>0.30991692142593047</v>
      </c>
      <c r="AL65" s="6"/>
      <c r="AM65" s="26">
        <f>1-(stableLTP[[#This Row],[NH4-N 
(mg L-1)]]/Influent[[#This Row],[NH4-N (mg L-1)]])</f>
        <v>0.93814901841885845</v>
      </c>
      <c r="AN65" s="26"/>
    </row>
    <row r="66" spans="1:40" x14ac:dyDescent="0.3">
      <c r="A66" s="128">
        <v>43389</v>
      </c>
      <c r="B66" s="29">
        <v>63</v>
      </c>
      <c r="C66" s="28">
        <v>504.9</v>
      </c>
      <c r="D66" s="28">
        <f>24/(stableLTP[[#This Row],[Cycle duration 
(h)]]+2)</f>
        <v>4</v>
      </c>
      <c r="E66" s="137">
        <v>4</v>
      </c>
      <c r="F66" s="42">
        <f>Information!$R$61/(stableLTP[Flow 
(m3 d-1)]/24*stableLTP[[#This Row],[Cycles per day]]*stableLTP[[#This Row],[Cycle duration 
(h)]])*24</f>
        <v>105.42032085561497</v>
      </c>
      <c r="G66" s="42">
        <f>stableLTP[[#This Row],[Flow 
(m3 d-1)]]*0.2</f>
        <v>100.98</v>
      </c>
      <c r="H66" s="42">
        <f>Information!$R$61*stableLTP[[#This Row],[TSS  
(mg L-1)]]/(stableLTP[[#This Row],[Flow 
(m3 d-1)]]*stableLTP[[#This Row],[TSS  
(mg L-1)]])</f>
        <v>2.9283422459893047</v>
      </c>
      <c r="I66" s="27">
        <v>29.4</v>
      </c>
      <c r="J66" s="27">
        <v>7.47</v>
      </c>
      <c r="K66" s="27">
        <v>3.5</v>
      </c>
      <c r="L66" s="27">
        <v>43.92</v>
      </c>
      <c r="M66" s="27">
        <f>stableLTP[[#This Row],[TSS  
(mg L-1)]]</f>
        <v>10200</v>
      </c>
      <c r="N66" s="27">
        <f>stableLTP[[#This Row],[VSS 
(mg L-1)]]</f>
        <v>2643</v>
      </c>
      <c r="O66" s="29">
        <v>12475</v>
      </c>
      <c r="P66" s="29">
        <f>stableLTP[[#This Row],[COD 
(mg L-1)]]*Information!$AK$44</f>
        <v>3368.25</v>
      </c>
      <c r="Q66" s="29">
        <v>1347</v>
      </c>
      <c r="R66" s="29">
        <v>8.6</v>
      </c>
      <c r="S66" s="29">
        <v>10200</v>
      </c>
      <c r="T66" s="29">
        <v>2643</v>
      </c>
      <c r="U66" s="29">
        <v>17.68</v>
      </c>
      <c r="V66" s="29">
        <v>38.299999999999997</v>
      </c>
      <c r="W66" s="6"/>
      <c r="X66" s="20"/>
      <c r="Y66" s="6"/>
      <c r="Z66" s="29">
        <v>108.53</v>
      </c>
      <c r="AA66" s="29">
        <v>888.83</v>
      </c>
      <c r="AB66" s="6">
        <f>IF(stableLTP[[#This Row],[TON 
(mg L-1)]]-stableLTP[[#This Row],[NO2-N 
(mg L-1)]]&lt;0,0.2,stableLTP[[#This Row],[TON 
(mg L-1)]]-stableLTP[[#This Row],[NO2-N 
(mg L-1)]])</f>
        <v>0.2</v>
      </c>
      <c r="AC66" s="4">
        <f>SUM(stableLTP[[#This Row],[NH4-N 
(mg L-1)]:[NO3-N 
(mg L-1)]])</f>
        <v>997.56000000000006</v>
      </c>
      <c r="AD66" s="21">
        <f>stableLTP[[#This Row],[NO3-N 
(mg L-1)]]/(Influent[[#This Row],[NH4-N (mg L-1)]]-stableLTP[[#This Row],[NH4-N 
(mg L-1)]])</f>
        <v>1.8174052904668006E-4</v>
      </c>
      <c r="AE66" s="6">
        <f>stableLTP[[#This Row],[NO2-N 
(mg L-1)]]/(Influent[[#This Row],[NH4-N (mg L-1)]]-stableLTP[[#This Row],[NH4-N 
(mg L-1)]])</f>
        <v>0.80768217216280314</v>
      </c>
      <c r="AF66" s="20">
        <f>46/14*stableLTP[[#This Row],[NO2-N 
(mg L-1)]]/(EXP(-2300/(273+stableLTP[[#This Row],[Temp. 
(°C)]]))*10^stableLTP[[#This Row],[pHreactor]])</f>
        <v>0.19889057480616251</v>
      </c>
      <c r="AG66" s="19">
        <f>17/14*(stableLTP[[#This Row],[NH4-N 
(mg L-1)]]*10^stableLTP[[#This Row],[pHreactor]])/(EXP(6344/(273+stableLTP[[#This Row],[Temp. 
(°C)]]))+10^stableLTP[[#This Row],[pHreactor]])</f>
        <v>2.9448510375549213</v>
      </c>
      <c r="AH66" s="20">
        <f>Influent[[#This Row],[sCOD (mg L-1)]]/stableLTP[[#This Row],[HRT 
(h)]]*24/1000</f>
        <v>0.55833637691745797</v>
      </c>
      <c r="AI66" s="6"/>
      <c r="AJ66" s="6">
        <f>(Influent[[#This Row],[NH4-N (mg L-1)]]*stableLTP[ARE 
(%)])*24/stableLTP[[#This Row],[HRT 
(h)]]/1000</f>
        <v>0.25053310202093987</v>
      </c>
      <c r="AK66" s="6">
        <f>Influent[[#This Row],[TN (mg L-1)]]/stableLTP[[#This Row],[HRT 
(h)]]*24/1000</f>
        <v>0.27528658388117849</v>
      </c>
      <c r="AL66" s="6">
        <f>(Influent[[#This Row],[NH4-N (mg L-1)]])*stableLTP[NRE 
(%)]/stableLTP[[#This Row],[HRT 
(h)]]*24/1000</f>
        <v>4.8174012749103712E-2</v>
      </c>
      <c r="AM66" s="26">
        <f>1-(stableLTP[[#This Row],[NH4-N 
(mg L-1)]]/Influent[[#This Row],[NH4-N (mg L-1)]])</f>
        <v>0.91023159636062867</v>
      </c>
      <c r="AN66" s="26">
        <f>1-(stableLTP[[#This Row],[TN 
(mg L-1)]]/Influent[[#This Row],[TN (mg L-1)]])</f>
        <v>0.17502480979159774</v>
      </c>
    </row>
    <row r="67" spans="1:40" x14ac:dyDescent="0.3">
      <c r="A67" s="128">
        <v>43390</v>
      </c>
      <c r="B67" s="29">
        <v>64</v>
      </c>
      <c r="C67" s="28"/>
      <c r="D67" s="28"/>
      <c r="E67" s="137"/>
      <c r="F67" s="42"/>
      <c r="G67" s="42"/>
      <c r="H67" s="42"/>
      <c r="I67" s="27"/>
      <c r="J67" s="27"/>
      <c r="K67" s="27"/>
      <c r="L67" s="27"/>
      <c r="M67" s="27"/>
      <c r="N67" s="27"/>
      <c r="W67" s="6"/>
      <c r="X67" s="20"/>
      <c r="Y67" s="6"/>
      <c r="AB67" s="6"/>
      <c r="AC67" s="4"/>
      <c r="AD67" s="21"/>
      <c r="AE67" s="6"/>
      <c r="AG67" s="19"/>
      <c r="AH67" s="20"/>
      <c r="AI67" s="6"/>
      <c r="AJ67" s="6"/>
      <c r="AK67" s="6"/>
      <c r="AL67" s="6"/>
      <c r="AM67" s="26"/>
      <c r="AN67" s="26"/>
    </row>
    <row r="68" spans="1:40" x14ac:dyDescent="0.3">
      <c r="A68" s="128">
        <v>43391</v>
      </c>
      <c r="B68" s="29">
        <v>65</v>
      </c>
      <c r="C68" s="28"/>
      <c r="D68" s="28"/>
      <c r="E68" s="137"/>
      <c r="F68" s="42"/>
      <c r="G68" s="42"/>
      <c r="H68" s="42"/>
      <c r="I68" s="27"/>
      <c r="J68" s="27"/>
      <c r="K68" s="27"/>
      <c r="L68" s="27"/>
      <c r="M68" s="27"/>
      <c r="N68" s="27"/>
      <c r="W68" s="6"/>
      <c r="X68" s="20"/>
      <c r="Y68" s="6"/>
      <c r="AB68" s="6"/>
      <c r="AC68" s="4"/>
      <c r="AD68" s="21"/>
      <c r="AE68" s="6"/>
      <c r="AG68" s="19"/>
      <c r="AH68" s="20"/>
      <c r="AI68" s="6"/>
      <c r="AJ68" s="6"/>
      <c r="AK68" s="6"/>
      <c r="AL68" s="6"/>
      <c r="AM68" s="26"/>
      <c r="AN68" s="26"/>
    </row>
    <row r="69" spans="1:40" x14ac:dyDescent="0.3">
      <c r="A69" s="128">
        <v>43392</v>
      </c>
      <c r="B69" s="29">
        <v>66</v>
      </c>
      <c r="C69" s="28">
        <v>643.29999999999995</v>
      </c>
      <c r="D69" s="28">
        <f>24/(stableLTP[[#This Row],[Cycle duration 
(h)]]+2)</f>
        <v>4</v>
      </c>
      <c r="E69" s="137">
        <v>4</v>
      </c>
      <c r="F69" s="42">
        <f>Information!$R$61/(stableLTP[Flow 
(m3 d-1)]/24*stableLTP[[#This Row],[Cycles per day]]*stableLTP[[#This Row],[Cycle duration 
(h)]])*24</f>
        <v>82.740121249805696</v>
      </c>
      <c r="G69" s="42">
        <f>stableLTP[[#This Row],[Flow 
(m3 d-1)]]*0.2</f>
        <v>128.66</v>
      </c>
      <c r="H69" s="42">
        <f>Information!$R$61*stableLTP[[#This Row],[TSS  
(mg L-1)]]/(stableLTP[[#This Row],[Flow 
(m3 d-1)]]*stableLTP[[#This Row],[TSS  
(mg L-1)]])</f>
        <v>2.2983367013834912</v>
      </c>
      <c r="I69" s="27">
        <v>30.17</v>
      </c>
      <c r="J69" s="27">
        <v>7.6</v>
      </c>
      <c r="K69" s="27">
        <v>3.5</v>
      </c>
      <c r="L69" s="27">
        <v>37.03</v>
      </c>
      <c r="M69" s="27"/>
      <c r="N69" s="27"/>
      <c r="O69" s="29">
        <v>14450</v>
      </c>
      <c r="P69" s="29">
        <f>stableLTP[[#This Row],[COD 
(mg L-1)]]*Information!$AK$44</f>
        <v>3901.5000000000005</v>
      </c>
      <c r="Q69" s="29">
        <v>1632</v>
      </c>
      <c r="R69" s="29">
        <v>8.6999999999999993</v>
      </c>
      <c r="S69" s="29">
        <v>13820</v>
      </c>
      <c r="U69" s="29">
        <v>43.71</v>
      </c>
      <c r="V69" s="29">
        <v>48.6</v>
      </c>
      <c r="W69" s="6"/>
      <c r="X69" s="20"/>
      <c r="Y69" s="6"/>
      <c r="Z69" s="29">
        <v>40.950000000000003</v>
      </c>
      <c r="AA69" s="29">
        <v>819.79</v>
      </c>
      <c r="AB69" s="6">
        <f>IF(stableLTP[[#This Row],[TON 
(mg L-1)]]-stableLTP[[#This Row],[NO2-N 
(mg L-1)]]&lt;0,0.2,stableLTP[[#This Row],[TON 
(mg L-1)]]-stableLTP[[#This Row],[NO2-N 
(mg L-1)]])</f>
        <v>0.2</v>
      </c>
      <c r="AC69" s="4">
        <f>SUM(stableLTP[[#This Row],[NH4-N 
(mg L-1)]:[NO3-N 
(mg L-1)]])</f>
        <v>860.94</v>
      </c>
      <c r="AD69" s="21">
        <f>stableLTP[[#This Row],[NO3-N 
(mg L-1)]]/(Influent[[#This Row],[NH4-N (mg L-1)]]-stableLTP[[#This Row],[NH4-N 
(mg L-1)]])</f>
        <v>1.695130736958088E-4</v>
      </c>
      <c r="AE69" s="6">
        <f>stableLTP[[#This Row],[NO2-N 
(mg L-1)]]/(Influent[[#This Row],[NH4-N (mg L-1)]]-stableLTP[[#This Row],[NH4-N 
(mg L-1)]])</f>
        <v>0.69482561342543547</v>
      </c>
      <c r="AF69" s="20">
        <f>46/14*stableLTP[[#This Row],[NO2-N 
(mg L-1)]]/(EXP(-2300/(273+stableLTP[[#This Row],[Temp. 
(°C)]]))*10^stableLTP[[#This Row],[pHreactor]])</f>
        <v>0.13338550525132617</v>
      </c>
      <c r="AG69" s="19">
        <f>17/14*(stableLTP[[#This Row],[NH4-N 
(mg L-1)]]*10^stableLTP[[#This Row],[pHreactor]])/(EXP(6344/(273+stableLTP[[#This Row],[Temp. 
(°C)]]))+10^stableLTP[[#This Row],[pHreactor]])</f>
        <v>1.566116524673776</v>
      </c>
      <c r="AH69" s="20">
        <f>Influent[[#This Row],[sCOD (mg L-1)]]/stableLTP[[#This Row],[HRT 
(h)]]*24/1000</f>
        <v>0.72052106160214258</v>
      </c>
      <c r="AI69" s="6"/>
      <c r="AJ69" s="6">
        <f>(Influent[[#This Row],[NH4-N (mg L-1)]]*stableLTP[ARE 
(%)])*24/stableLTP[[#This Row],[HRT 
(h)]]/1000</f>
        <v>0.34223300101903698</v>
      </c>
      <c r="AK69" s="6">
        <f>Influent[[#This Row],[TN (mg L-1)]]/stableLTP[[#This Row],[HRT 
(h)]]*24/1000</f>
        <v>0.35416916916916913</v>
      </c>
      <c r="AL69" s="6">
        <f>(Influent[[#This Row],[NH4-N (mg L-1)]])*stableLTP[NRE 
(%)]/stableLTP[[#This Row],[HRT 
(h)]]*24/1000</f>
        <v>0.1044236387402299</v>
      </c>
      <c r="AM69" s="26">
        <f>1-(stableLTP[[#This Row],[NH4-N 
(mg L-1)]]/Influent[[#This Row],[NH4-N (mg L-1)]])</f>
        <v>0.96645642201834858</v>
      </c>
      <c r="AN69" s="26">
        <f>1-(stableLTP[[#This Row],[TN 
(mg L-1)]]/Influent[[#This Row],[TN (mg L-1)]])</f>
        <v>0.29488943488943486</v>
      </c>
    </row>
    <row r="70" spans="1:40" x14ac:dyDescent="0.3">
      <c r="A70" s="128">
        <v>43393</v>
      </c>
      <c r="B70" s="29">
        <v>67</v>
      </c>
      <c r="C70" s="28">
        <v>596</v>
      </c>
      <c r="D70" s="28">
        <f>24/(stableLTP[[#This Row],[Cycle duration 
(h)]]+2)</f>
        <v>4</v>
      </c>
      <c r="E70" s="137">
        <v>4</v>
      </c>
      <c r="F70" s="42">
        <f>Information!$R$61/(stableLTP[Flow 
(m3 d-1)]/24*stableLTP[[#This Row],[Cycles per day]]*stableLTP[[#This Row],[Cycle duration 
(h)]])*24</f>
        <v>89.306577181208056</v>
      </c>
      <c r="G70" s="42">
        <f>stableLTP[[#This Row],[Flow 
(m3 d-1)]]*0.2</f>
        <v>119.2</v>
      </c>
      <c r="H70" s="42">
        <f>Information!$R$61*stableLTP[[#This Row],[TSS  
(mg L-1)]]/(stableLTP[[#This Row],[Flow 
(m3 d-1)]]*stableLTP[[#This Row],[TSS  
(mg L-1)]])</f>
        <v>2.480738255033557</v>
      </c>
      <c r="I70" s="27">
        <v>29.99</v>
      </c>
      <c r="J70" s="27">
        <v>7.21</v>
      </c>
      <c r="K70" s="27">
        <v>3.5</v>
      </c>
      <c r="L70" s="27">
        <v>54.94</v>
      </c>
      <c r="M70" s="27"/>
      <c r="N70" s="27"/>
      <c r="O70" s="29">
        <v>13525</v>
      </c>
      <c r="P70" s="29">
        <f>stableLTP[[#This Row],[COD 
(mg L-1)]]*Information!$AK$44</f>
        <v>3651.7500000000005</v>
      </c>
      <c r="Q70" s="29">
        <v>1446</v>
      </c>
      <c r="R70" s="29">
        <v>8.5</v>
      </c>
      <c r="S70" s="29">
        <v>11860</v>
      </c>
      <c r="U70" s="29">
        <v>21.13</v>
      </c>
      <c r="V70" s="29">
        <v>844.5</v>
      </c>
      <c r="W70" s="6"/>
      <c r="X70" s="20"/>
      <c r="Y70" s="6"/>
      <c r="Z70" s="29">
        <v>116.63</v>
      </c>
      <c r="AA70" s="29">
        <v>809.79</v>
      </c>
      <c r="AB70" s="6">
        <f>IF(stableLTP[[#This Row],[TON 
(mg L-1)]]-stableLTP[[#This Row],[NO2-N 
(mg L-1)]]&lt;0,0.2,stableLTP[[#This Row],[TON 
(mg L-1)]]-stableLTP[[#This Row],[NO2-N 
(mg L-1)]])</f>
        <v>34.710000000000036</v>
      </c>
      <c r="AC70" s="4">
        <f>SUM(stableLTP[[#This Row],[NH4-N 
(mg L-1)]:[NO3-N 
(mg L-1)]])</f>
        <v>961.13</v>
      </c>
      <c r="AD70" s="21">
        <f>stableLTP[[#This Row],[NO3-N 
(mg L-1)]]/(Influent[[#This Row],[NH4-N (mg L-1)]]-stableLTP[[#This Row],[NH4-N 
(mg L-1)]])</f>
        <v>3.1144849121106932E-2</v>
      </c>
      <c r="AE70" s="6">
        <f>stableLTP[[#This Row],[NO2-N 
(mg L-1)]]/(Influent[[#This Row],[NH4-N (mg L-1)]]-stableLTP[[#This Row],[NH4-N 
(mg L-1)]])</f>
        <v>0.72661444453417334</v>
      </c>
      <c r="AF70" s="20">
        <f>46/14*stableLTP[[#This Row],[NO2-N 
(mg L-1)]]/(EXP(-2300/(273+stableLTP[[#This Row],[Temp. 
(°C)]]))*10^stableLTP[[#This Row],[pHreactor]])</f>
        <v>0.32488958444638494</v>
      </c>
      <c r="AG70" s="19">
        <f>17/14*(stableLTP[[#This Row],[NH4-N 
(mg L-1)]]*10^stableLTP[[#This Row],[pHreactor]])/(EXP(6344/(273+stableLTP[[#This Row],[Temp. 
(°C)]]))+10^stableLTP[[#This Row],[pHreactor]])</f>
        <v>1.8290869816686768</v>
      </c>
      <c r="AH70" s="20">
        <f>Influent[[#This Row],[sCOD (mg L-1)]]/stableLTP[[#This Row],[HRT 
(h)]]*24/1000</f>
        <v>0.69172956740524305</v>
      </c>
      <c r="AI70" s="6"/>
      <c r="AJ70" s="6">
        <f>(Influent[[#This Row],[NH4-N (mg L-1)]]*stableLTP[ARE 
(%)])*24/stableLTP[[#This Row],[HRT 
(h)]]/1000</f>
        <v>0.29949955360766173</v>
      </c>
      <c r="AK70" s="6">
        <f>Influent[[#This Row],[TN (mg L-1)]]/stableLTP[[#This Row],[HRT 
(h)]]*24/1000</f>
        <v>0.33314410807203598</v>
      </c>
      <c r="AL70" s="6">
        <f>(Influent[[#This Row],[NH4-N (mg L-1)]])*stableLTP[NRE 
(%)]/stableLTP[[#This Row],[HRT 
(h)]]*24/1000</f>
        <v>7.4335550826836974E-2</v>
      </c>
      <c r="AM70" s="26">
        <f>1-(stableLTP[[#This Row],[NH4-N 
(mg L-1)]]/Influent[[#This Row],[NH4-N (mg L-1)]])</f>
        <v>0.90526358541142071</v>
      </c>
      <c r="AN70" s="26">
        <f>1-(stableLTP[[#This Row],[TN 
(mg L-1)]]/Influent[[#This Row],[TN (mg L-1)]])</f>
        <v>0.22468570137900157</v>
      </c>
    </row>
    <row r="71" spans="1:40" x14ac:dyDescent="0.3">
      <c r="A71" s="128">
        <v>43394</v>
      </c>
      <c r="B71" s="29">
        <v>68</v>
      </c>
      <c r="C71" s="28">
        <v>479.1</v>
      </c>
      <c r="D71" s="28">
        <f>24/(stableLTP[[#This Row],[Cycle duration 
(h)]]+2)</f>
        <v>4</v>
      </c>
      <c r="E71" s="137">
        <v>4</v>
      </c>
      <c r="F71" s="42">
        <f>Information!$R$61/(stableLTP[Flow 
(m3 d-1)]/24*stableLTP[[#This Row],[Cycles per day]]*stableLTP[[#This Row],[Cycle duration 
(h)]])*24</f>
        <v>111.09730745147149</v>
      </c>
      <c r="G71" s="42">
        <f>stableLTP[[#This Row],[Flow 
(m3 d-1)]]*0.2</f>
        <v>95.820000000000007</v>
      </c>
      <c r="H71" s="42">
        <f>Information!$R$61*stableLTP[[#This Row],[TSS  
(mg L-1)]]/(stableLTP[[#This Row],[Flow 
(m3 d-1)]]*stableLTP[[#This Row],[TSS  
(mg L-1)]])</f>
        <v>3.086036318096431</v>
      </c>
      <c r="I71" s="27">
        <v>30.24</v>
      </c>
      <c r="J71" s="27">
        <v>7.6</v>
      </c>
      <c r="K71" s="27">
        <v>3.5</v>
      </c>
      <c r="L71" s="27">
        <v>50.06</v>
      </c>
      <c r="M71" s="27"/>
      <c r="N71" s="27"/>
      <c r="O71" s="29">
        <v>11825</v>
      </c>
      <c r="P71" s="29">
        <f>stableLTP[[#This Row],[COD 
(mg L-1)]]*Information!$AK$44</f>
        <v>3192.75</v>
      </c>
      <c r="Q71" s="29">
        <v>1449</v>
      </c>
      <c r="R71" s="29">
        <v>8.3000000000000007</v>
      </c>
      <c r="S71" s="29">
        <v>11980</v>
      </c>
      <c r="U71" s="29">
        <v>21.65</v>
      </c>
      <c r="V71" s="29">
        <v>48.7</v>
      </c>
      <c r="W71" s="6"/>
      <c r="X71" s="20"/>
      <c r="Y71" s="6"/>
      <c r="Z71" s="29">
        <v>21.71</v>
      </c>
      <c r="AA71" s="29">
        <v>889.85</v>
      </c>
      <c r="AB71" s="6">
        <f>IF(stableLTP[[#This Row],[TON 
(mg L-1)]]-stableLTP[[#This Row],[NO2-N 
(mg L-1)]]&lt;0,0.2,stableLTP[[#This Row],[TON 
(mg L-1)]]-stableLTP[[#This Row],[NO2-N 
(mg L-1)]])</f>
        <v>0.2</v>
      </c>
      <c r="AC71" s="4">
        <f>SUM(stableLTP[[#This Row],[NH4-N 
(mg L-1)]:[NO3-N 
(mg L-1)]])</f>
        <v>911.7600000000001</v>
      </c>
      <c r="AD71" s="21">
        <f>stableLTP[[#This Row],[NO3-N 
(mg L-1)]]/(Influent[[#This Row],[NH4-N (mg L-1)]]-stableLTP[[#This Row],[NH4-N 
(mg L-1)]])</f>
        <v>1.6669583843839341E-4</v>
      </c>
      <c r="AE71" s="6">
        <f>stableLTP[[#This Row],[NO2-N 
(mg L-1)]]/(Influent[[#This Row],[NH4-N (mg L-1)]]-stableLTP[[#This Row],[NH4-N 
(mg L-1)]])</f>
        <v>0.74167145917202182</v>
      </c>
      <c r="AF71" s="20">
        <f>46/14*stableLTP[[#This Row],[NO2-N 
(mg L-1)]]/(EXP(-2300/(273+stableLTP[[#This Row],[Temp. 
(°C)]]))*10^stableLTP[[#This Row],[pHreactor]])</f>
        <v>0.14453141667567138</v>
      </c>
      <c r="AG71" s="19">
        <f>17/14*(stableLTP[[#This Row],[NH4-N 
(mg L-1)]]*10^stableLTP[[#This Row],[pHreactor]])/(EXP(6344/(273+stableLTP[[#This Row],[Temp. 
(°C)]]))+10^stableLTP[[#This Row],[pHreactor]])</f>
        <v>0.83418351672389135</v>
      </c>
      <c r="AH71" s="20">
        <f>Influent[[#This Row],[sCOD (mg L-1)]]/stableLTP[[#This Row],[HRT 
(h)]]*24/1000</f>
        <v>0.52591733625517423</v>
      </c>
      <c r="AI71" s="6"/>
      <c r="AJ71" s="6">
        <f>(Influent[[#This Row],[NH4-N (mg L-1)]]*stableLTP[ARE 
(%)])*24/stableLTP[[#This Row],[HRT 
(h)]]/1000</f>
        <v>0.25918683954224497</v>
      </c>
      <c r="AK71" s="6">
        <f>Influent[[#This Row],[TN (mg L-1)]]/stableLTP[[#This Row],[HRT 
(h)]]*24/1000</f>
        <v>0.26391998755512269</v>
      </c>
      <c r="AL71" s="6">
        <f>(Influent[[#This Row],[NH4-N (mg L-1)]])*stableLTP[NRE 
(%)]/stableLTP[[#This Row],[HRT 
(h)]]*24/1000</f>
        <v>6.6944397046101792E-2</v>
      </c>
      <c r="AM71" s="26">
        <f>1-(stableLTP[[#This Row],[NH4-N 
(mg L-1)]]/Influent[[#This Row],[NH4-N (mg L-1)]])</f>
        <v>0.98222677036430617</v>
      </c>
      <c r="AN71" s="26">
        <f>1-(stableLTP[[#This Row],[TN 
(mg L-1)]]/Influent[[#This Row],[TN (mg L-1)]])</f>
        <v>0.25369566996807724</v>
      </c>
    </row>
    <row r="72" spans="1:40" x14ac:dyDescent="0.3">
      <c r="A72" s="128">
        <v>43395</v>
      </c>
      <c r="B72" s="29">
        <v>69</v>
      </c>
      <c r="C72" s="28">
        <v>487.7</v>
      </c>
      <c r="D72" s="28">
        <f>24/(stableLTP[[#This Row],[Cycle duration 
(h)]]+2)</f>
        <v>4</v>
      </c>
      <c r="E72" s="137">
        <v>4</v>
      </c>
      <c r="F72" s="42">
        <f>Information!$R$61/(stableLTP[Flow 
(m3 d-1)]/24*stableLTP[[#This Row],[Cycles per day]]*stableLTP[[#This Row],[Cycle duration 
(h)]])*24</f>
        <v>109.13824072175518</v>
      </c>
      <c r="G72" s="42">
        <f>stableLTP[[#This Row],[Flow 
(m3 d-1)]]*0.2</f>
        <v>97.54</v>
      </c>
      <c r="H72" s="42">
        <f>Information!$R$61*stableLTP[[#This Row],[TSS  
(mg L-1)]]/(stableLTP[[#This Row],[Flow 
(m3 d-1)]]*stableLTP[[#This Row],[TSS  
(mg L-1)]])</f>
        <v>3.0316177978265326</v>
      </c>
      <c r="I72" s="27">
        <v>29.23</v>
      </c>
      <c r="J72" s="27">
        <v>7.38</v>
      </c>
      <c r="K72" s="27">
        <v>3.5</v>
      </c>
      <c r="L72" s="27">
        <v>48.87</v>
      </c>
      <c r="M72" s="27">
        <f>stableLTP[[#This Row],[TSS  
(mg L-1)]]</f>
        <v>6700</v>
      </c>
      <c r="N72" s="27">
        <f>stableLTP[[#This Row],[VSS 
(mg L-1)]]</f>
        <v>3730</v>
      </c>
      <c r="O72" s="29">
        <v>9425</v>
      </c>
      <c r="P72" s="29">
        <f>stableLTP[[#This Row],[COD 
(mg L-1)]]*Information!$AK$44</f>
        <v>2544.75</v>
      </c>
      <c r="Q72" s="29">
        <v>1185</v>
      </c>
      <c r="R72" s="29">
        <v>7.3</v>
      </c>
      <c r="S72" s="29">
        <v>6700</v>
      </c>
      <c r="T72" s="29">
        <v>3730</v>
      </c>
      <c r="U72" s="29">
        <v>19.420000000000002</v>
      </c>
      <c r="V72" s="29">
        <v>42.5</v>
      </c>
      <c r="W72" s="6"/>
      <c r="X72" s="20"/>
      <c r="Y72" s="6"/>
      <c r="Z72" s="29">
        <v>50.62</v>
      </c>
      <c r="AA72" s="29">
        <v>895.85</v>
      </c>
      <c r="AB72" s="6">
        <f>IF(stableLTP[[#This Row],[TON 
(mg L-1)]]-stableLTP[[#This Row],[NO2-N 
(mg L-1)]]&lt;0,0.2,stableLTP[[#This Row],[TON 
(mg L-1)]]-stableLTP[[#This Row],[NO2-N 
(mg L-1)]])</f>
        <v>0.2</v>
      </c>
      <c r="AC72" s="4">
        <f>SUM(stableLTP[[#This Row],[NH4-N 
(mg L-1)]:[NO3-N 
(mg L-1)]])</f>
        <v>946.67000000000007</v>
      </c>
      <c r="AD72" s="21">
        <f>stableLTP[[#This Row],[NO3-N 
(mg L-1)]]/(Influent[[#This Row],[NH4-N (mg L-1)]]-stableLTP[[#This Row],[NH4-N 
(mg L-1)]])</f>
        <v>1.6661390559656109E-4</v>
      </c>
      <c r="AE72" s="6">
        <f>stableLTP[[#This Row],[NO2-N 
(mg L-1)]]/(Influent[[#This Row],[NH4-N (mg L-1)]]-stableLTP[[#This Row],[NH4-N 
(mg L-1)]])</f>
        <v>0.74630533664339616</v>
      </c>
      <c r="AF72" s="20">
        <f>46/14*stableLTP[[#This Row],[NO2-N 
(mg L-1)]]/(EXP(-2300/(273+stableLTP[[#This Row],[Temp. 
(°C)]]))*10^stableLTP[[#This Row],[pHreactor]])</f>
        <v>0.2476787682741472</v>
      </c>
      <c r="AG72" s="19">
        <f>17/14*(stableLTP[[#This Row],[NH4-N 
(mg L-1)]]*10^stableLTP[[#This Row],[pHreactor]])/(EXP(6344/(273+stableLTP[[#This Row],[Temp. 
(°C)]]))+10^stableLTP[[#This Row],[pHreactor]])</f>
        <v>1.1082149720896668</v>
      </c>
      <c r="AH72" s="20">
        <f>Influent[[#This Row],[sCOD (mg L-1)]]/stableLTP[[#This Row],[HRT 
(h)]]*24/1000</f>
        <v>0.44926507588669756</v>
      </c>
      <c r="AI72" s="6"/>
      <c r="AJ72" s="6">
        <f>(Influent[[#This Row],[NH4-N (mg L-1)]]*stableLTP[ARE 
(%)])*24/stableLTP[[#This Row],[HRT 
(h)]]/1000</f>
        <v>0.26396907087267441</v>
      </c>
      <c r="AK72" s="6">
        <f>Influent[[#This Row],[TN (mg L-1)]]/stableLTP[[#This Row],[HRT 
(h)]]*24/1000</f>
        <v>0.27514462209957702</v>
      </c>
      <c r="AL72" s="6">
        <f>(Influent[[#This Row],[NH4-N (mg L-1)]])*stableLTP[NRE 
(%)]/stableLTP[[#This Row],[HRT 
(h)]]*24/1000</f>
        <v>6.6956840040816729E-2</v>
      </c>
      <c r="AM72" s="26">
        <f>1-(stableLTP[[#This Row],[NH4-N 
(mg L-1)]]/Influent[[#This Row],[NH4-N (mg L-1)]])</f>
        <v>0.95953637090327737</v>
      </c>
      <c r="AN72" s="26">
        <f>1-(stableLTP[[#This Row],[TN 
(mg L-1)]]/Influent[[#This Row],[TN (mg L-1)]])</f>
        <v>0.2433903452685422</v>
      </c>
    </row>
    <row r="73" spans="1:40" x14ac:dyDescent="0.3">
      <c r="A73" s="128">
        <v>43396</v>
      </c>
      <c r="B73" s="29">
        <v>70</v>
      </c>
      <c r="C73" s="28">
        <v>656.6</v>
      </c>
      <c r="D73" s="28">
        <f>24/(stableLTP[[#This Row],[Cycle duration 
(h)]]+2)</f>
        <v>4</v>
      </c>
      <c r="E73" s="137">
        <v>4</v>
      </c>
      <c r="F73" s="42">
        <f>Information!$R$61/(stableLTP[Flow 
(m3 d-1)]/24*stableLTP[[#This Row],[Cycles per day]]*stableLTP[[#This Row],[Cycle duration 
(h)]])*24</f>
        <v>81.064148644532438</v>
      </c>
      <c r="G73" s="42">
        <f>stableLTP[[#This Row],[Flow 
(m3 d-1)]]*0.2</f>
        <v>131.32000000000002</v>
      </c>
      <c r="H73" s="42">
        <f>Information!$R$61*stableLTP[[#This Row],[TSS  
(mg L-1)]]/(stableLTP[[#This Row],[Flow 
(m3 d-1)]]*stableLTP[[#This Row],[TSS  
(mg L-1)]])</f>
        <v>2.251781906792568</v>
      </c>
      <c r="I73" s="27">
        <v>28.46</v>
      </c>
      <c r="J73" s="27">
        <v>7.29</v>
      </c>
      <c r="K73" s="27">
        <v>3.5</v>
      </c>
      <c r="L73" s="27">
        <v>67.459999999999994</v>
      </c>
      <c r="M73" s="27">
        <f>stableLTP[[#This Row],[TSS  
(mg L-1)]]</f>
        <v>10200</v>
      </c>
      <c r="N73" s="27">
        <f>stableLTP[[#This Row],[VSS 
(mg L-1)]]</f>
        <v>3450</v>
      </c>
      <c r="O73" s="29">
        <v>13125</v>
      </c>
      <c r="P73" s="29">
        <f>stableLTP[[#This Row],[COD 
(mg L-1)]]*Information!$AK$44</f>
        <v>3543.7500000000005</v>
      </c>
      <c r="Q73" s="29">
        <v>1169</v>
      </c>
      <c r="R73" s="29">
        <v>7.9</v>
      </c>
      <c r="S73" s="29">
        <v>10200</v>
      </c>
      <c r="T73" s="29">
        <v>3450</v>
      </c>
      <c r="U73" s="29">
        <v>20.39</v>
      </c>
      <c r="V73" s="29">
        <v>43.3</v>
      </c>
      <c r="W73" s="6"/>
      <c r="X73" s="20"/>
      <c r="Y73" s="6"/>
      <c r="Z73" s="29">
        <v>81.599999999999994</v>
      </c>
      <c r="AA73" s="29">
        <v>925.33</v>
      </c>
      <c r="AB73" s="6">
        <f>IF(stableLTP[[#This Row],[TON 
(mg L-1)]]-stableLTP[[#This Row],[NO2-N 
(mg L-1)]]&lt;0,0.2,stableLTP[[#This Row],[TON 
(mg L-1)]]-stableLTP[[#This Row],[NO2-N 
(mg L-1)]])</f>
        <v>0.2</v>
      </c>
      <c r="AC73" s="4">
        <f>SUM(stableLTP[[#This Row],[NH4-N 
(mg L-1)]:[NO3-N 
(mg L-1)]])</f>
        <v>1007.1300000000001</v>
      </c>
      <c r="AD73" s="21">
        <f>stableLTP[[#This Row],[NO3-N 
(mg L-1)]]/(Influent[[#This Row],[NH4-N (mg L-1)]]-stableLTP[[#This Row],[NH4-N 
(mg L-1)]])</f>
        <v>1.7340038148083925E-4</v>
      </c>
      <c r="AE73" s="6">
        <f>stableLTP[[#This Row],[NO2-N 
(mg L-1)]]/(Influent[[#This Row],[NH4-N (mg L-1)]]-stableLTP[[#This Row],[NH4-N 
(mg L-1)]])</f>
        <v>0.80226287497832494</v>
      </c>
      <c r="AF73" s="20">
        <f>46/14*stableLTP[[#This Row],[NO2-N 
(mg L-1)]]/(EXP(-2300/(273+stableLTP[[#This Row],[Temp. 
(°C)]]))*10^stableLTP[[#This Row],[pHreactor]])</f>
        <v>0.32091641681140032</v>
      </c>
      <c r="AG73" s="19">
        <f>17/14*(stableLTP[[#This Row],[NH4-N 
(mg L-1)]]*10^stableLTP[[#This Row],[pHreactor]])/(EXP(6344/(273+stableLTP[[#This Row],[Temp. 
(°C)]]))+10^stableLTP[[#This Row],[pHreactor]])</f>
        <v>1.3820025453963143</v>
      </c>
      <c r="AH73" s="20">
        <f>Influent[[#This Row],[sCOD (mg L-1)]]/stableLTP[[#This Row],[HRT 
(h)]]*24/1000</f>
        <v>0.58487014041068097</v>
      </c>
      <c r="AI73" s="6"/>
      <c r="AJ73" s="6">
        <f>(Influent[[#This Row],[NH4-N (mg L-1)]]*stableLTP[ARE 
(%)])*24/stableLTP[[#This Row],[HRT 
(h)]]/1000</f>
        <v>0.34147771194618043</v>
      </c>
      <c r="AK73" s="6">
        <f>Influent[[#This Row],[TN (mg L-1)]]/stableLTP[[#This Row],[HRT 
(h)]]*24/1000</f>
        <v>0.36569556944331727</v>
      </c>
      <c r="AL73" s="6">
        <f>(Influent[[#This Row],[NH4-N (mg L-1)]])*stableLTP[NRE 
(%)]/stableLTP[[#This Row],[HRT 
(h)]]*24/1000</f>
        <v>6.7511887919959102E-2</v>
      </c>
      <c r="AM73" s="26">
        <f>1-(stableLTP[[#This Row],[NH4-N 
(mg L-1)]]/Influent[[#This Row],[NH4-N (mg L-1)]])</f>
        <v>0.93392712550607282</v>
      </c>
      <c r="AN73" s="26">
        <f>1-(stableLTP[[#This Row],[TN 
(mg L-1)]]/Influent[[#This Row],[TN (mg L-1)]])</f>
        <v>0.18464216321243521</v>
      </c>
    </row>
    <row r="74" spans="1:40" x14ac:dyDescent="0.3">
      <c r="A74" s="128">
        <v>43397</v>
      </c>
      <c r="B74" s="29">
        <v>71</v>
      </c>
      <c r="C74" s="28">
        <v>1447.2</v>
      </c>
      <c r="D74" s="28">
        <f>24/(stableLTP[[#This Row],[Cycle duration 
(h)]]+2)</f>
        <v>4</v>
      </c>
      <c r="E74" s="137">
        <v>4</v>
      </c>
      <c r="F74" s="42">
        <f>Information!$R$61/(stableLTP[Flow 
(m3 d-1)]/24*stableLTP[[#This Row],[Cycles per day]]*stableLTP[[#This Row],[Cycle duration 
(h)]])*24</f>
        <v>36.779104477611938</v>
      </c>
      <c r="G74" s="42">
        <f>stableLTP[[#This Row],[Flow 
(m3 d-1)]]*0.2</f>
        <v>289.44</v>
      </c>
      <c r="H74" s="42">
        <f>Information!$R$61*stableLTP[[#This Row],[TSS  
(mg L-1)]]/(stableLTP[[#This Row],[Flow 
(m3 d-1)]]*stableLTP[[#This Row],[TSS  
(mg L-1)]])</f>
        <v>1.0216417910447761</v>
      </c>
      <c r="I74" s="27">
        <v>28.07</v>
      </c>
      <c r="J74" s="27">
        <v>7.31</v>
      </c>
      <c r="K74" s="27">
        <v>3.5</v>
      </c>
      <c r="L74" s="27">
        <v>64.91</v>
      </c>
      <c r="M74" s="27"/>
      <c r="N74" s="27"/>
      <c r="O74" s="29">
        <v>12875</v>
      </c>
      <c r="P74" s="29">
        <f>stableLTP[[#This Row],[COD 
(mg L-1)]]*Information!$AK$44</f>
        <v>3476.2500000000005</v>
      </c>
      <c r="Q74" s="29">
        <v>1129</v>
      </c>
      <c r="R74" s="29">
        <v>7.5</v>
      </c>
      <c r="S74" s="29">
        <v>9580</v>
      </c>
      <c r="U74" s="29">
        <v>19.75</v>
      </c>
      <c r="V74" s="29">
        <v>43.2</v>
      </c>
      <c r="W74" s="6"/>
      <c r="X74" s="20"/>
      <c r="Y74" s="6"/>
      <c r="Z74" s="29">
        <v>131.06</v>
      </c>
      <c r="AA74" s="29">
        <v>898.79</v>
      </c>
      <c r="AB74" s="6">
        <f>IF(stableLTP[[#This Row],[TON 
(mg L-1)]]-stableLTP[[#This Row],[NO2-N 
(mg L-1)]]&lt;0,0.2,stableLTP[[#This Row],[TON 
(mg L-1)]]-stableLTP[[#This Row],[NO2-N 
(mg L-1)]])</f>
        <v>0.2</v>
      </c>
      <c r="AC74" s="4">
        <f>SUM(stableLTP[[#This Row],[NH4-N 
(mg L-1)]:[NO3-N 
(mg L-1)]])</f>
        <v>1030.05</v>
      </c>
      <c r="AD74" s="21">
        <f>stableLTP[[#This Row],[NO3-N 
(mg L-1)]]/(Influent[[#This Row],[NH4-N (mg L-1)]]-stableLTP[[#This Row],[NH4-N 
(mg L-1)]])</f>
        <v>1.7938185014440238E-4</v>
      </c>
      <c r="AE74" s="6">
        <f>stableLTP[[#This Row],[NO2-N 
(mg L-1)]]/(Influent[[#This Row],[NH4-N (mg L-1)]]-stableLTP[[#This Row],[NH4-N 
(mg L-1)]])</f>
        <v>0.80613306545643704</v>
      </c>
      <c r="AF74" s="20">
        <f>46/14*stableLTP[[#This Row],[NO2-N 
(mg L-1)]]/(EXP(-2300/(273+stableLTP[[#This Row],[Temp. 
(°C)]]))*10^stableLTP[[#This Row],[pHreactor]])</f>
        <v>0.3006392781140812</v>
      </c>
      <c r="AG74" s="19">
        <f>17/14*(stableLTP[[#This Row],[NH4-N 
(mg L-1)]]*10^stableLTP[[#This Row],[pHreactor]])/(EXP(6344/(273+stableLTP[[#This Row],[Temp. 
(°C)]]))+10^stableLTP[[#This Row],[pHreactor]])</f>
        <v>2.2611791055144335</v>
      </c>
      <c r="AH74" s="20">
        <f>Influent[[#This Row],[sCOD (mg L-1)]]/stableLTP[[#This Row],[HRT 
(h)]]*24/1000</f>
        <v>1.1980715850986121</v>
      </c>
      <c r="AI74" s="6"/>
      <c r="AJ74" s="6">
        <f>(Influent[[#This Row],[NH4-N (mg L-1)]]*stableLTP[ARE 
(%)])*24/stableLTP[[#This Row],[HRT 
(h)]]/1000</f>
        <v>0.7275478938397858</v>
      </c>
      <c r="AK74" s="6">
        <f>Influent[[#This Row],[TN (mg L-1)]]/stableLTP[[#This Row],[HRT 
(h)]]*24/1000</f>
        <v>0.82664329194058928</v>
      </c>
      <c r="AL74" s="6">
        <f>(Influent[[#This Row],[NH4-N (mg L-1)]])*stableLTP[NRE 
(%)]/stableLTP[[#This Row],[HRT 
(h)]]*24/1000</f>
        <v>0.15195327561152502</v>
      </c>
      <c r="AM74" s="26">
        <f>1-(stableLTP[[#This Row],[NH4-N 
(mg L-1)]]/Influent[[#This Row],[NH4-N (mg L-1)]])</f>
        <v>0.89481540930979131</v>
      </c>
      <c r="AN74" s="26">
        <f>1-(stableLTP[[#This Row],[TN 
(mg L-1)]]/Influent[[#This Row],[TN (mg L-1)]])</f>
        <v>0.18688822229239033</v>
      </c>
    </row>
    <row r="75" spans="1:40" x14ac:dyDescent="0.3">
      <c r="A75" s="128">
        <v>43398</v>
      </c>
      <c r="B75" s="29">
        <v>72</v>
      </c>
      <c r="C75" s="28">
        <v>494.3</v>
      </c>
      <c r="D75" s="28">
        <f>24/(stableLTP[[#This Row],[Cycle duration 
(h)]]+2)</f>
        <v>4</v>
      </c>
      <c r="E75" s="137">
        <v>4</v>
      </c>
      <c r="F75" s="42">
        <f>Information!$R$61/(stableLTP[Flow 
(m3 d-1)]/24*stableLTP[[#This Row],[Cycles per day]]*stableLTP[[#This Row],[Cycle duration 
(h)]])*24</f>
        <v>107.68100343920693</v>
      </c>
      <c r="G75" s="42">
        <f>stableLTP[[#This Row],[Flow 
(m3 d-1)]]*0.2</f>
        <v>98.860000000000014</v>
      </c>
      <c r="H75" s="42">
        <f>Information!$R$61*stableLTP[[#This Row],[TSS  
(mg L-1)]]/(stableLTP[[#This Row],[Flow 
(m3 d-1)]]*stableLTP[[#This Row],[TSS  
(mg L-1)]])</f>
        <v>2.9911389844224159</v>
      </c>
      <c r="I75" s="27">
        <v>27.43</v>
      </c>
      <c r="J75" s="27">
        <v>7.85</v>
      </c>
      <c r="K75" s="27">
        <v>3.5</v>
      </c>
      <c r="L75" s="27"/>
      <c r="M75" s="27"/>
      <c r="N75" s="27"/>
      <c r="O75" s="29">
        <v>5760</v>
      </c>
      <c r="P75" s="29">
        <f>stableLTP[[#This Row],[COD 
(mg L-1)]]*Information!$AK$44</f>
        <v>1555.2</v>
      </c>
      <c r="Q75" s="29">
        <v>1383</v>
      </c>
      <c r="R75" s="29">
        <v>8.1</v>
      </c>
      <c r="S75" s="29">
        <v>9940</v>
      </c>
      <c r="U75" s="29">
        <v>47.51</v>
      </c>
      <c r="V75" s="29">
        <v>40.6</v>
      </c>
      <c r="W75" s="6"/>
      <c r="X75" s="20"/>
      <c r="Y75" s="6"/>
      <c r="Z75" s="29">
        <v>75.37</v>
      </c>
      <c r="AA75" s="29">
        <v>911.75</v>
      </c>
      <c r="AB75" s="6">
        <f>IF(stableLTP[[#This Row],[TON 
(mg L-1)]]-stableLTP[[#This Row],[NO2-N 
(mg L-1)]]&lt;0,0.2,stableLTP[[#This Row],[TON 
(mg L-1)]]-stableLTP[[#This Row],[NO2-N 
(mg L-1)]])</f>
        <v>0.2</v>
      </c>
      <c r="AC75" s="4">
        <f>SUM(stableLTP[[#This Row],[NH4-N 
(mg L-1)]:[NO3-N 
(mg L-1)]])</f>
        <v>987.32</v>
      </c>
      <c r="AD75" s="21">
        <f>stableLTP[[#This Row],[NO3-N 
(mg L-1)]]/(Influent[[#This Row],[NH4-N (mg L-1)]]-stableLTP[[#This Row],[NH4-N 
(mg L-1)]])</f>
        <v>1.8554080506155319E-4</v>
      </c>
      <c r="AE75" s="6">
        <f>stableLTP[[#This Row],[NO2-N 
(mg L-1)]]/(Influent[[#This Row],[NH4-N (mg L-1)]]-stableLTP[[#This Row],[NH4-N 
(mg L-1)]])</f>
        <v>0.84583414507435561</v>
      </c>
      <c r="AF75" s="20">
        <f>46/14*stableLTP[[#This Row],[NO2-N 
(mg L-1)]]/(EXP(-2300/(273+stableLTP[[#This Row],[Temp. 
(°C)]]))*10^stableLTP[[#This Row],[pHreactor]])</f>
        <v>8.9398660738741947E-2</v>
      </c>
      <c r="AG75" s="19">
        <f>17/14*(stableLTP[[#This Row],[NH4-N 
(mg L-1)]]*10^stableLTP[[#This Row],[pHreactor]])/(EXP(6344/(273+stableLTP[[#This Row],[Temp. 
(°C)]]))+10^stableLTP[[#This Row],[pHreactor]])</f>
        <v>4.1736166507923169</v>
      </c>
      <c r="AH75" s="20">
        <f>Influent[[#This Row],[sCOD (mg L-1)]]/stableLTP[[#This Row],[HRT 
(h)]]*24/1000</f>
        <v>0.21262803343884429</v>
      </c>
      <c r="AI75" s="6"/>
      <c r="AJ75" s="6">
        <f>(Influent[[#This Row],[NH4-N (mg L-1)]]*stableLTP[ARE 
(%)])*24/stableLTP[[#This Row],[HRT 
(h)]]/1000</f>
        <v>0.24024961853745644</v>
      </c>
      <c r="AK75" s="6">
        <f>Influent[[#This Row],[TN (mg L-1)]]/stableLTP[[#This Row],[HRT 
(h)]]*24/1000</f>
        <v>0.25798868057246443</v>
      </c>
      <c r="AL75" s="6">
        <f>(Influent[[#This Row],[NH4-N (mg L-1)]])*stableLTP[NRE 
(%)]/stableLTP[[#This Row],[HRT 
(h)]]*24/1000</f>
        <v>3.7795969680141574E-2</v>
      </c>
      <c r="AM75" s="26">
        <f>1-(stableLTP[[#This Row],[NH4-N 
(mg L-1)]]/Influent[[#This Row],[NH4-N (mg L-1)]])</f>
        <v>0.93464840024278162</v>
      </c>
      <c r="AN75" s="26">
        <f>1-(stableLTP[[#This Row],[TN 
(mg L-1)]]/Influent[[#This Row],[TN (mg L-1)]])</f>
        <v>0.14703849609509978</v>
      </c>
    </row>
    <row r="76" spans="1:40" x14ac:dyDescent="0.3">
      <c r="A76" s="128">
        <v>43399</v>
      </c>
      <c r="B76" s="29">
        <v>73</v>
      </c>
      <c r="C76" s="28">
        <v>683.3</v>
      </c>
      <c r="D76" s="28">
        <f>24/(stableLTP[[#This Row],[Cycle duration 
(h)]]+2)</f>
        <v>4</v>
      </c>
      <c r="E76" s="137">
        <v>4</v>
      </c>
      <c r="F76" s="42">
        <f>Information!$R$61/(stableLTP[Flow 
(m3 d-1)]/24*stableLTP[[#This Row],[Cycles per day]]*stableLTP[[#This Row],[Cycle duration 
(h)]])*24</f>
        <v>77.896560807844295</v>
      </c>
      <c r="G76" s="42">
        <f>stableLTP[[#This Row],[Flow 
(m3 d-1)]]*0.2</f>
        <v>136.66</v>
      </c>
      <c r="H76" s="42">
        <f>Information!$R$61*stableLTP[[#This Row],[TSS  
(mg L-1)]]/(stableLTP[[#This Row],[Flow 
(m3 d-1)]]*stableLTP[[#This Row],[TSS  
(mg L-1)]])</f>
        <v>2.1637933557734526</v>
      </c>
      <c r="I76" s="27">
        <v>27.13</v>
      </c>
      <c r="J76" s="27">
        <v>7.33</v>
      </c>
      <c r="K76" s="27">
        <v>3.5</v>
      </c>
      <c r="L76" s="27">
        <v>63.64</v>
      </c>
      <c r="M76" s="27">
        <f>stableLTP[[#This Row],[TSS  
(mg L-1)]]</f>
        <v>8700</v>
      </c>
      <c r="N76" s="27">
        <f>stableLTP[[#This Row],[VSS 
(mg L-1)]]</f>
        <v>3670</v>
      </c>
      <c r="O76" s="29">
        <v>5600</v>
      </c>
      <c r="P76" s="29">
        <f>stableLTP[[#This Row],[COD 
(mg L-1)]]*Information!$AK$44</f>
        <v>1512</v>
      </c>
      <c r="Q76" s="29">
        <v>1258</v>
      </c>
      <c r="R76" s="29">
        <v>7.7</v>
      </c>
      <c r="S76" s="29">
        <v>8700</v>
      </c>
      <c r="T76" s="29">
        <v>3670</v>
      </c>
      <c r="U76" s="29">
        <v>17.489999999999998</v>
      </c>
      <c r="V76" s="29">
        <v>45.5</v>
      </c>
      <c r="W76" s="6"/>
      <c r="X76" s="20"/>
      <c r="Y76" s="6"/>
      <c r="Z76" s="29">
        <v>179.07</v>
      </c>
      <c r="AA76" s="29">
        <v>875.95</v>
      </c>
      <c r="AB76" s="6">
        <f>IF(stableLTP[[#This Row],[TON 
(mg L-1)]]-stableLTP[[#This Row],[NO2-N 
(mg L-1)]]&lt;0,0.2,stableLTP[[#This Row],[TON 
(mg L-1)]]-stableLTP[[#This Row],[NO2-N 
(mg L-1)]])</f>
        <v>0.2</v>
      </c>
      <c r="AC76" s="4">
        <f>SUM(stableLTP[[#This Row],[NH4-N 
(mg L-1)]:[NO3-N 
(mg L-1)]])</f>
        <v>1055.22</v>
      </c>
      <c r="AD76" s="21">
        <f>stableLTP[[#This Row],[NO3-N 
(mg L-1)]]/(Influent[[#This Row],[NH4-N (mg L-1)]]-stableLTP[[#This Row],[NH4-N 
(mg L-1)]])</f>
        <v>1.8339706381300836E-4</v>
      </c>
      <c r="AE76" s="6">
        <f>stableLTP[[#This Row],[NO2-N 
(mg L-1)]]/(Influent[[#This Row],[NH4-N (mg L-1)]]-stableLTP[[#This Row],[NH4-N 
(mg L-1)]])</f>
        <v>0.80323329023502343</v>
      </c>
      <c r="AF76" s="20">
        <f>46/14*stableLTP[[#This Row],[NO2-N 
(mg L-1)]]/(EXP(-2300/(273+stableLTP[[#This Row],[Temp. 
(°C)]]))*10^stableLTP[[#This Row],[pHreactor]])</f>
        <v>0.2865879613183136</v>
      </c>
      <c r="AG76" s="19">
        <f>17/14*(stableLTP[[#This Row],[NH4-N 
(mg L-1)]]*10^stableLTP[[#This Row],[pHreactor]])/(EXP(6344/(273+stableLTP[[#This Row],[Temp. 
(°C)]]))+10^stableLTP[[#This Row],[pHreactor]])</f>
        <v>3.0293400585514467</v>
      </c>
      <c r="AH76" s="20">
        <f>Influent[[#This Row],[sCOD (mg L-1)]]/stableLTP[[#This Row],[HRT 
(h)]]*24/1000</f>
        <v>0.31333860887914938</v>
      </c>
      <c r="AI76" s="6"/>
      <c r="AJ76" s="6">
        <f>(Influent[[#This Row],[NH4-N (mg L-1)]]*stableLTP[ARE 
(%)])*24/stableLTP[[#This Row],[HRT 
(h)]]/1000</f>
        <v>0.33599326759191611</v>
      </c>
      <c r="AK76" s="6">
        <f>Influent[[#This Row],[TN (mg L-1)]]/stableLTP[[#This Row],[HRT 
(h)]]*24/1000</f>
        <v>0.39575344123402673</v>
      </c>
      <c r="AL76" s="6">
        <f>(Influent[[#This Row],[NH4-N (mg L-1)]])*stableLTP[NRE 
(%)]/stableLTP[[#This Row],[HRT 
(h)]]*24/1000</f>
        <v>6.9820192780505205E-2</v>
      </c>
      <c r="AM76" s="26">
        <f>1-(stableLTP[[#This Row],[NH4-N 
(mg L-1)]]/Influent[[#This Row],[NH4-N (mg L-1)]])</f>
        <v>0.85895557655954624</v>
      </c>
      <c r="AN76" s="26">
        <f>1-(stableLTP[[#This Row],[TN 
(mg L-1)]]/Influent[[#This Row],[TN (mg L-1)]])</f>
        <v>0.17849299295519705</v>
      </c>
    </row>
    <row r="77" spans="1:40" x14ac:dyDescent="0.3">
      <c r="A77" s="128">
        <v>43400</v>
      </c>
      <c r="B77" s="29">
        <v>74</v>
      </c>
      <c r="C77" s="28">
        <v>510.2</v>
      </c>
      <c r="D77" s="28">
        <f>24/(stableLTP[[#This Row],[Cycle duration 
(h)]]+2)</f>
        <v>4</v>
      </c>
      <c r="E77" s="137">
        <v>4</v>
      </c>
      <c r="F77" s="42">
        <f>Information!$R$61/(stableLTP[Flow 
(m3 d-1)]/24*stableLTP[[#This Row],[Cycles per day]]*stableLTP[[#This Row],[Cycle duration 
(h)]])*24</f>
        <v>104.32520580164642</v>
      </c>
      <c r="G77" s="42">
        <f>stableLTP[[#This Row],[Flow 
(m3 d-1)]]*0.2</f>
        <v>102.04</v>
      </c>
      <c r="H77" s="42">
        <f>Information!$R$61*stableLTP[[#This Row],[TSS  
(mg L-1)]]/(stableLTP[[#This Row],[Flow 
(m3 d-1)]]*stableLTP[[#This Row],[TSS  
(mg L-1)]])</f>
        <v>2.8979223833790666</v>
      </c>
      <c r="I77" s="27">
        <v>27.12</v>
      </c>
      <c r="J77" s="27">
        <v>7.69</v>
      </c>
      <c r="K77" s="27">
        <v>3.5</v>
      </c>
      <c r="L77" s="27">
        <v>59.84</v>
      </c>
      <c r="M77" s="27">
        <f>stableLTP[[#This Row],[TSS  
(mg L-1)]]</f>
        <v>10440</v>
      </c>
      <c r="N77" s="27">
        <f>stableLTP[[#This Row],[VSS 
(mg L-1)]]</f>
        <v>3430</v>
      </c>
      <c r="O77" s="29">
        <v>13275</v>
      </c>
      <c r="P77" s="29">
        <f>stableLTP[[#This Row],[COD 
(mg L-1)]]*Information!$AK$44</f>
        <v>3584.2500000000005</v>
      </c>
      <c r="Q77" s="29">
        <v>1335</v>
      </c>
      <c r="R77" s="29">
        <v>8.3000000000000007</v>
      </c>
      <c r="S77" s="29">
        <v>10440</v>
      </c>
      <c r="T77" s="29">
        <v>3430</v>
      </c>
      <c r="U77" s="29">
        <v>16.55</v>
      </c>
      <c r="V77" s="29">
        <v>43.4</v>
      </c>
      <c r="W77" s="6"/>
      <c r="X77" s="20"/>
      <c r="Y77" s="6"/>
      <c r="Z77" s="29">
        <v>182.61</v>
      </c>
      <c r="AA77" s="29">
        <v>853.9</v>
      </c>
      <c r="AB77" s="6">
        <f>IF(stableLTP[[#This Row],[TON 
(mg L-1)]]-stableLTP[[#This Row],[NO2-N 
(mg L-1)]]&lt;0,0.2,stableLTP[[#This Row],[TON 
(mg L-1)]]-stableLTP[[#This Row],[NO2-N 
(mg L-1)]])</f>
        <v>0.2</v>
      </c>
      <c r="AC77" s="4">
        <f>SUM(stableLTP[[#This Row],[NH4-N 
(mg L-1)]:[NO3-N 
(mg L-1)]])</f>
        <v>1036.71</v>
      </c>
      <c r="AD77" s="21">
        <f>stableLTP[[#This Row],[NO3-N 
(mg L-1)]]/(Influent[[#This Row],[NH4-N (mg L-1)]]-stableLTP[[#This Row],[NH4-N 
(mg L-1)]])</f>
        <v>1.9650419045186138E-4</v>
      </c>
      <c r="AE77" s="6">
        <f>stableLTP[[#This Row],[NO2-N 
(mg L-1)]]/(Influent[[#This Row],[NH4-N (mg L-1)]]-stableLTP[[#This Row],[NH4-N 
(mg L-1)]])</f>
        <v>0.83897464113422215</v>
      </c>
      <c r="AF77" s="20">
        <f>46/14*stableLTP[[#This Row],[NO2-N 
(mg L-1)]]/(EXP(-2300/(273+stableLTP[[#This Row],[Temp. 
(°C)]]))*10^stableLTP[[#This Row],[pHreactor]])</f>
        <v>0.12198222017247676</v>
      </c>
      <c r="AG77" s="19">
        <f>17/14*(stableLTP[[#This Row],[NH4-N 
(mg L-1)]]*10^stableLTP[[#This Row],[pHreactor]])/(EXP(6344/(273+stableLTP[[#This Row],[Temp. 
(°C)]]))+10^stableLTP[[#This Row],[pHreactor]])</f>
        <v>6.9472434076088696</v>
      </c>
      <c r="AH77" s="20">
        <f>Influent[[#This Row],[sCOD (mg L-1)]]/stableLTP[[#This Row],[HRT 
(h)]]*24/1000</f>
        <v>0.46171008846684519</v>
      </c>
      <c r="AI77" s="6"/>
      <c r="AJ77" s="6">
        <f>(Influent[[#This Row],[NH4-N (mg L-1)]]*stableLTP[ARE 
(%)])*24/stableLTP[[#This Row],[HRT 
(h)]]/1000</f>
        <v>0.23414245687128576</v>
      </c>
      <c r="AK77" s="6">
        <f>Influent[[#This Row],[TN (mg L-1)]]/stableLTP[[#This Row],[HRT 
(h)]]*24/1000</f>
        <v>0.27619787354922493</v>
      </c>
      <c r="AL77" s="6">
        <f>(Influent[[#This Row],[NH4-N (mg L-1)]])*stableLTP[NRE 
(%)]/stableLTP[[#This Row],[HRT 
(h)]]*24/1000</f>
        <v>3.7696592471559057E-2</v>
      </c>
      <c r="AM77" s="26">
        <f>1-(stableLTP[[#This Row],[NH4-N 
(mg L-1)]]/Influent[[#This Row],[NH4-N (mg L-1)]])</f>
        <v>0.84787570809730095</v>
      </c>
      <c r="AN77" s="26">
        <f>1-(stableLTP[[#This Row],[TN 
(mg L-1)]]/Influent[[#This Row],[TN (mg L-1)]])</f>
        <v>0.13650674662668671</v>
      </c>
    </row>
    <row r="78" spans="1:40" x14ac:dyDescent="0.3">
      <c r="A78" s="128">
        <v>43401</v>
      </c>
      <c r="B78" s="29">
        <v>75</v>
      </c>
      <c r="C78" s="28">
        <v>583.5</v>
      </c>
      <c r="D78" s="28">
        <f>24/(stableLTP[[#This Row],[Cycle duration 
(h)]]+2)</f>
        <v>4</v>
      </c>
      <c r="E78" s="137">
        <v>4</v>
      </c>
      <c r="F78" s="42">
        <f>Information!$R$61/(stableLTP[Flow 
(m3 d-1)]/24*stableLTP[[#This Row],[Cycles per day]]*stableLTP[[#This Row],[Cycle duration 
(h)]])*24</f>
        <v>91.219742930591266</v>
      </c>
      <c r="G78" s="42">
        <f>stableLTP[[#This Row],[Flow 
(m3 d-1)]]*0.2</f>
        <v>116.7</v>
      </c>
      <c r="H78" s="42">
        <f>Information!$R$61*stableLTP[[#This Row],[TSS  
(mg L-1)]]/(stableLTP[[#This Row],[Flow 
(m3 d-1)]]*stableLTP[[#This Row],[TSS  
(mg L-1)]])</f>
        <v>2.5338817480719795</v>
      </c>
      <c r="I78" s="27">
        <v>26.85</v>
      </c>
      <c r="J78" s="27">
        <v>7.61</v>
      </c>
      <c r="K78" s="27">
        <v>3.5</v>
      </c>
      <c r="L78" s="27">
        <v>55.02</v>
      </c>
      <c r="M78" s="27">
        <f>stableLTP[[#This Row],[TSS  
(mg L-1)]]</f>
        <v>9880</v>
      </c>
      <c r="N78" s="27">
        <f>stableLTP[[#This Row],[VSS 
(mg L-1)]]</f>
        <v>3890</v>
      </c>
      <c r="O78" s="29">
        <v>14250</v>
      </c>
      <c r="P78" s="29">
        <f>stableLTP[[#This Row],[COD 
(mg L-1)]]*Information!$AK$44</f>
        <v>3847.5000000000005</v>
      </c>
      <c r="Q78" s="29">
        <v>1602</v>
      </c>
      <c r="R78" s="29">
        <v>8.1999999999999993</v>
      </c>
      <c r="S78" s="29">
        <v>9880</v>
      </c>
      <c r="T78" s="29">
        <v>3890</v>
      </c>
      <c r="U78" s="29">
        <v>44.51</v>
      </c>
      <c r="V78" s="29">
        <v>39.4</v>
      </c>
      <c r="W78" s="6"/>
      <c r="X78" s="20"/>
      <c r="Y78" s="6"/>
      <c r="Z78" s="29">
        <v>133.63999999999999</v>
      </c>
      <c r="AA78" s="29">
        <v>929.22</v>
      </c>
      <c r="AB78" s="6">
        <f>IF(stableLTP[[#This Row],[TON 
(mg L-1)]]-stableLTP[[#This Row],[NO2-N 
(mg L-1)]]&lt;0,0.2,stableLTP[[#This Row],[TON 
(mg L-1)]]-stableLTP[[#This Row],[NO2-N 
(mg L-1)]])</f>
        <v>0.2</v>
      </c>
      <c r="AC78" s="4">
        <f>SUM(stableLTP[[#This Row],[NH4-N 
(mg L-1)]:[NO3-N 
(mg L-1)]])</f>
        <v>1063.0600000000002</v>
      </c>
      <c r="AD78" s="21">
        <f>stableLTP[[#This Row],[NO3-N 
(mg L-1)]]/(Influent[[#This Row],[NH4-N (mg L-1)]]-stableLTP[[#This Row],[NH4-N 
(mg L-1)]])</f>
        <v>1.8438957830103447E-4</v>
      </c>
      <c r="AE78" s="6">
        <f>stableLTP[[#This Row],[NO2-N 
(mg L-1)]]/(Influent[[#This Row],[NH4-N (mg L-1)]]-stableLTP[[#This Row],[NH4-N 
(mg L-1)]])</f>
        <v>0.85669241974443622</v>
      </c>
      <c r="AF78" s="20">
        <f>46/14*stableLTP[[#This Row],[NO2-N 
(mg L-1)]]/(EXP(-2300/(273+stableLTP[[#This Row],[Temp. 
(°C)]]))*10^stableLTP[[#This Row],[pHreactor]])</f>
        <v>0.16069597573822475</v>
      </c>
      <c r="AG78" s="19">
        <f>17/14*(stableLTP[[#This Row],[NH4-N 
(mg L-1)]]*10^stableLTP[[#This Row],[pHreactor]])/(EXP(6344/(273+stableLTP[[#This Row],[Temp. 
(°C)]]))+10^stableLTP[[#This Row],[pHreactor]])</f>
        <v>4.173187085459432</v>
      </c>
      <c r="AH78" s="20">
        <f>Influent[[#This Row],[sCOD (mg L-1)]]/stableLTP[[#This Row],[HRT 
(h)]]*24/1000</f>
        <v>0.54935476016557094</v>
      </c>
      <c r="AI78" s="6"/>
      <c r="AJ78" s="6">
        <f>(Influent[[#This Row],[NH4-N (mg L-1)]]*stableLTP[ARE 
(%)])*24/stableLTP[[#This Row],[HRT 
(h)]]/1000</f>
        <v>0.28537506425344261</v>
      </c>
      <c r="AK78" s="6">
        <f>Influent[[#This Row],[TN (mg L-1)]]/stableLTP[[#This Row],[HRT 
(h)]]*24/1000</f>
        <v>0.32525432594756915</v>
      </c>
      <c r="AL78" s="6">
        <f>(Influent[[#This Row],[NH4-N (mg L-1)]])*stableLTP[NRE 
(%)]/stableLTP[[#This Row],[HRT 
(h)]]*24/1000</f>
        <v>4.4901272246292992E-2</v>
      </c>
      <c r="AM78" s="26">
        <f>1-(stableLTP[[#This Row],[NH4-N 
(mg L-1)]]/Influent[[#This Row],[NH4-N (mg L-1)]])</f>
        <v>0.89030616432734133</v>
      </c>
      <c r="AN78" s="26">
        <f>1-(stableLTP[[#This Row],[TN 
(mg L-1)]]/Influent[[#This Row],[TN (mg L-1)]])</f>
        <v>0.14008189388093173</v>
      </c>
    </row>
    <row r="79" spans="1:40" x14ac:dyDescent="0.3">
      <c r="A79" s="128">
        <v>43402</v>
      </c>
      <c r="B79" s="29">
        <v>76</v>
      </c>
      <c r="C79" s="28">
        <v>527.9</v>
      </c>
      <c r="D79" s="28">
        <f>24/(stableLTP[[#This Row],[Cycle duration 
(h)]]+2)</f>
        <v>4</v>
      </c>
      <c r="E79" s="137">
        <v>4</v>
      </c>
      <c r="F79" s="42">
        <f>Information!$R$61/(stableLTP[Flow 
(m3 d-1)]/24*stableLTP[[#This Row],[Cycles per day]]*stableLTP[[#This Row],[Cycle duration 
(h)]])*24</f>
        <v>100.82727789354044</v>
      </c>
      <c r="G79" s="42">
        <f>stableLTP[[#This Row],[Flow 
(m3 d-1)]]*0.2</f>
        <v>105.58</v>
      </c>
      <c r="H79" s="42">
        <f>Information!$R$61*stableLTP[[#This Row],[TSS  
(mg L-1)]]/(stableLTP[[#This Row],[Flow 
(m3 d-1)]]*stableLTP[[#This Row],[TSS  
(mg L-1)]])</f>
        <v>2.8007577192650124</v>
      </c>
      <c r="I79" s="27">
        <v>26.88</v>
      </c>
      <c r="J79" s="27">
        <v>7.26</v>
      </c>
      <c r="K79" s="27">
        <v>3.5</v>
      </c>
      <c r="L79" s="27">
        <v>54.54</v>
      </c>
      <c r="M79" s="27"/>
      <c r="N79" s="27"/>
      <c r="O79" s="29">
        <v>14700</v>
      </c>
      <c r="P79" s="29">
        <f>stableLTP[[#This Row],[COD 
(mg L-1)]]*Information!$AK$44</f>
        <v>3969.0000000000005</v>
      </c>
      <c r="Q79" s="29">
        <v>1555</v>
      </c>
      <c r="R79" s="29">
        <v>8.1999999999999993</v>
      </c>
      <c r="S79" s="29">
        <v>11800</v>
      </c>
      <c r="U79" s="29">
        <v>17.100000000000001</v>
      </c>
      <c r="V79" s="29">
        <v>37</v>
      </c>
      <c r="W79" s="6"/>
      <c r="X79" s="20"/>
      <c r="Y79" s="6"/>
      <c r="Z79" s="29">
        <v>82.66</v>
      </c>
      <c r="AA79" s="29">
        <v>992.51</v>
      </c>
      <c r="AB79" s="6">
        <f>IF(stableLTP[[#This Row],[TON 
(mg L-1)]]-stableLTP[[#This Row],[NO2-N 
(mg L-1)]]&lt;0,0.2,stableLTP[[#This Row],[TON 
(mg L-1)]]-stableLTP[[#This Row],[NO2-N 
(mg L-1)]])</f>
        <v>0.2</v>
      </c>
      <c r="AC79" s="4">
        <f>SUM(stableLTP[[#This Row],[NH4-N 
(mg L-1)]:[NO3-N 
(mg L-1)]])</f>
        <v>1075.3700000000001</v>
      </c>
      <c r="AD79" s="21">
        <f>stableLTP[[#This Row],[NO3-N 
(mg L-1)]]/(Influent[[#This Row],[NH4-N (mg L-1)]]-stableLTP[[#This Row],[NH4-N 
(mg L-1)]])</f>
        <v>1.7143248988548313E-4</v>
      </c>
      <c r="AE79" s="6">
        <f>stableLTP[[#This Row],[NO2-N 
(mg L-1)]]/(Influent[[#This Row],[NH4-N (mg L-1)]]-stableLTP[[#This Row],[NH4-N 
(mg L-1)]])</f>
        <v>0.85074230268120421</v>
      </c>
      <c r="AF79" s="20">
        <f>46/14*stableLTP[[#This Row],[NO2-N 
(mg L-1)]]/(EXP(-2300/(273+stableLTP[[#This Row],[Temp. 
(°C)]]))*10^stableLTP[[#This Row],[pHreactor]])</f>
        <v>0.38396185790709636</v>
      </c>
      <c r="AG79" s="19">
        <f>17/14*(stableLTP[[#This Row],[NH4-N 
(mg L-1)]]*10^stableLTP[[#This Row],[pHreactor]])/(EXP(6344/(273+stableLTP[[#This Row],[Temp. 
(°C)]]))+10^stableLTP[[#This Row],[pHreactor]])</f>
        <v>1.1720857423241549</v>
      </c>
      <c r="AH79" s="20">
        <f>Influent[[#This Row],[sCOD (mg L-1)]]/stableLTP[[#This Row],[HRT 
(h)]]*24/1000</f>
        <v>0.47987014041068093</v>
      </c>
      <c r="AI79" s="6"/>
      <c r="AJ79" s="6">
        <f>(Influent[[#This Row],[NH4-N (mg L-1)]]*stableLTP[ARE 
(%)])*24/stableLTP[[#This Row],[HRT 
(h)]]/1000</f>
        <v>0.27769628006384761</v>
      </c>
      <c r="AK79" s="6">
        <f>Influent[[#This Row],[TN (mg L-1)]]/stableLTP[[#This Row],[HRT 
(h)]]*24/1000</f>
        <v>0.3003948994039084</v>
      </c>
      <c r="AL79" s="6">
        <f>(Influent[[#This Row],[NH4-N (mg L-1)]])*stableLTP[NRE 
(%)]/stableLTP[[#This Row],[HRT 
(h)]]*24/1000</f>
        <v>4.3976639603474615E-2</v>
      </c>
      <c r="AM79" s="26">
        <f>1-(stableLTP[[#This Row],[NH4-N 
(mg L-1)]]/Influent[[#This Row],[NH4-N (mg L-1)]])</f>
        <v>0.93383494757063956</v>
      </c>
      <c r="AN79" s="26">
        <f>1-(stableLTP[[#This Row],[TN 
(mg L-1)]]/Influent[[#This Row],[TN (mg L-1)]])</f>
        <v>0.14788431061806651</v>
      </c>
    </row>
    <row r="80" spans="1:40" x14ac:dyDescent="0.3">
      <c r="A80" s="128">
        <v>43403</v>
      </c>
      <c r="B80" s="29">
        <v>77</v>
      </c>
      <c r="C80" s="28">
        <v>382.5</v>
      </c>
      <c r="D80" s="28">
        <f>24/(stableLTP[[#This Row],[Cycle duration 
(h)]]+2)</f>
        <v>4</v>
      </c>
      <c r="E80" s="137">
        <v>4</v>
      </c>
      <c r="F80" s="42">
        <f>Information!$R$61/(stableLTP[Flow 
(m3 d-1)]/24*stableLTP[[#This Row],[Cycles per day]]*stableLTP[[#This Row],[Cycle duration 
(h)]])*24</f>
        <v>139.15482352941177</v>
      </c>
      <c r="G80" s="42">
        <f>stableLTP[[#This Row],[Flow 
(m3 d-1)]]*0.2</f>
        <v>76.5</v>
      </c>
      <c r="H80" s="42">
        <f>Information!$R$61*stableLTP[[#This Row],[TSS  
(mg L-1)]]/(stableLTP[[#This Row],[Flow 
(m3 d-1)]]*stableLTP[[#This Row],[TSS  
(mg L-1)]])</f>
        <v>3.8654117647058821</v>
      </c>
      <c r="I80" s="27">
        <v>25.71</v>
      </c>
      <c r="J80" s="27">
        <v>7.52</v>
      </c>
      <c r="K80" s="27">
        <v>3.5</v>
      </c>
      <c r="L80" s="27">
        <v>48.36</v>
      </c>
      <c r="M80" s="27"/>
      <c r="N80" s="27"/>
      <c r="O80" s="29">
        <v>14075</v>
      </c>
      <c r="P80" s="29">
        <f>stableLTP[[#This Row],[COD 
(mg L-1)]]*Information!$AK$44</f>
        <v>3800.2500000000005</v>
      </c>
      <c r="Q80" s="29">
        <v>1266</v>
      </c>
      <c r="R80" s="29">
        <v>8.1999999999999993</v>
      </c>
      <c r="S80" s="29">
        <v>11920</v>
      </c>
      <c r="U80" s="29">
        <v>15.78</v>
      </c>
      <c r="V80" s="29">
        <v>36.4</v>
      </c>
      <c r="Z80" s="29">
        <v>130.07</v>
      </c>
      <c r="AA80" s="29">
        <v>858.56</v>
      </c>
      <c r="AB80" s="6">
        <f>IF(stableLTP[[#This Row],[TON 
(mg L-1)]]-stableLTP[[#This Row],[NO2-N 
(mg L-1)]]&lt;0,0.2,stableLTP[[#This Row],[TON 
(mg L-1)]]-stableLTP[[#This Row],[NO2-N 
(mg L-1)]])</f>
        <v>0.2</v>
      </c>
      <c r="AC80" s="4">
        <f>SUM(stableLTP[[#This Row],[NH4-N 
(mg L-1)]:[NO3-N 
(mg L-1)]])</f>
        <v>988.82999999999993</v>
      </c>
      <c r="AD80" s="21">
        <f>stableLTP[[#This Row],[NO3-N 
(mg L-1)]]/(Influent[[#This Row],[NH4-N (mg L-1)]]-stableLTP[[#This Row],[NH4-N 
(mg L-1)]])</f>
        <v>1.7017945423449028E-4</v>
      </c>
      <c r="AE80" s="6">
        <f>stableLTP[[#This Row],[NO2-N 
(mg L-1)]]/(Influent[[#This Row],[NH4-N (mg L-1)]]-stableLTP[[#This Row],[NH4-N 
(mg L-1)]])</f>
        <v>0.73054636113781979</v>
      </c>
      <c r="AF80" s="20">
        <f>46/14*stableLTP[[#This Row],[NO2-N 
(mg L-1)]]/(EXP(-2300/(273+stableLTP[[#This Row],[Temp. 
(°C)]]))*10^stableLTP[[#This Row],[pHreactor]])</f>
        <v>0.18809209613956171</v>
      </c>
      <c r="AG80" s="19">
        <f>17/14*(stableLTP[[#This Row],[NH4-N 
(mg L-1)]]*10^stableLTP[[#This Row],[pHreactor]])/(EXP(6344/(273+stableLTP[[#This Row],[Temp. 
(°C)]]))+10^stableLTP[[#This Row],[pHreactor]])</f>
        <v>3.0651036382602928</v>
      </c>
      <c r="AH80" s="20">
        <f>Influent[[#This Row],[sCOD (mg L-1)]]/stableLTP[[#This Row],[HRT 
(h)]]*24/1000</f>
        <v>0.39969868517165807</v>
      </c>
      <c r="AI80" s="6"/>
      <c r="AJ80" s="6">
        <f>(Influent[[#This Row],[NH4-N (mg L-1)]]*stableLTP[ARE 
(%)])*24/stableLTP[[#This Row],[HRT 
(h)]]/1000</f>
        <v>0.20269164434704973</v>
      </c>
      <c r="AK80" s="6">
        <f>Influent[[#This Row],[TN (mg L-1)]]/stableLTP[[#This Row],[HRT 
(h)]]*24/1000</f>
        <v>0.22515928090252413</v>
      </c>
      <c r="AL80" s="6">
        <f>(Influent[[#This Row],[NH4-N (mg L-1)]])*stableLTP[NRE 
(%)]/stableLTP[[#This Row],[HRT 
(h)]]*24/1000</f>
        <v>5.4607634073669142E-2</v>
      </c>
      <c r="AM80" s="26">
        <f>1-(stableLTP[[#This Row],[NH4-N 
(mg L-1)]]/Influent[[#This Row],[NH4-N (mg L-1)]])</f>
        <v>0.90035240940779904</v>
      </c>
      <c r="AN80" s="26">
        <f>1-(stableLTP[[#This Row],[TN 
(mg L-1)]]/Influent[[#This Row],[TN (mg L-1)]])</f>
        <v>0.24256606664113367</v>
      </c>
    </row>
    <row r="81" spans="1:40" x14ac:dyDescent="0.3">
      <c r="A81" s="128">
        <v>43404</v>
      </c>
      <c r="B81" s="29">
        <v>78</v>
      </c>
      <c r="C81" s="28">
        <v>409.4</v>
      </c>
      <c r="D81" s="28">
        <f>24/(stableLTP[[#This Row],[Cycle duration 
(h)]]+2)</f>
        <v>4</v>
      </c>
      <c r="E81" s="137">
        <v>4</v>
      </c>
      <c r="F81" s="42">
        <f>Information!$R$61/(stableLTP[Flow 
(m3 d-1)]/24*stableLTP[[#This Row],[Cycles per day]]*stableLTP[[#This Row],[Cycle duration 
(h)]])*24</f>
        <v>130.01152906692721</v>
      </c>
      <c r="G81" s="42">
        <f>stableLTP[[#This Row],[Flow 
(m3 d-1)]]*0.2</f>
        <v>81.88</v>
      </c>
      <c r="H81" s="42">
        <f>Information!$R$61*stableLTP[[#This Row],[TSS  
(mg L-1)]]/(stableLTP[[#This Row],[Flow 
(m3 d-1)]]*stableLTP[[#This Row],[TSS  
(mg L-1)]])</f>
        <v>3.6114313629702002</v>
      </c>
      <c r="I81" s="27">
        <v>25.2</v>
      </c>
      <c r="J81" s="27">
        <v>7.64</v>
      </c>
      <c r="K81" s="27">
        <v>3.5</v>
      </c>
      <c r="L81" s="27">
        <v>70.209999999999994</v>
      </c>
      <c r="M81" s="27"/>
      <c r="N81" s="27"/>
      <c r="O81" s="29">
        <v>14175</v>
      </c>
      <c r="P81" s="29">
        <f>stableLTP[[#This Row],[COD 
(mg L-1)]]*Information!$AK$44</f>
        <v>3827.2500000000005</v>
      </c>
      <c r="Q81" s="29">
        <v>1139</v>
      </c>
      <c r="R81" s="29">
        <v>7.9</v>
      </c>
      <c r="S81" s="29">
        <v>10280</v>
      </c>
      <c r="U81" s="29">
        <v>14.83</v>
      </c>
      <c r="V81" s="29">
        <v>35.5</v>
      </c>
      <c r="Z81" s="29">
        <v>123.09</v>
      </c>
      <c r="AA81" s="29">
        <v>931.04</v>
      </c>
      <c r="AB81" s="6">
        <f>IF(stableLTP[[#This Row],[TON 
(mg L-1)]]-stableLTP[[#This Row],[NO2-N 
(mg L-1)]]&lt;0,0.2,stableLTP[[#This Row],[TON 
(mg L-1)]]-stableLTP[[#This Row],[NO2-N 
(mg L-1)]])</f>
        <v>0.2</v>
      </c>
      <c r="AC81" s="4">
        <f>SUM(stableLTP[[#This Row],[NH4-N 
(mg L-1)]:[NO3-N 
(mg L-1)]])</f>
        <v>1054.33</v>
      </c>
      <c r="AD81" s="21">
        <f>stableLTP[[#This Row],[NO3-N 
(mg L-1)]]/(Influent[[#This Row],[NH4-N (mg L-1)]]-stableLTP[[#This Row],[NH4-N 
(mg L-1)]])</f>
        <v>1.714956997453289E-4</v>
      </c>
      <c r="AE81" s="6">
        <f>stableLTP[[#This Row],[NO2-N 
(mg L-1)]]/(Influent[[#This Row],[NH4-N (mg L-1)]]-stableLTP[[#This Row],[NH4-N 
(mg L-1)]])</f>
        <v>0.79834678145445492</v>
      </c>
      <c r="AF81" s="20">
        <f>46/14*stableLTP[[#This Row],[NO2-N 
(mg L-1)]]/(EXP(-2300/(273+stableLTP[[#This Row],[Temp. 
(°C)]]))*10^stableLTP[[#This Row],[pHreactor]])</f>
        <v>0.15677878655758026</v>
      </c>
      <c r="AG81" s="19">
        <f>17/14*(stableLTP[[#This Row],[NH4-N 
(mg L-1)]]*10^stableLTP[[#This Row],[pHreactor]])/(EXP(6344/(273+stableLTP[[#This Row],[Temp. 
(°C)]]))+10^stableLTP[[#This Row],[pHreactor]])</f>
        <v>3.6680574475092858</v>
      </c>
      <c r="AH81" s="20">
        <f>Influent[[#This Row],[sCOD (mg L-1)]]/stableLTP[[#This Row],[HRT 
(h)]]*24/1000</f>
        <v>0.40537943348754163</v>
      </c>
      <c r="AI81" s="6"/>
      <c r="AJ81" s="6">
        <f>(Influent[[#This Row],[NH4-N (mg L-1)]]*stableLTP[ARE 
(%)])*24/stableLTP[[#This Row],[HRT 
(h)]]/1000</f>
        <v>0.2152812154496839</v>
      </c>
      <c r="AK81" s="6">
        <f>Influent[[#This Row],[TN (mg L-1)]]/stableLTP[[#This Row],[HRT 
(h)]]*24/1000</f>
        <v>0.2380404278152026</v>
      </c>
      <c r="AL81" s="6">
        <f>(Influent[[#This Row],[NH4-N (mg L-1)]])*stableLTP[NRE 
(%)]/stableLTP[[#This Row],[HRT 
(h)]]*24/1000</f>
        <v>4.3405416812178091E-2</v>
      </c>
      <c r="AM81" s="26">
        <f>1-(stableLTP[[#This Row],[NH4-N 
(mg L-1)]]/Influent[[#This Row],[NH4-N (mg L-1)]])</f>
        <v>0.9045295896998371</v>
      </c>
      <c r="AN81" s="26">
        <f>1-(stableLTP[[#This Row],[TN 
(mg L-1)]]/Influent[[#This Row],[TN (mg L-1)]])</f>
        <v>0.18237301279565732</v>
      </c>
    </row>
    <row r="82" spans="1:40" x14ac:dyDescent="0.3">
      <c r="A82" s="128">
        <v>43405</v>
      </c>
      <c r="B82" s="29">
        <v>79</v>
      </c>
      <c r="C82" s="28"/>
      <c r="D82" s="28"/>
      <c r="E82" s="137"/>
      <c r="F82" s="42"/>
      <c r="G82" s="42"/>
      <c r="H82" s="42"/>
      <c r="I82" s="27"/>
      <c r="J82" s="27"/>
      <c r="K82" s="27"/>
      <c r="L82" s="27"/>
      <c r="M82" s="27"/>
      <c r="N82" s="27"/>
      <c r="AB82" s="6"/>
      <c r="AC82" s="4"/>
      <c r="AD82" s="21"/>
      <c r="AE82" s="6"/>
      <c r="AF82" s="20"/>
      <c r="AG82" s="19"/>
      <c r="AH82" s="20"/>
      <c r="AI82" s="6"/>
      <c r="AJ82" s="6"/>
      <c r="AK82" s="6"/>
      <c r="AL82" s="6"/>
      <c r="AM82" s="26"/>
      <c r="AN82" s="26"/>
    </row>
    <row r="83" spans="1:40" x14ac:dyDescent="0.3">
      <c r="A83" s="128">
        <v>43406</v>
      </c>
      <c r="B83" s="29">
        <v>80</v>
      </c>
      <c r="C83" s="28"/>
      <c r="D83" s="28"/>
      <c r="E83" s="137"/>
      <c r="F83" s="42"/>
      <c r="G83" s="42"/>
      <c r="H83" s="42"/>
      <c r="I83" s="27"/>
      <c r="J83" s="27"/>
      <c r="K83" s="27"/>
      <c r="L83" s="27"/>
      <c r="M83" s="27"/>
      <c r="N83" s="27"/>
      <c r="AB83" s="6"/>
      <c r="AC83" s="4"/>
      <c r="AD83" s="21"/>
      <c r="AE83" s="6"/>
      <c r="AF83" s="20"/>
      <c r="AG83" s="19"/>
      <c r="AH83" s="20"/>
      <c r="AI83" s="6"/>
      <c r="AJ83" s="6"/>
      <c r="AK83" s="6"/>
      <c r="AL83" s="6"/>
      <c r="AM83" s="26"/>
      <c r="AN83" s="26"/>
    </row>
    <row r="84" spans="1:40" x14ac:dyDescent="0.3">
      <c r="A84" s="128">
        <v>43407</v>
      </c>
      <c r="B84" s="29">
        <v>81</v>
      </c>
      <c r="C84" s="28"/>
      <c r="D84" s="28"/>
      <c r="E84" s="137"/>
      <c r="F84" s="42"/>
      <c r="G84" s="42"/>
      <c r="H84" s="42"/>
      <c r="I84" s="27"/>
      <c r="J84" s="27"/>
      <c r="K84" s="27"/>
      <c r="L84" s="27"/>
      <c r="M84" s="27"/>
      <c r="N84" s="27"/>
      <c r="AB84" s="6"/>
      <c r="AC84" s="4"/>
      <c r="AD84" s="21"/>
      <c r="AE84" s="6"/>
      <c r="AF84" s="20"/>
      <c r="AG84" s="19"/>
      <c r="AH84" s="20"/>
      <c r="AI84" s="6"/>
      <c r="AJ84" s="6"/>
      <c r="AK84" s="6"/>
      <c r="AL84" s="6"/>
      <c r="AM84" s="26"/>
      <c r="AN84" s="26"/>
    </row>
    <row r="85" spans="1:40" x14ac:dyDescent="0.3">
      <c r="A85" s="128">
        <v>43408</v>
      </c>
      <c r="B85" s="29">
        <v>82</v>
      </c>
      <c r="C85" s="29">
        <v>403</v>
      </c>
      <c r="D85" s="28">
        <f>24/(stableLTP[[#This Row],[Cycle duration 
(h)]]+2)</f>
        <v>4</v>
      </c>
      <c r="E85" s="28">
        <v>4</v>
      </c>
      <c r="F85" s="42">
        <f>Information!$R$61/(stableLTP[Flow 
(m3 d-1)]/24*stableLTP[[#This Row],[Cycles per day]]*stableLTP[[#This Row],[Cycle duration 
(h)]])*24</f>
        <v>132.07622828784119</v>
      </c>
      <c r="G85" s="42">
        <f>stableLTP[[#This Row],[Flow 
(m3 d-1)]]*0.2</f>
        <v>80.600000000000009</v>
      </c>
      <c r="H85" s="42">
        <f>Information!$R$61*stableLTP[[#This Row],[TSS  
(mg L-1)]]/(stableLTP[[#This Row],[Flow 
(m3 d-1)]]*stableLTP[[#This Row],[TSS  
(mg L-1)]])</f>
        <v>3.6687841191066997</v>
      </c>
      <c r="I85" s="27">
        <v>25</v>
      </c>
      <c r="J85" s="27">
        <v>7.35</v>
      </c>
      <c r="K85" s="27">
        <v>3.5</v>
      </c>
      <c r="L85" s="27">
        <v>62.36</v>
      </c>
      <c r="M85" s="27"/>
      <c r="N85" s="27"/>
      <c r="O85" s="29">
        <v>13475</v>
      </c>
      <c r="P85" s="29">
        <f>stableLTP[[#This Row],[COD 
(mg L-1)]]*Information!$AK$44</f>
        <v>3638.2500000000005</v>
      </c>
      <c r="Q85" s="29">
        <v>1007</v>
      </c>
      <c r="R85" s="29">
        <v>8.5</v>
      </c>
      <c r="S85" s="29">
        <v>9880</v>
      </c>
      <c r="U85" s="29">
        <v>12.57</v>
      </c>
      <c r="V85" s="29">
        <v>48.3</v>
      </c>
      <c r="Z85" s="29">
        <v>258.89999999999998</v>
      </c>
      <c r="AA85" s="29">
        <v>602.46</v>
      </c>
      <c r="AB85" s="6">
        <f>IF(stableLTP[[#This Row],[TON 
(mg L-1)]]-stableLTP[[#This Row],[NO2-N 
(mg L-1)]]&lt;0,0.2,stableLTP[[#This Row],[TON 
(mg L-1)]]-stableLTP[[#This Row],[NO2-N 
(mg L-1)]])</f>
        <v>0.2</v>
      </c>
      <c r="AC85" s="4">
        <f>SUM(stableLTP[[#This Row],[NH4-N 
(mg L-1)]:[NO3-N 
(mg L-1)]])</f>
        <v>861.56000000000006</v>
      </c>
      <c r="AD85" s="21">
        <f>stableLTP[[#This Row],[NO3-N 
(mg L-1)]]/(Influent[[#This Row],[NH4-N (mg L-1)]]-stableLTP[[#This Row],[NH4-N 
(mg L-1)]])</f>
        <v>1.7369403795214732E-4</v>
      </c>
      <c r="AE85" s="6">
        <f>stableLTP[[#This Row],[NO2-N 
(mg L-1)]]/(Influent[[#This Row],[NH4-N (mg L-1)]]-stableLTP[[#This Row],[NH4-N 
(mg L-1)]])</f>
        <v>0.52321855052325339</v>
      </c>
      <c r="AF85" s="20">
        <f>46/14*stableLTP[[#This Row],[NO2-N 
(mg L-1)]]/(EXP(-2300/(273+stableLTP[[#This Row],[Temp. 
(°C)]]))*10^stableLTP[[#This Row],[pHreactor]])</f>
        <v>0.19883612456897581</v>
      </c>
      <c r="AG85" s="19">
        <f>17/14*(stableLTP[[#This Row],[NH4-N 
(mg L-1)]]*10^stableLTP[[#This Row],[pHreactor]])/(EXP(6344/(273+stableLTP[[#This Row],[Temp. 
(°C)]]))+10^stableLTP[[#This Row],[pHreactor]])</f>
        <v>3.9486276239899958</v>
      </c>
      <c r="AH85" s="20">
        <f>Influent[[#This Row],[sCOD (mg L-1)]]/stableLTP[[#This Row],[HRT 
(h)]]*24/1000</f>
        <v>0.48980805129453781</v>
      </c>
      <c r="AI85" s="6"/>
      <c r="AJ85" s="6">
        <f>(Influent[[#This Row],[NH4-N (mg L-1)]]*stableLTP[ARE 
(%)])*24/stableLTP[[#This Row],[HRT 
(h)]]/1000</f>
        <v>0.20923371569767968</v>
      </c>
      <c r="AK85" s="6">
        <f>Influent[[#This Row],[TN (mg L-1)]]/stableLTP[[#This Row],[HRT 
(h)]]*24/1000</f>
        <v>0.25631561741922104</v>
      </c>
      <c r="AL85" s="6">
        <f>(Influent[[#This Row],[NH4-N (mg L-1)]])*stableLTP[NRE 
(%)]/stableLTP[[#This Row],[HRT 
(h)]]*24/1000</f>
        <v>9.974460958925821E-2</v>
      </c>
      <c r="AM85" s="26">
        <f>1-(stableLTP[[#This Row],[NH4-N 
(mg L-1)]]/Influent[[#This Row],[NH4-N (mg L-1)]])</f>
        <v>0.81642854610557669</v>
      </c>
      <c r="AN85" s="26">
        <f>1-(stableLTP[[#This Row],[TN 
(mg L-1)]]/Influent[[#This Row],[TN (mg L-1)]])</f>
        <v>0.38920279323668061</v>
      </c>
    </row>
    <row r="86" spans="1:40" x14ac:dyDescent="0.3">
      <c r="A86" s="128">
        <v>43409</v>
      </c>
      <c r="B86" s="29">
        <v>83</v>
      </c>
      <c r="C86" s="29">
        <v>403</v>
      </c>
      <c r="D86" s="28">
        <f>24/(stableLTP[[#This Row],[Cycle duration 
(h)]]+2)</f>
        <v>4</v>
      </c>
      <c r="E86" s="28">
        <v>4</v>
      </c>
      <c r="F86" s="42">
        <f>Information!$R$61/(stableLTP[Flow 
(m3 d-1)]/24*stableLTP[[#This Row],[Cycles per day]]*stableLTP[[#This Row],[Cycle duration 
(h)]])*24</f>
        <v>132.07622828784119</v>
      </c>
      <c r="G86" s="42">
        <f>stableLTP[[#This Row],[Flow 
(m3 d-1)]]*0.2</f>
        <v>80.600000000000009</v>
      </c>
      <c r="H86" s="42">
        <f>Information!$R$61*stableLTP[[#This Row],[TSS  
(mg L-1)]]/(stableLTP[[#This Row],[Flow 
(m3 d-1)]]*stableLTP[[#This Row],[TSS  
(mg L-1)]])</f>
        <v>3.6687841191066997</v>
      </c>
      <c r="I86" s="27">
        <v>26.13</v>
      </c>
      <c r="J86" s="27">
        <v>7.36</v>
      </c>
      <c r="K86" s="27">
        <v>3.5</v>
      </c>
      <c r="L86" s="27">
        <v>60.2</v>
      </c>
      <c r="M86" s="27"/>
      <c r="N86" s="27"/>
      <c r="O86" s="29">
        <v>12275</v>
      </c>
      <c r="P86" s="29">
        <f>stableLTP[[#This Row],[COD 
(mg L-1)]]*Information!$AK$44</f>
        <v>3314.25</v>
      </c>
      <c r="Q86" s="29">
        <v>1131</v>
      </c>
      <c r="R86" s="29">
        <v>8.6999999999999993</v>
      </c>
      <c r="S86" s="29">
        <v>10000</v>
      </c>
      <c r="U86" s="29">
        <v>13.71</v>
      </c>
      <c r="V86" s="29">
        <v>489.6</v>
      </c>
      <c r="Z86" s="29">
        <v>374.74</v>
      </c>
      <c r="AA86" s="29">
        <v>454.5</v>
      </c>
      <c r="AB86" s="6">
        <f>IF(stableLTP[[#This Row],[TON 
(mg L-1)]]-stableLTP[[#This Row],[NO2-N 
(mg L-1)]]&lt;0,0.2,stableLTP[[#This Row],[TON 
(mg L-1)]]-stableLTP[[#This Row],[NO2-N 
(mg L-1)]])</f>
        <v>35.100000000000023</v>
      </c>
      <c r="AC86" s="4">
        <f>SUM(stableLTP[[#This Row],[NH4-N 
(mg L-1)]:[NO3-N 
(mg L-1)]])</f>
        <v>864.34</v>
      </c>
      <c r="AD86" s="21">
        <f>stableLTP[[#This Row],[NO3-N 
(mg L-1)]]/(Influent[[#This Row],[NH4-N (mg L-1)]]-stableLTP[[#This Row],[NH4-N 
(mg L-1)]])</f>
        <v>3.8820562732259797E-2</v>
      </c>
      <c r="AE86" s="6">
        <f>stableLTP[[#This Row],[NO2-N 
(mg L-1)]]/(Influent[[#This Row],[NH4-N (mg L-1)]]-stableLTP[[#This Row],[NH4-N 
(mg L-1)]])</f>
        <v>0.5026765174305432</v>
      </c>
      <c r="AF86" s="20">
        <f>46/14*stableLTP[[#This Row],[NO2-N 
(mg L-1)]]/(EXP(-2300/(273+stableLTP[[#This Row],[Temp. 
(°C)]]))*10^stableLTP[[#This Row],[pHreactor]])</f>
        <v>0.14237659709522513</v>
      </c>
      <c r="AG86" s="19">
        <f>17/14*(stableLTP[[#This Row],[NH4-N 
(mg L-1)]]*10^stableLTP[[#This Row],[pHreactor]])/(EXP(6344/(273+stableLTP[[#This Row],[Temp. 
(°C)]]))+10^stableLTP[[#This Row],[pHreactor]])</f>
        <v>6.32959847220787</v>
      </c>
      <c r="AH86" s="20">
        <f>Influent[[#This Row],[sCOD (mg L-1)]]/stableLTP[[#This Row],[HRT 
(h)]]*24/1000</f>
        <v>0.41866731596461326</v>
      </c>
      <c r="AI86" s="6"/>
      <c r="AJ86" s="6">
        <f>(Influent[[#This Row],[NH4-N (mg L-1)]]*stableLTP[ARE 
(%)])*24/stableLTP[[#This Row],[HRT 
(h)]]/1000</f>
        <v>0.16429784739694653</v>
      </c>
      <c r="AK86" s="6">
        <f>Influent[[#This Row],[TN (mg L-1)]]/stableLTP[[#This Row],[HRT 
(h)]]*24/1000</f>
        <v>0.23242941139337536</v>
      </c>
      <c r="AL86" s="6">
        <f>(Influent[[#This Row],[NH4-N (mg L-1)]])*stableLTP[NRE 
(%)]/stableLTP[[#This Row],[HRT 
(h)]]*24/1000</f>
        <v>7.5355600963517858E-2</v>
      </c>
      <c r="AM86" s="26">
        <f>1-(stableLTP[[#This Row],[NH4-N 
(mg L-1)]]/Influent[[#This Row],[NH4-N (mg L-1)]])</f>
        <v>0.70698256314019869</v>
      </c>
      <c r="AN86" s="26">
        <f>1-(stableLTP[[#This Row],[TN 
(mg L-1)]]/Influent[[#This Row],[TN (mg L-1)]])</f>
        <v>0.32425924478148704</v>
      </c>
    </row>
    <row r="87" spans="1:40" x14ac:dyDescent="0.3">
      <c r="A87" s="128">
        <v>43410</v>
      </c>
      <c r="B87" s="29">
        <v>84</v>
      </c>
      <c r="C87" s="29">
        <v>324.3</v>
      </c>
      <c r="D87" s="28">
        <f>24/(stableLTP[[#This Row],[Cycle duration 
(h)]]+2)</f>
        <v>4</v>
      </c>
      <c r="E87" s="28">
        <v>4</v>
      </c>
      <c r="F87" s="42">
        <f>Information!$R$61/(stableLTP[Flow 
(m3 d-1)]/24*stableLTP[[#This Row],[Cycles per day]]*stableLTP[[#This Row],[Cycle duration 
(h)]])*24</f>
        <v>164.12802960222015</v>
      </c>
      <c r="G87" s="42">
        <f>stableLTP[[#This Row],[Flow 
(m3 d-1)]]*0.2</f>
        <v>64.86</v>
      </c>
      <c r="H87" s="42">
        <f>Information!$R$61*stableLTP[[#This Row],[TSS  
(mg L-1)]]/(stableLTP[[#This Row],[Flow 
(m3 d-1)]]*stableLTP[[#This Row],[TSS  
(mg L-1)]])</f>
        <v>4.5591119333950045</v>
      </c>
      <c r="I87" s="27">
        <v>26.69</v>
      </c>
      <c r="J87" s="27">
        <v>7.48</v>
      </c>
      <c r="K87" s="27">
        <v>3.5</v>
      </c>
      <c r="L87" s="27">
        <v>58.3</v>
      </c>
      <c r="M87" s="27"/>
      <c r="N87" s="27"/>
      <c r="O87" s="29">
        <v>19925</v>
      </c>
      <c r="P87" s="29">
        <f>stableLTP[[#This Row],[COD 
(mg L-1)]]*Information!$AK$44</f>
        <v>5379.75</v>
      </c>
      <c r="Q87" s="29">
        <v>2477</v>
      </c>
      <c r="R87" s="29">
        <v>9</v>
      </c>
      <c r="S87" s="29">
        <v>18640</v>
      </c>
      <c r="U87" s="29">
        <v>20.77</v>
      </c>
      <c r="V87" s="29">
        <v>416.4</v>
      </c>
      <c r="Z87" s="29">
        <v>308.5</v>
      </c>
      <c r="AA87" s="29">
        <v>403.04</v>
      </c>
      <c r="AB87" s="6">
        <f>IF(stableLTP[[#This Row],[TON 
(mg L-1)]]-stableLTP[[#This Row],[NO2-N 
(mg L-1)]]&lt;0,0.2,stableLTP[[#This Row],[TON 
(mg L-1)]]-stableLTP[[#This Row],[NO2-N 
(mg L-1)]])</f>
        <v>13.359999999999957</v>
      </c>
      <c r="AC87" s="4">
        <f>SUM(stableLTP[[#This Row],[NH4-N 
(mg L-1)]:[NO3-N 
(mg L-1)]])</f>
        <v>724.89999999999986</v>
      </c>
      <c r="AD87" s="21">
        <f>stableLTP[[#This Row],[NO3-N 
(mg L-1)]]/(Influent[[#This Row],[NH4-N (mg L-1)]]-stableLTP[[#This Row],[NH4-N 
(mg L-1)]])</f>
        <v>1.4509122502171979E-2</v>
      </c>
      <c r="AE87" s="6">
        <f>stableLTP[[#This Row],[NO2-N 
(mg L-1)]]/(Influent[[#This Row],[NH4-N (mg L-1)]]-stableLTP[[#This Row],[NH4-N 
(mg L-1)]])</f>
        <v>0.43770634231103395</v>
      </c>
      <c r="AF87" s="20">
        <f>46/14*stableLTP[[#This Row],[NO2-N 
(mg L-1)]]/(EXP(-2300/(273+stableLTP[[#This Row],[Temp. 
(°C)]]))*10^stableLTP[[#This Row],[pHreactor]])</f>
        <v>9.4408937588863109E-2</v>
      </c>
      <c r="AG87" s="19">
        <f>17/14*(stableLTP[[#This Row],[NH4-N 
(mg L-1)]]*10^stableLTP[[#This Row],[pHreactor]])/(EXP(6344/(273+stableLTP[[#This Row],[Temp. 
(°C)]]))+10^stableLTP[[#This Row],[pHreactor]])</f>
        <v>7.110062568901296</v>
      </c>
      <c r="AH87" s="20">
        <f>Influent[[#This Row],[sCOD (mg L-1)]]/stableLTP[[#This Row],[HRT 
(h)]]*24/1000</f>
        <v>0.32637935232529836</v>
      </c>
      <c r="AI87" s="6"/>
      <c r="AJ87" s="6">
        <f>(Influent[[#This Row],[NH4-N (mg L-1)]]*stableLTP[ARE 
(%)])*24/stableLTP[[#This Row],[HRT 
(h)]]/1000</f>
        <v>0.13464610556502446</v>
      </c>
      <c r="AK87" s="6">
        <f>Influent[[#This Row],[TN (mg L-1)]]/stableLTP[[#This Row],[HRT 
(h)]]*24/1000</f>
        <v>0.17978647566485406</v>
      </c>
      <c r="AL87" s="6">
        <f>(Influent[[#This Row],[NH4-N (mg L-1)]])*stableLTP[NRE 
(%)]/stableLTP[[#This Row],[HRT 
(h)]]*24/1000</f>
        <v>7.3774297161872893E-2</v>
      </c>
      <c r="AM87" s="26">
        <f>1-(stableLTP[[#This Row],[NH4-N 
(mg L-1)]]/Influent[[#This Row],[NH4-N (mg L-1)]])</f>
        <v>0.74904417147970381</v>
      </c>
      <c r="AN87" s="26">
        <f>1-(stableLTP[[#This Row],[TN 
(mg L-1)]]/Influent[[#This Row],[TN (mg L-1)]])</f>
        <v>0.41041073607157397</v>
      </c>
    </row>
    <row r="88" spans="1:40" x14ac:dyDescent="0.3">
      <c r="A88" s="128">
        <v>43411</v>
      </c>
      <c r="B88" s="29">
        <v>85</v>
      </c>
      <c r="C88" s="29">
        <v>295.10000000000002</v>
      </c>
      <c r="D88" s="28">
        <f>24/(stableLTP[[#This Row],[Cycle duration 
(h)]]+2)</f>
        <v>4</v>
      </c>
      <c r="E88" s="28">
        <v>4</v>
      </c>
      <c r="F88" s="42">
        <f>Information!$R$61/(stableLTP[Flow 
(m3 d-1)]/24*stableLTP[[#This Row],[Cycles per day]]*stableLTP[[#This Row],[Cycle duration 
(h)]])*24</f>
        <v>180.36841748559809</v>
      </c>
      <c r="G88" s="42">
        <f>stableLTP[[#This Row],[Flow 
(m3 d-1)]]*0.2</f>
        <v>59.02000000000001</v>
      </c>
      <c r="H88" s="42">
        <f>Information!$R$61*stableLTP[[#This Row],[TSS  
(mg L-1)]]/(stableLTP[[#This Row],[Flow 
(m3 d-1)]]*stableLTP[[#This Row],[TSS  
(mg L-1)]])</f>
        <v>5.0102338190443909</v>
      </c>
      <c r="I88" s="27">
        <v>27.07</v>
      </c>
      <c r="J88" s="27">
        <v>7.36</v>
      </c>
      <c r="K88" s="27">
        <v>3.5</v>
      </c>
      <c r="L88" s="27">
        <v>55.92</v>
      </c>
      <c r="M88" s="27"/>
      <c r="N88" s="27"/>
      <c r="O88" s="29">
        <v>12725</v>
      </c>
      <c r="P88" s="29">
        <f>stableLTP[[#This Row],[COD 
(mg L-1)]]*Information!$AK$44</f>
        <v>3435.75</v>
      </c>
      <c r="Q88" s="29">
        <v>990</v>
      </c>
      <c r="R88" s="29">
        <v>8.5</v>
      </c>
      <c r="S88" s="29">
        <v>11260</v>
      </c>
      <c r="U88" s="29">
        <v>14.23</v>
      </c>
      <c r="V88" s="29">
        <v>711.6</v>
      </c>
      <c r="Z88" s="29">
        <v>175.47</v>
      </c>
      <c r="AA88" s="29">
        <v>699.26</v>
      </c>
      <c r="AB88" s="6">
        <f>IF(stableLTP[[#This Row],[TON 
(mg L-1)]]-stableLTP[[#This Row],[NO2-N 
(mg L-1)]]&lt;0,0.2,stableLTP[[#This Row],[TON 
(mg L-1)]]-stableLTP[[#This Row],[NO2-N 
(mg L-1)]])</f>
        <v>12.340000000000032</v>
      </c>
      <c r="AC88" s="4">
        <f>SUM(stableLTP[[#This Row],[NH4-N 
(mg L-1)]:[NO3-N 
(mg L-1)]])</f>
        <v>887.07</v>
      </c>
      <c r="AD88" s="21">
        <f>stableLTP[[#This Row],[NO3-N 
(mg L-1)]]/(Influent[[#This Row],[NH4-N (mg L-1)]]-stableLTP[[#This Row],[NH4-N 
(mg L-1)]])</f>
        <v>1.1503360584676509E-2</v>
      </c>
      <c r="AE88" s="6">
        <f>stableLTP[[#This Row],[NO2-N 
(mg L-1)]]/(Influent[[#This Row],[NH4-N (mg L-1)]]-stableLTP[[#This Row],[NH4-N 
(mg L-1)]])</f>
        <v>0.65185088512486833</v>
      </c>
      <c r="AF88" s="20">
        <f>46/14*stableLTP[[#This Row],[NO2-N 
(mg L-1)]]/(EXP(-2300/(273+stableLTP[[#This Row],[Temp. 
(°C)]]))*10^stableLTP[[#This Row],[pHreactor]])</f>
        <v>0.21383696727710103</v>
      </c>
      <c r="AG88" s="19">
        <f>17/14*(stableLTP[[#This Row],[NH4-N 
(mg L-1)]]*10^stableLTP[[#This Row],[pHreactor]])/(EXP(6344/(273+stableLTP[[#This Row],[Temp. 
(°C)]]))+10^stableLTP[[#This Row],[pHreactor]])</f>
        <v>3.1643704892378088</v>
      </c>
      <c r="AH88" s="20">
        <f>Influent[[#This Row],[sCOD (mg L-1)]]/stableLTP[[#This Row],[HRT 
(h)]]*24/1000</f>
        <v>0.28022644265887514</v>
      </c>
      <c r="AI88" s="6"/>
      <c r="AJ88" s="6">
        <f>(Influent[[#This Row],[NH4-N (mg L-1)]]*stableLTP[ARE 
(%)])*24/stableLTP[[#This Row],[HRT 
(h)]]/1000</f>
        <v>0.14273851464076689</v>
      </c>
      <c r="AK88" s="6">
        <f>Influent[[#This Row],[TN (mg L-1)]]/stableLTP[[#This Row],[HRT 
(h)]]*24/1000</f>
        <v>0.16611333856378907</v>
      </c>
      <c r="AL88" s="6">
        <f>(Influent[[#This Row],[NH4-N (mg L-1)]])*stableLTP[NRE 
(%)]/stableLTP[[#This Row],[HRT 
(h)]]*24/1000</f>
        <v>4.8071224637799462E-2</v>
      </c>
      <c r="AM88" s="26">
        <f>1-(stableLTP[[#This Row],[NH4-N 
(mg L-1)]]/Influent[[#This Row],[NH4-N (mg L-1)]])</f>
        <v>0.85942156705656148</v>
      </c>
      <c r="AN88" s="26">
        <f>1-(stableLTP[[#This Row],[TN 
(mg L-1)]]/Influent[[#This Row],[TN (mg L-1)]])</f>
        <v>0.28943447612944573</v>
      </c>
    </row>
    <row r="89" spans="1:40" x14ac:dyDescent="0.3">
      <c r="A89" s="128">
        <v>43412</v>
      </c>
      <c r="B89" s="29">
        <v>86</v>
      </c>
      <c r="C89" s="29">
        <v>282.3</v>
      </c>
      <c r="D89" s="28">
        <f>24/(stableLTP[[#This Row],[Cycle duration 
(h)]]+2)</f>
        <v>4</v>
      </c>
      <c r="E89" s="28">
        <v>4</v>
      </c>
      <c r="F89" s="42">
        <f>Information!$R$61/(stableLTP[Flow 
(m3 d-1)]/24*stableLTP[[#This Row],[Cycles per day]]*stableLTP[[#This Row],[Cycle duration 
(h)]])*24</f>
        <v>188.54665249734325</v>
      </c>
      <c r="G89" s="42">
        <f>stableLTP[[#This Row],[Flow 
(m3 d-1)]]*0.2</f>
        <v>56.460000000000008</v>
      </c>
      <c r="H89" s="42"/>
      <c r="I89" s="27">
        <v>26.09</v>
      </c>
      <c r="J89" s="27">
        <v>7.46</v>
      </c>
      <c r="K89" s="27">
        <v>3.5</v>
      </c>
      <c r="L89" s="27">
        <v>52.83</v>
      </c>
      <c r="M89" s="27"/>
      <c r="N89" s="27"/>
      <c r="O89" s="29">
        <v>9825</v>
      </c>
      <c r="P89" s="29">
        <f>stableLTP[[#This Row],[COD 
(mg L-1)]]*Information!$AK$44</f>
        <v>2652.75</v>
      </c>
      <c r="Q89" s="29">
        <v>1411</v>
      </c>
      <c r="R89" s="29">
        <v>8.3000000000000007</v>
      </c>
      <c r="U89" s="29">
        <v>11.72</v>
      </c>
      <c r="V89" s="29">
        <v>41.8</v>
      </c>
      <c r="W89" s="6"/>
      <c r="X89" s="20"/>
      <c r="Y89" s="6"/>
      <c r="Z89" s="29">
        <v>104.01</v>
      </c>
      <c r="AA89" s="29">
        <v>905.16</v>
      </c>
      <c r="AB89" s="6">
        <f>IF(stableLTP[[#This Row],[TON 
(mg L-1)]]-stableLTP[[#This Row],[NO2-N 
(mg L-1)]]&lt;0,0.2,stableLTP[[#This Row],[TON 
(mg L-1)]]-stableLTP[[#This Row],[NO2-N 
(mg L-1)]])</f>
        <v>0.2</v>
      </c>
      <c r="AC89" s="4">
        <f>SUM(stableLTP[[#This Row],[NH4-N 
(mg L-1)]:[NO3-N 
(mg L-1)]])</f>
        <v>1009.37</v>
      </c>
      <c r="AD89" s="21">
        <f>stableLTP[[#This Row],[NO3-N 
(mg L-1)]]/(Influent[[#This Row],[NH4-N (mg L-1)]]-stableLTP[[#This Row],[NH4-N 
(mg L-1)]])</f>
        <v>1.9007973845027988E-4</v>
      </c>
      <c r="AE89" s="6">
        <f>stableLTP[[#This Row],[NO2-N 
(mg L-1)]]/(Influent[[#This Row],[NH4-N (mg L-1)]]-stableLTP[[#This Row],[NH4-N 
(mg L-1)]])</f>
        <v>0.86026288027827669</v>
      </c>
      <c r="AF89" s="20">
        <f>46/14*stableLTP[[#This Row],[NO2-N 
(mg L-1)]]/(EXP(-2300/(273+stableLTP[[#This Row],[Temp. 
(°C)]]))*10^stableLTP[[#This Row],[pHreactor]])</f>
        <v>0.22546371896171963</v>
      </c>
      <c r="AG89" s="19">
        <f>17/14*(stableLTP[[#This Row],[NH4-N 
(mg L-1)]]*10^stableLTP[[#This Row],[pHreactor]])/(EXP(6344/(273+stableLTP[[#This Row],[Temp. 
(°C)]]))+10^stableLTP[[#This Row],[pHreactor]])</f>
        <v>2.1976042794732717</v>
      </c>
      <c r="AH89" s="20">
        <f>Influent[[#This Row],[sCOD (mg L-1)]]/stableLTP[[#This Row],[HRT 
(h)]]*24/1000</f>
        <v>0.24229547114682251</v>
      </c>
      <c r="AI89" s="6"/>
      <c r="AJ89" s="6">
        <f>(Influent[[#This Row],[NH4-N (mg L-1)]]*stableLTP[ARE 
(%)])*24/stableLTP[[#This Row],[HRT 
(h)]]/1000</f>
        <v>0.1339326880934989</v>
      </c>
      <c r="AK89" s="6">
        <f>Influent[[#This Row],[TN (mg L-1)]]/stableLTP[[#This Row],[HRT 
(h)]]*24/1000</f>
        <v>0.14741391391391395</v>
      </c>
      <c r="AL89" s="6">
        <f>(Influent[[#This Row],[NH4-N (mg L-1)]])*stableLTP[NRE 
(%)]/stableLTP[[#This Row],[HRT 
(h)]]*24/1000</f>
        <v>1.8900700347252615E-2</v>
      </c>
      <c r="AM89" s="26">
        <f>1-(stableLTP[[#This Row],[NH4-N 
(mg L-1)]]/Influent[[#This Row],[NH4-N (mg L-1)]])</f>
        <v>0.91004151530877009</v>
      </c>
      <c r="AN89" s="26">
        <f>1-(stableLTP[[#This Row],[TN 
(mg L-1)]]/Influent[[#This Row],[TN (mg L-1)]])</f>
        <v>0.12842586995941641</v>
      </c>
    </row>
    <row r="90" spans="1:40" x14ac:dyDescent="0.3">
      <c r="A90" s="128">
        <v>43413</v>
      </c>
      <c r="B90" s="29">
        <v>87</v>
      </c>
      <c r="C90" s="29">
        <v>448.2</v>
      </c>
      <c r="D90" s="28">
        <f>24/(stableLTP[[#This Row],[Cycle duration 
(h)]]+2)</f>
        <v>4</v>
      </c>
      <c r="E90" s="28">
        <v>4</v>
      </c>
      <c r="F90" s="42">
        <f>Information!$R$61/(stableLTP[Flow 
(m3 d-1)]/24*stableLTP[[#This Row],[Cycles per day]]*stableLTP[[#This Row],[Cycle duration 
(h)]])*24</f>
        <v>118.75662650602411</v>
      </c>
      <c r="G90" s="42">
        <f>stableLTP[[#This Row],[Flow 
(m3 d-1)]]*0.2</f>
        <v>89.64</v>
      </c>
      <c r="H90" s="42"/>
      <c r="I90" s="27">
        <v>25.57</v>
      </c>
      <c r="J90" s="27">
        <v>7.76</v>
      </c>
      <c r="K90" s="27">
        <v>3.5</v>
      </c>
      <c r="L90" s="27">
        <v>51.65</v>
      </c>
      <c r="M90" s="27"/>
      <c r="N90" s="27"/>
      <c r="O90" s="29">
        <v>11950</v>
      </c>
      <c r="P90" s="29">
        <f>stableLTP[[#This Row],[COD 
(mg L-1)]]*Information!$AK$44</f>
        <v>3226.5</v>
      </c>
      <c r="Q90" s="29">
        <v>1319</v>
      </c>
      <c r="R90" s="29">
        <v>8.1999999999999993</v>
      </c>
      <c r="U90" s="29">
        <v>13.06</v>
      </c>
      <c r="V90" s="29">
        <v>40.299999999999997</v>
      </c>
      <c r="W90" s="6"/>
      <c r="X90" s="20"/>
      <c r="Y90" s="6"/>
      <c r="Z90" s="29">
        <v>64.5</v>
      </c>
      <c r="AA90" s="29">
        <v>911.08</v>
      </c>
      <c r="AB90" s="6">
        <f>IF(stableLTP[[#This Row],[TON 
(mg L-1)]]-stableLTP[[#This Row],[NO2-N 
(mg L-1)]]&lt;0,0.2,stableLTP[[#This Row],[TON 
(mg L-1)]]-stableLTP[[#This Row],[NO2-N 
(mg L-1)]])</f>
        <v>0.2</v>
      </c>
      <c r="AC90" s="4">
        <f>SUM(stableLTP[[#This Row],[NH4-N 
(mg L-1)]:[NO3-N 
(mg L-1)]])</f>
        <v>975.78000000000009</v>
      </c>
      <c r="AD90" s="21">
        <f>stableLTP[[#This Row],[NO3-N 
(mg L-1)]]/(Influent[[#This Row],[NH4-N (mg L-1)]]-stableLTP[[#This Row],[NH4-N 
(mg L-1)]])</f>
        <v>1.6329196603527107E-4</v>
      </c>
      <c r="AE90" s="6">
        <f>stableLTP[[#This Row],[NO2-N 
(mg L-1)]]/(Influent[[#This Row],[NH4-N (mg L-1)]]-stableLTP[[#This Row],[NH4-N 
(mg L-1)]])</f>
        <v>0.74386022207707392</v>
      </c>
      <c r="AF90" s="20">
        <f>46/14*stableLTP[[#This Row],[NO2-N 
(mg L-1)]]/(EXP(-2300/(273+stableLTP[[#This Row],[Temp. 
(°C)]]))*10^stableLTP[[#This Row],[pHreactor]])</f>
        <v>0.11527215224983098</v>
      </c>
      <c r="AG90" s="19">
        <f>17/14*(stableLTP[[#This Row],[NH4-N 
(mg L-1)]]*10^stableLTP[[#This Row],[pHreactor]])/(EXP(6344/(273+stableLTP[[#This Row],[Temp. 
(°C)]]))+10^stableLTP[[#This Row],[pHreactor]])</f>
        <v>2.5791210315971389</v>
      </c>
      <c r="AH90" s="20">
        <f>Influent[[#This Row],[sCOD (mg L-1)]]/stableLTP[[#This Row],[HRT 
(h)]]*24/1000</f>
        <v>0.39196128560993421</v>
      </c>
      <c r="AI90" s="6"/>
      <c r="AJ90" s="6">
        <f>(Influent[[#This Row],[NH4-N (mg L-1)]]*stableLTP[ARE 
(%)])*24/stableLTP[[#This Row],[HRT 
(h)]]/1000</f>
        <v>0.24752471390309225</v>
      </c>
      <c r="AK90" s="6">
        <f>Influent[[#This Row],[TN (mg L-1)]]/stableLTP[[#This Row],[HRT 
(h)]]*24/1000</f>
        <v>0.26868395422449476</v>
      </c>
      <c r="AL90" s="6">
        <f>(Influent[[#This Row],[NH4-N (mg L-1)]])*stableLTP[NRE 
(%)]/stableLTP[[#This Row],[HRT 
(h)]]*24/1000</f>
        <v>6.9323207193654701E-2</v>
      </c>
      <c r="AM90" s="26">
        <f>1-(stableLTP[[#This Row],[NH4-N 
(mg L-1)]]/Influent[[#This Row],[NH4-N (mg L-1)]])</f>
        <v>0.94997285348638794</v>
      </c>
      <c r="AN90" s="26">
        <f>1-(stableLTP[[#This Row],[TN 
(mg L-1)]]/Influent[[#This Row],[TN (mg L-1)]])</f>
        <v>0.26605490786009767</v>
      </c>
    </row>
    <row r="91" spans="1:40" x14ac:dyDescent="0.3">
      <c r="A91" s="128">
        <v>43414</v>
      </c>
      <c r="B91" s="29">
        <v>88</v>
      </c>
      <c r="C91" s="29">
        <v>470.2</v>
      </c>
      <c r="D91" s="28">
        <f>24/(stableLTP[[#This Row],[Cycle duration 
(h)]]+2)</f>
        <v>4</v>
      </c>
      <c r="E91" s="28">
        <v>4</v>
      </c>
      <c r="F91" s="42">
        <f>Information!$R$61/(stableLTP[Flow 
(m3 d-1)]/24*stableLTP[[#This Row],[Cycles per day]]*stableLTP[[#This Row],[Cycle duration 
(h)]])*24</f>
        <v>113.20017014036583</v>
      </c>
      <c r="G91" s="42">
        <f>stableLTP[[#This Row],[Flow 
(m3 d-1)]]*0.2</f>
        <v>94.04</v>
      </c>
      <c r="H91" s="42"/>
      <c r="I91" s="27">
        <v>25.51</v>
      </c>
      <c r="J91" s="27">
        <v>7.82</v>
      </c>
      <c r="K91" s="27">
        <v>3.5</v>
      </c>
      <c r="L91" s="27">
        <v>68.84</v>
      </c>
      <c r="M91" s="27"/>
      <c r="N91" s="27"/>
      <c r="O91" s="29">
        <v>12650</v>
      </c>
      <c r="P91" s="29">
        <f>stableLTP[[#This Row],[COD 
(mg L-1)]]*Information!$AK$44</f>
        <v>3415.5</v>
      </c>
      <c r="Q91" s="29">
        <v>1020</v>
      </c>
      <c r="R91" s="29">
        <v>8.1</v>
      </c>
      <c r="U91" s="29">
        <v>13.35</v>
      </c>
      <c r="V91" s="29">
        <v>45.2</v>
      </c>
      <c r="W91" s="6"/>
      <c r="X91" s="20"/>
      <c r="Y91" s="6"/>
      <c r="Z91" s="29">
        <v>141.1</v>
      </c>
      <c r="AA91" s="29">
        <v>830.43</v>
      </c>
      <c r="AB91" s="6">
        <f>IF(stableLTP[[#This Row],[TON 
(mg L-1)]]-stableLTP[[#This Row],[NO2-N 
(mg L-1)]]&lt;0,0.2,stableLTP[[#This Row],[TON 
(mg L-1)]]-stableLTP[[#This Row],[NO2-N 
(mg L-1)]])</f>
        <v>0.2</v>
      </c>
      <c r="AC91" s="4">
        <f>SUM(stableLTP[[#This Row],[NH4-N 
(mg L-1)]:[NO3-N 
(mg L-1)]])</f>
        <v>971.73</v>
      </c>
      <c r="AD91" s="21">
        <f>stableLTP[[#This Row],[NO3-N 
(mg L-1)]]/(Influent[[#This Row],[NH4-N (mg L-1)]]-stableLTP[[#This Row],[NH4-N 
(mg L-1)]])</f>
        <v>1.7577781683951485E-4</v>
      </c>
      <c r="AE91" s="6">
        <f>stableLTP[[#This Row],[NO2-N 
(mg L-1)]]/(Influent[[#This Row],[NH4-N (mg L-1)]]-stableLTP[[#This Row],[NH4-N 
(mg L-1)]])</f>
        <v>0.72985586219019138</v>
      </c>
      <c r="AF91" s="20">
        <f>46/14*stableLTP[[#This Row],[NO2-N 
(mg L-1)]]/(EXP(-2300/(273+stableLTP[[#This Row],[Temp. 
(°C)]]))*10^stableLTP[[#This Row],[pHreactor]])</f>
        <v>9.1652299650178432E-2</v>
      </c>
      <c r="AG91" s="19">
        <f>17/14*(stableLTP[[#This Row],[NH4-N 
(mg L-1)]]*10^stableLTP[[#This Row],[pHreactor]])/(EXP(6344/(273+stableLTP[[#This Row],[Temp. 
(°C)]]))+10^stableLTP[[#This Row],[pHreactor]])</f>
        <v>6.420077084342684</v>
      </c>
      <c r="AH91" s="20">
        <f>Influent[[#This Row],[sCOD (mg L-1)]]/stableLTP[[#This Row],[HRT 
(h)]]*24/1000</f>
        <v>0.38448705462218968</v>
      </c>
      <c r="AI91" s="6"/>
      <c r="AJ91" s="6">
        <f>(Influent[[#This Row],[NH4-N (mg L-1)]]*stableLTP[ARE 
(%)])*24/stableLTP[[#This Row],[HRT 
(h)]]/1000</f>
        <v>0.24122931940949957</v>
      </c>
      <c r="AK91" s="6">
        <f>Influent[[#This Row],[TN (mg L-1)]]/stableLTP[[#This Row],[HRT 
(h)]]*24/1000</f>
        <v>0.27337061385710032</v>
      </c>
      <c r="AL91" s="6">
        <f>(Influent[[#This Row],[NH4-N (mg L-1)]])*stableLTP[NRE 
(%)]/stableLTP[[#This Row],[HRT 
(h)]]*24/1000</f>
        <v>6.6801972546540744E-2</v>
      </c>
      <c r="AM91" s="26">
        <f>1-(stableLTP[[#This Row],[NH4-N 
(mg L-1)]]/Influent[[#This Row],[NH4-N (mg L-1)]])</f>
        <v>0.88967081085307687</v>
      </c>
      <c r="AN91" s="26">
        <f>1-(stableLTP[[#This Row],[TN 
(mg L-1)]]/Influent[[#This Row],[TN (mg L-1)]])</f>
        <v>0.24637040483946027</v>
      </c>
    </row>
    <row r="92" spans="1:40" x14ac:dyDescent="0.3">
      <c r="A92" s="128">
        <v>43415</v>
      </c>
      <c r="B92" s="29">
        <v>89</v>
      </c>
      <c r="C92" s="29">
        <v>540</v>
      </c>
      <c r="D92" s="28">
        <f>24/(stableLTP[[#This Row],[Cycle duration 
(h)]]+2)</f>
        <v>4</v>
      </c>
      <c r="E92" s="28">
        <v>4</v>
      </c>
      <c r="F92" s="42">
        <f>Information!$R$61/(stableLTP[Flow 
(m3 d-1)]/24*stableLTP[[#This Row],[Cycles per day]]*stableLTP[[#This Row],[Cycle duration 
(h)]])*24</f>
        <v>98.568000000000012</v>
      </c>
      <c r="G92" s="42">
        <f>stableLTP[[#This Row],[Flow 
(m3 d-1)]]*0.2</f>
        <v>108</v>
      </c>
      <c r="H92" s="42"/>
      <c r="I92" s="27">
        <v>25.4</v>
      </c>
      <c r="J92" s="27">
        <v>7.78</v>
      </c>
      <c r="K92" s="27">
        <v>3.5</v>
      </c>
      <c r="L92" s="27">
        <v>67.12</v>
      </c>
      <c r="M92" s="27"/>
      <c r="N92" s="27"/>
      <c r="O92" s="29">
        <v>10425</v>
      </c>
      <c r="P92" s="29">
        <f>stableLTP[[#This Row],[COD 
(mg L-1)]]*Information!$AK$44</f>
        <v>2814.75</v>
      </c>
      <c r="Q92" s="29">
        <v>1056</v>
      </c>
      <c r="R92" s="29">
        <v>8.1999999999999993</v>
      </c>
      <c r="U92" s="29">
        <v>13.61</v>
      </c>
      <c r="V92" s="29">
        <v>45.7</v>
      </c>
      <c r="W92" s="6"/>
      <c r="X92" s="20"/>
      <c r="Y92" s="6"/>
      <c r="Z92" s="29">
        <v>142.07</v>
      </c>
      <c r="AA92" s="29">
        <v>822.83</v>
      </c>
      <c r="AB92" s="6">
        <f>IF(stableLTP[[#This Row],[TON 
(mg L-1)]]-stableLTP[[#This Row],[NO2-N 
(mg L-1)]]&lt;0,0.2,stableLTP[[#This Row],[TON 
(mg L-1)]]-stableLTP[[#This Row],[NO2-N 
(mg L-1)]])</f>
        <v>0.2</v>
      </c>
      <c r="AC92" s="4">
        <f>SUM(stableLTP[[#This Row],[NH4-N 
(mg L-1)]:[NO3-N 
(mg L-1)]])</f>
        <v>965.10000000000014</v>
      </c>
      <c r="AD92" s="21">
        <f>stableLTP[[#This Row],[NO3-N 
(mg L-1)]]/(Influent[[#This Row],[NH4-N (mg L-1)]]-stableLTP[[#This Row],[NH4-N 
(mg L-1)]])</f>
        <v>1.8081057380235594E-4</v>
      </c>
      <c r="AE92" s="6">
        <f>stableLTP[[#This Row],[NO2-N 
(mg L-1)]]/(Influent[[#This Row],[NH4-N (mg L-1)]]-stableLTP[[#This Row],[NH4-N 
(mg L-1)]])</f>
        <v>0.74388182220896271</v>
      </c>
      <c r="AF92" s="20">
        <f>46/14*stableLTP[[#This Row],[NO2-N 
(mg L-1)]]/(EXP(-2300/(273+stableLTP[[#This Row],[Temp. 
(°C)]]))*10^stableLTP[[#This Row],[pHreactor]])</f>
        <v>9.9858255880134111E-2</v>
      </c>
      <c r="AG92" s="19">
        <f>17/14*(stableLTP[[#This Row],[NH4-N 
(mg L-1)]]*10^stableLTP[[#This Row],[pHreactor]])/(EXP(6344/(273+stableLTP[[#This Row],[Temp. 
(°C)]]))+10^stableLTP[[#This Row],[pHreactor]])</f>
        <v>5.8703458907823824</v>
      </c>
      <c r="AH92" s="20">
        <f>Influent[[#This Row],[sCOD (mg L-1)]]/stableLTP[[#This Row],[HRT 
(h)]]*24/1000</f>
        <v>0.44813732651570476</v>
      </c>
      <c r="AI92" s="6"/>
      <c r="AJ92" s="6">
        <f>(Influent[[#This Row],[NH4-N (mg L-1)]]*stableLTP[ARE 
(%)])*24/stableLTP[[#This Row],[HRT 
(h)]]/1000</f>
        <v>0.26932797662527391</v>
      </c>
      <c r="AK92" s="6">
        <f>Influent[[#This Row],[TN (mg L-1)]]/stableLTP[[#This Row],[HRT 
(h)]]*24/1000</f>
        <v>0.31051862673484287</v>
      </c>
      <c r="AL92" s="6">
        <f>(Influent[[#This Row],[NH4-N (mg L-1)]])*stableLTP[NRE 
(%)]/stableLTP[[#This Row],[HRT 
(h)]]*24/1000</f>
        <v>7.392458738850996E-2</v>
      </c>
      <c r="AM92" s="26">
        <f>1-(stableLTP[[#This Row],[NH4-N 
(mg L-1)]]/Influent[[#This Row],[NH4-N (mg L-1)]])</f>
        <v>0.88618009934305397</v>
      </c>
      <c r="AN92" s="26">
        <f>1-(stableLTP[[#This Row],[TN 
(mg L-1)]]/Influent[[#This Row],[TN (mg L-1)]])</f>
        <v>0.24323688543872013</v>
      </c>
    </row>
    <row r="93" spans="1:40" x14ac:dyDescent="0.3">
      <c r="A93" s="128">
        <v>43416</v>
      </c>
      <c r="B93" s="29">
        <v>90</v>
      </c>
      <c r="C93" s="28"/>
      <c r="D93" s="28"/>
      <c r="E93" s="28"/>
      <c r="F93" s="42"/>
      <c r="G93" s="42"/>
      <c r="H93" s="42"/>
      <c r="I93" s="27"/>
      <c r="J93" s="27"/>
      <c r="K93" s="27"/>
      <c r="L93" s="27"/>
      <c r="M93" s="27"/>
      <c r="N93" s="27"/>
      <c r="W93" s="6"/>
      <c r="X93" s="20"/>
      <c r="Y93" s="6"/>
      <c r="AB93" s="6"/>
      <c r="AC93" s="4"/>
      <c r="AD93" s="21"/>
      <c r="AE93" s="6"/>
      <c r="AG93" s="19"/>
      <c r="AH93" s="20"/>
      <c r="AI93" s="6"/>
      <c r="AJ93" s="6"/>
      <c r="AK93" s="6"/>
      <c r="AL93" s="6"/>
      <c r="AM93" s="26"/>
      <c r="AN93" s="26"/>
    </row>
    <row r="95" spans="1:40" x14ac:dyDescent="0.3">
      <c r="AD95" s="21"/>
      <c r="AE95" s="29">
        <f>AVERAGE(stableLTP[NO2-N/ NH4-N ])</f>
        <v>0.78059374631807232</v>
      </c>
      <c r="AF95" s="29">
        <f>COUNT(stableLTP[FNA 
(mg L-1)])</f>
        <v>51</v>
      </c>
      <c r="AG95" s="29">
        <f>COUNT(stableLTP[FA 
(mg L-1)])</f>
        <v>51</v>
      </c>
    </row>
    <row r="96" spans="1:40" x14ac:dyDescent="0.3">
      <c r="Z96" s="29" t="s">
        <v>605</v>
      </c>
      <c r="AA96" s="29">
        <f>(Information!$R$61*AVERAGE(stableLTP[MLSS 
(mg L-1)]))/(AVERAGE(stableLTP[Flow 
(m3 d-1)])*AVERAGE(stableLTP[TSS  
(mg L-1)]))</f>
        <v>2.8830791096392749</v>
      </c>
      <c r="AF96" s="29">
        <v>5</v>
      </c>
      <c r="AG96" s="29">
        <v>10</v>
      </c>
    </row>
    <row r="97" spans="32:33" x14ac:dyDescent="0.3">
      <c r="AF97" s="29">
        <f>AF95-AF96</f>
        <v>46</v>
      </c>
      <c r="AG97" s="29">
        <f>AG95-AG96</f>
        <v>41</v>
      </c>
    </row>
    <row r="98" spans="32:33" x14ac:dyDescent="0.3">
      <c r="AF98" s="21">
        <f>AF97/AF95</f>
        <v>0.90196078431372551</v>
      </c>
      <c r="AG98" s="21">
        <f>AG97/AG95</f>
        <v>0.80392156862745101</v>
      </c>
    </row>
  </sheetData>
  <mergeCells count="2">
    <mergeCell ref="C2:M2"/>
    <mergeCell ref="O2:AC2"/>
  </mergeCells>
  <conditionalFormatting sqref="A4:AN93">
    <cfRule type="cellIs" dxfId="72" priority="3" operator="lessThanOrEqual">
      <formula>0</formula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greaterThanOrEqual" id="{014E34FF-3FE0-4194-A49F-A6AFDF29B436}">
            <xm:f>Information!$E$84</xm:f>
            <x14:dxf>
              <font>
                <b/>
                <i/>
                <color theme="7" tint="-0.499984740745262"/>
              </font>
              <fill>
                <patternFill>
                  <bgColor theme="7" tint="0.79998168889431442"/>
                </patternFill>
              </fill>
            </x14:dxf>
          </x14:cfRule>
          <xm:sqref>AF4:AF93</xm:sqref>
        </x14:conditionalFormatting>
        <x14:conditionalFormatting xmlns:xm="http://schemas.microsoft.com/office/excel/2006/main">
          <x14:cfRule type="cellIs" priority="1" operator="greaterThanOrEqual" id="{36D7C857-CA4A-4B1C-BAC6-8F890219F2DE}">
            <xm:f>Information!$B$83</xm:f>
            <x14:dxf>
              <font>
                <b/>
                <i/>
                <color theme="5" tint="-0.499984740745262"/>
              </font>
              <fill>
                <patternFill>
                  <bgColor theme="5" tint="0.79998168889431442"/>
                </patternFill>
              </fill>
            </x14:dxf>
          </x14:cfRule>
          <xm:sqref>AG4:AG93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79998168889431442"/>
  </sheetPr>
  <dimension ref="A1:W93"/>
  <sheetViews>
    <sheetView zoomScale="70" zoomScaleNormal="70" workbookViewId="0">
      <pane xSplit="2" ySplit="3" topLeftCell="C61" activePane="bottomRight" state="frozen"/>
      <selection activeCell="F26" sqref="F26"/>
      <selection pane="topRight" activeCell="F26" sqref="F26"/>
      <selection pane="bottomLeft" activeCell="F26" sqref="F26"/>
      <selection pane="bottomRight" activeCell="A81" sqref="A81:V84"/>
    </sheetView>
  </sheetViews>
  <sheetFormatPr defaultRowHeight="14.4" x14ac:dyDescent="0.3"/>
  <cols>
    <col min="1" max="1" width="14.88671875" customWidth="1"/>
    <col min="2" max="2" width="14.33203125" customWidth="1"/>
    <col min="3" max="4" width="13.88671875" style="29" customWidth="1"/>
    <col min="5" max="5" width="7.6640625" customWidth="1"/>
    <col min="6" max="6" width="7.6640625" style="29" customWidth="1"/>
    <col min="7" max="7" width="14.33203125" customWidth="1"/>
    <col min="8" max="8" width="10.5546875" bestFit="1" customWidth="1"/>
    <col min="9" max="9" width="7.33203125" customWidth="1"/>
    <col min="10" max="10" width="7.44140625" customWidth="1"/>
    <col min="11" max="11" width="8.109375" customWidth="1"/>
    <col min="12" max="12" width="7.6640625" customWidth="1"/>
    <col min="13" max="13" width="8.5546875" hidden="1" customWidth="1"/>
    <col min="14" max="14" width="7.44140625" hidden="1" customWidth="1"/>
    <col min="15" max="15" width="7.6640625" hidden="1" customWidth="1"/>
    <col min="16" max="16" width="7.88671875" customWidth="1"/>
    <col min="17" max="17" width="9.44140625" customWidth="1"/>
    <col min="18" max="18" width="9.88671875" customWidth="1"/>
    <col min="19" max="19" width="9.109375" customWidth="1"/>
    <col min="20" max="20" width="8.33203125" customWidth="1"/>
    <col min="22" max="22" width="9.109375" style="29"/>
    <col min="23" max="23" width="113.109375" customWidth="1"/>
    <col min="25" max="25" width="7.88671875" customWidth="1"/>
    <col min="27" max="27" width="9.5546875" customWidth="1"/>
    <col min="28" max="28" width="11.44140625" customWidth="1"/>
    <col min="29" max="29" width="56.6640625" customWidth="1"/>
  </cols>
  <sheetData>
    <row r="1" spans="1:23" ht="20.399999999999999" thickBot="1" x14ac:dyDescent="0.45">
      <c r="A1" s="1" t="s">
        <v>245</v>
      </c>
      <c r="B1" s="1"/>
      <c r="C1" s="144"/>
      <c r="D1" s="144"/>
      <c r="E1" s="29"/>
      <c r="H1" s="5"/>
      <c r="I1" s="5"/>
      <c r="M1" s="46"/>
      <c r="N1" s="29"/>
      <c r="O1" s="29"/>
      <c r="P1" s="29"/>
      <c r="Q1" s="29"/>
      <c r="R1" s="46"/>
    </row>
    <row r="2" spans="1:23" ht="15" thickTop="1" x14ac:dyDescent="0.3">
      <c r="B2" t="e">
        <f>AVERAGEIFS(Influent[NH4-N (mg L-1)],Influent[Date],"&gt;=")</f>
        <v>#DIV/0!</v>
      </c>
      <c r="C2" s="333" t="s">
        <v>156</v>
      </c>
      <c r="D2" s="333"/>
      <c r="E2" s="296" t="s">
        <v>145</v>
      </c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"/>
      <c r="U2" s="29"/>
    </row>
    <row r="3" spans="1:23" ht="81.599999999999994" customHeight="1" x14ac:dyDescent="0.3">
      <c r="A3" s="2" t="s">
        <v>1</v>
      </c>
      <c r="B3" s="2" t="s">
        <v>2</v>
      </c>
      <c r="C3" s="79" t="s">
        <v>31</v>
      </c>
      <c r="D3" s="79" t="s">
        <v>22</v>
      </c>
      <c r="E3" s="78" t="s">
        <v>134</v>
      </c>
      <c r="F3" s="78" t="s">
        <v>317</v>
      </c>
      <c r="G3" s="78" t="s">
        <v>154</v>
      </c>
      <c r="H3" s="78" t="s">
        <v>153</v>
      </c>
      <c r="I3" s="78" t="s">
        <v>136</v>
      </c>
      <c r="J3" s="78" t="s">
        <v>137</v>
      </c>
      <c r="K3" s="78" t="s">
        <v>138</v>
      </c>
      <c r="L3" s="78" t="s">
        <v>139</v>
      </c>
      <c r="M3" s="78" t="s">
        <v>140</v>
      </c>
      <c r="N3" s="78" t="s">
        <v>129</v>
      </c>
      <c r="O3" s="78" t="s">
        <v>128</v>
      </c>
      <c r="P3" s="78" t="s">
        <v>141</v>
      </c>
      <c r="Q3" s="78" t="s">
        <v>142</v>
      </c>
      <c r="R3" s="78" t="s">
        <v>143</v>
      </c>
      <c r="S3" s="78" t="s">
        <v>144</v>
      </c>
      <c r="T3" s="76" t="s">
        <v>316</v>
      </c>
      <c r="U3" s="76" t="s">
        <v>155</v>
      </c>
      <c r="V3" s="76" t="s">
        <v>220</v>
      </c>
      <c r="W3" s="77" t="s">
        <v>30</v>
      </c>
    </row>
    <row r="4" spans="1:23" x14ac:dyDescent="0.3">
      <c r="A4" s="128">
        <v>43327</v>
      </c>
      <c r="B4">
        <v>1</v>
      </c>
      <c r="C4" s="19">
        <v>22.65526078114107</v>
      </c>
      <c r="D4" s="19"/>
      <c r="E4" s="29"/>
      <c r="G4" s="29">
        <v>3009</v>
      </c>
      <c r="H4" s="29">
        <v>7.8</v>
      </c>
      <c r="I4" s="29"/>
      <c r="J4" s="29"/>
      <c r="K4" s="29">
        <v>9.83</v>
      </c>
      <c r="L4" s="19">
        <v>0.2</v>
      </c>
      <c r="M4" s="6">
        <f>Influent[[#This Row],[NH4-N (mg L-1)]]*1.288</f>
        <v>1109.0195200000001</v>
      </c>
      <c r="N4" s="6">
        <f>(Influent[[#This Row],[TON (mg L-1)]]-Influent[[#This Row],[NO2- (mg L-1)]])*4.426</f>
        <v>-24.827186695999998</v>
      </c>
      <c r="O4" s="6">
        <f>Influent[[#This Row],[NO2-N (mg L-1)]]*3.284</f>
        <v>5.8093959999999996</v>
      </c>
      <c r="P4" s="29">
        <v>861.04</v>
      </c>
      <c r="Q4" s="29">
        <v>1.7689999999999999</v>
      </c>
      <c r="R4" s="19">
        <f>IF(Influent[[#This Row],[TON (mg L-1)]]-Influent[[#This Row],[NO2-N (mg L-1)]]&lt;0,0.2,Influent[[#This Row],[TON (mg L-1)]]-Influent[[#This Row],[NO2-N (mg L-1)]])</f>
        <v>0.2</v>
      </c>
      <c r="S4" s="6">
        <f>SUM(Influent[[#This Row],[NO3-N (mg L-1)]],Influent[[#This Row],[NO2-N (mg L-1)]],Influent[[#This Row],[NH4-N (mg L-1)]])</f>
        <v>863.00900000000001</v>
      </c>
      <c r="T4" s="19"/>
      <c r="U4" s="19">
        <f>Influent[[#This Row],[Alkalinity (mg CaCO3 L-1) ]]/Influent[[#This Row],[TN (mg L-1)]]</f>
        <v>3.4866380304261022</v>
      </c>
      <c r="V4" s="19"/>
      <c r="W4" t="s">
        <v>525</v>
      </c>
    </row>
    <row r="5" spans="1:23" s="29" customFormat="1" x14ac:dyDescent="0.3">
      <c r="A5" s="128">
        <v>43328</v>
      </c>
      <c r="B5" s="29">
        <v>2</v>
      </c>
      <c r="C5" s="19">
        <v>26.845422607045833</v>
      </c>
      <c r="D5" s="19"/>
      <c r="G5" s="29">
        <v>3924</v>
      </c>
      <c r="H5" s="29">
        <v>8.1</v>
      </c>
      <c r="K5" s="29">
        <v>8.6999999999999993</v>
      </c>
      <c r="L5" s="19">
        <v>0.2</v>
      </c>
      <c r="M5" s="6">
        <f>Influent[[#This Row],[NH4-N (mg L-1)]]*1.288</f>
        <v>1302.1680000000001</v>
      </c>
      <c r="N5" s="6">
        <f>(Influent[[#This Row],[TON (mg L-1)]]-Influent[[#This Row],[NO2- (mg L-1)]])*4.426</f>
        <v>0.76892012800000009</v>
      </c>
      <c r="O5" s="6">
        <f>Influent[[#This Row],[NO2-N (mg L-1)]]*3.284</f>
        <v>2.6272E-2</v>
      </c>
      <c r="P5" s="29">
        <v>1011</v>
      </c>
      <c r="Q5" s="29">
        <v>8.0000000000000002E-3</v>
      </c>
      <c r="R5" s="19">
        <f>IF(Influent[[#This Row],[TON (mg L-1)]]-Influent[[#This Row],[NO2-N (mg L-1)]]&lt;0,0.2,Influent[[#This Row],[TON (mg L-1)]]-Influent[[#This Row],[NO2-N (mg L-1)]])</f>
        <v>0.192</v>
      </c>
      <c r="S5" s="6">
        <f>SUM(Influent[[#This Row],[NO3-N (mg L-1)]],Influent[[#This Row],[NO2-N (mg L-1)]],Influent[[#This Row],[NH4-N (mg L-1)]])</f>
        <v>1011.2</v>
      </c>
      <c r="T5" s="19"/>
      <c r="U5" s="19">
        <f>Influent[[#This Row],[Alkalinity (mg CaCO3 L-1) ]]/Influent[[#This Row],[TN (mg L-1)]]</f>
        <v>3.880537974683544</v>
      </c>
      <c r="V5" s="19"/>
    </row>
    <row r="6" spans="1:23" x14ac:dyDescent="0.3">
      <c r="A6" s="128">
        <v>43329</v>
      </c>
      <c r="B6" s="29">
        <v>3</v>
      </c>
      <c r="D6" s="19"/>
      <c r="G6" s="22"/>
      <c r="K6" s="6"/>
      <c r="L6" s="19"/>
      <c r="M6" s="6"/>
      <c r="N6" s="6"/>
      <c r="O6" s="6"/>
      <c r="P6" s="6"/>
      <c r="Q6" s="20"/>
      <c r="R6" s="19"/>
      <c r="S6" s="6"/>
      <c r="T6" s="19"/>
      <c r="U6" s="19"/>
      <c r="V6" s="19"/>
    </row>
    <row r="7" spans="1:23" x14ac:dyDescent="0.3">
      <c r="A7" s="128">
        <v>43330</v>
      </c>
      <c r="B7" s="29">
        <v>4</v>
      </c>
      <c r="D7" s="19"/>
      <c r="G7" s="22"/>
      <c r="K7" s="6"/>
      <c r="L7" s="19"/>
      <c r="M7" s="6"/>
      <c r="N7" s="6"/>
      <c r="O7" s="6"/>
      <c r="P7" s="6"/>
      <c r="Q7" s="20"/>
      <c r="R7" s="19"/>
      <c r="S7" s="6"/>
      <c r="T7" s="19"/>
      <c r="U7" s="19"/>
      <c r="V7" s="19"/>
    </row>
    <row r="8" spans="1:23" x14ac:dyDescent="0.3">
      <c r="A8" s="128">
        <v>43331</v>
      </c>
      <c r="B8" s="29">
        <v>5</v>
      </c>
      <c r="D8" s="19"/>
      <c r="G8" s="22"/>
      <c r="K8" s="6"/>
      <c r="L8" s="19"/>
      <c r="M8" s="6"/>
      <c r="N8" s="6"/>
      <c r="O8" s="6"/>
      <c r="P8" s="6"/>
      <c r="Q8" s="20"/>
      <c r="R8" s="19"/>
      <c r="S8" s="6"/>
      <c r="T8" s="19"/>
      <c r="U8" s="19"/>
      <c r="V8" s="19"/>
    </row>
    <row r="9" spans="1:23" x14ac:dyDescent="0.3">
      <c r="A9" s="128">
        <v>43332</v>
      </c>
      <c r="B9" s="29">
        <v>6</v>
      </c>
      <c r="D9" s="19"/>
      <c r="G9" s="22"/>
      <c r="K9" s="6"/>
      <c r="L9" s="19"/>
      <c r="M9" s="6"/>
      <c r="N9" s="6"/>
      <c r="O9" s="6"/>
      <c r="P9" s="29"/>
      <c r="Q9" s="20"/>
      <c r="R9" s="19"/>
      <c r="S9" s="6"/>
      <c r="T9" s="19"/>
      <c r="U9" s="19"/>
      <c r="V9" s="19"/>
      <c r="W9" t="s">
        <v>528</v>
      </c>
    </row>
    <row r="10" spans="1:23" x14ac:dyDescent="0.3">
      <c r="A10" s="128">
        <v>43333</v>
      </c>
      <c r="B10" s="29">
        <v>7</v>
      </c>
      <c r="C10" s="19">
        <v>25.650727813916667</v>
      </c>
      <c r="D10" s="19"/>
      <c r="E10" s="29">
        <v>3970</v>
      </c>
      <c r="F10" s="29">
        <f>Influent[[#This Row],[COD (mg L-1)]]*Information!$AK$40</f>
        <v>3573</v>
      </c>
      <c r="G10" s="22">
        <v>5393</v>
      </c>
      <c r="H10" s="29">
        <v>8.4</v>
      </c>
      <c r="I10" s="29">
        <v>1100</v>
      </c>
      <c r="J10" s="29">
        <v>434</v>
      </c>
      <c r="K10" s="29">
        <v>11.55</v>
      </c>
      <c r="L10" s="29">
        <v>0.2</v>
      </c>
      <c r="M10" s="6">
        <f>Influent[[#This Row],[NH4-N (mg L-1)]]*1.288</f>
        <v>1820.7167999999999</v>
      </c>
      <c r="N10" s="6">
        <f>(Influent[[#This Row],[TON (mg L-1)]]-Influent[[#This Row],[NO2- (mg L-1)]])*4.426</f>
        <v>0.76892012800000009</v>
      </c>
      <c r="O10" s="6">
        <f>Influent[[#This Row],[NO2-N (mg L-1)]]*3.284</f>
        <v>2.6272E-2</v>
      </c>
      <c r="P10" s="29">
        <v>1413.6</v>
      </c>
      <c r="Q10" s="29">
        <v>8.0000000000000002E-3</v>
      </c>
      <c r="R10" s="19">
        <f>IF(Influent[[#This Row],[TON (mg L-1)]]-Influent[[#This Row],[NO2-N (mg L-1)]]&lt;0,0.2,Influent[[#This Row],[TON (mg L-1)]]-Influent[[#This Row],[NO2-N (mg L-1)]])</f>
        <v>0.192</v>
      </c>
      <c r="S10" s="6">
        <f>SUM(Influent[[#This Row],[NO3-N (mg L-1)]],Influent[[#This Row],[NO2-N (mg L-1)]],Influent[[#This Row],[NH4-N (mg L-1)]])</f>
        <v>1413.8</v>
      </c>
      <c r="T10" s="19">
        <f>IFERROR(Influent[[#This Row],[sCOD (mg L-1)]]/Influent[[#This Row],[TN (mg L-1)]], 0)</f>
        <v>2.5272315744801244</v>
      </c>
      <c r="U10" s="19">
        <f>Influent[[#This Row],[Alkalinity (mg CaCO3 L-1) ]]/Influent[[#This Row],[TN (mg L-1)]]</f>
        <v>3.8145423680860095</v>
      </c>
      <c r="V10" s="19">
        <f>Influent[[#This Row],[VSS (mg L-1)]]/Influent[[#This Row],[TSS (mg L-1)]]</f>
        <v>0.39454545454545453</v>
      </c>
    </row>
    <row r="11" spans="1:23" x14ac:dyDescent="0.3">
      <c r="A11" s="128">
        <v>43334</v>
      </c>
      <c r="B11" s="29">
        <v>8</v>
      </c>
      <c r="C11" s="19">
        <v>25.919798891066844</v>
      </c>
      <c r="D11" s="19"/>
      <c r="E11" s="29">
        <v>3940</v>
      </c>
      <c r="F11" s="29">
        <f>Influent[[#This Row],[COD (mg L-1)]]*Information!$AK$40</f>
        <v>3546</v>
      </c>
      <c r="G11" s="22">
        <v>5559</v>
      </c>
      <c r="H11" s="29">
        <v>8.4</v>
      </c>
      <c r="I11" s="29">
        <v>806</v>
      </c>
      <c r="J11" s="29">
        <v>277</v>
      </c>
      <c r="K11" s="29">
        <v>14.02</v>
      </c>
      <c r="L11" s="29">
        <v>0.2</v>
      </c>
      <c r="M11" s="6">
        <f>Influent[[#This Row],[NH4-N (mg L-1)]]*1.288</f>
        <v>1909.0736000000002</v>
      </c>
      <c r="N11" s="6">
        <f>(Influent[[#This Row],[TON (mg L-1)]]-Influent[[#This Row],[NO2- (mg L-1)]])*4.426</f>
        <v>0.76892012800000009</v>
      </c>
      <c r="O11" s="6">
        <f>Influent[[#This Row],[NO2-N (mg L-1)]]*3.284</f>
        <v>2.6272E-2</v>
      </c>
      <c r="P11" s="29">
        <v>1482.2</v>
      </c>
      <c r="Q11" s="29">
        <v>8.0000000000000002E-3</v>
      </c>
      <c r="R11" s="19">
        <f>IF(Influent[[#This Row],[TON (mg L-1)]]-Influent[[#This Row],[NO2-N (mg L-1)]]&lt;0,0.2,Influent[[#This Row],[TON (mg L-1)]]-Influent[[#This Row],[NO2-N (mg L-1)]])</f>
        <v>0.192</v>
      </c>
      <c r="S11" s="6">
        <f>SUM(Influent[[#This Row],[NO3-N (mg L-1)]],Influent[[#This Row],[NO2-N (mg L-1)]],Influent[[#This Row],[NH4-N (mg L-1)]])</f>
        <v>1482.4</v>
      </c>
      <c r="T11" s="19">
        <f>IFERROR(Influent[[#This Row],[sCOD (mg L-1)]]/Influent[[#This Row],[TN (mg L-1)]], 0)</f>
        <v>2.3920669185105234</v>
      </c>
      <c r="U11" s="19">
        <f>Influent[[#This Row],[Alkalinity (mg CaCO3 L-1) ]]/Influent[[#This Row],[TN (mg L-1)]]</f>
        <v>3.7499999999999996</v>
      </c>
      <c r="V11" s="19">
        <f>Influent[[#This Row],[VSS (mg L-1)]]/Influent[[#This Row],[TSS (mg L-1)]]</f>
        <v>0.34367245657568241</v>
      </c>
    </row>
    <row r="12" spans="1:23" x14ac:dyDescent="0.3">
      <c r="A12" s="128">
        <v>43335</v>
      </c>
      <c r="B12" s="29">
        <v>9</v>
      </c>
      <c r="C12" s="19">
        <v>26.182213167894304</v>
      </c>
      <c r="D12" s="19"/>
      <c r="E12" s="29">
        <v>3845</v>
      </c>
      <c r="F12" s="29">
        <f>Influent[[#This Row],[COD (mg L-1)]]*Information!$AK$40</f>
        <v>3460.5</v>
      </c>
      <c r="G12" s="22">
        <v>5498</v>
      </c>
      <c r="H12" s="29">
        <v>8.4</v>
      </c>
      <c r="I12" s="29">
        <v>786.7</v>
      </c>
      <c r="J12" s="29">
        <v>295</v>
      </c>
      <c r="K12" s="29">
        <v>13.7</v>
      </c>
      <c r="L12" s="29">
        <v>0.2</v>
      </c>
      <c r="M12" s="6">
        <f>Influent[[#This Row],[NH4-N (mg L-1)]]*1.288</f>
        <v>1861.8040000000001</v>
      </c>
      <c r="N12" s="6">
        <f>(Influent[[#This Row],[TON (mg L-1)]]-Influent[[#This Row],[NO2- (mg L-1)]])*4.426</f>
        <v>0.76892012800000009</v>
      </c>
      <c r="O12" s="6">
        <f>Influent[[#This Row],[NO2-N (mg L-1)]]*3.284</f>
        <v>2.6272E-2</v>
      </c>
      <c r="P12" s="29">
        <v>1445.5</v>
      </c>
      <c r="Q12" s="29">
        <v>8.0000000000000002E-3</v>
      </c>
      <c r="R12" s="19">
        <f>IF(Influent[[#This Row],[TON (mg L-1)]]-Influent[[#This Row],[NO2-N (mg L-1)]]&lt;0,0.2,Influent[[#This Row],[TON (mg L-1)]]-Influent[[#This Row],[NO2-N (mg L-1)]])</f>
        <v>0.192</v>
      </c>
      <c r="S12" s="6">
        <f>SUM(Influent[[#This Row],[NO3-N (mg L-1)]],Influent[[#This Row],[NO2-N (mg L-1)]],Influent[[#This Row],[NH4-N (mg L-1)]])</f>
        <v>1445.7</v>
      </c>
      <c r="T12" s="19">
        <f>IFERROR(Influent[[#This Row],[sCOD (mg L-1)]]/Influent[[#This Row],[TN (mg L-1)]], 0)</f>
        <v>2.3936501348827557</v>
      </c>
      <c r="U12" s="19">
        <f>Influent[[#This Row],[Alkalinity (mg CaCO3 L-1) ]]/Influent[[#This Row],[TN (mg L-1)]]</f>
        <v>3.8030020059486751</v>
      </c>
      <c r="V12" s="19">
        <f>Influent[[#This Row],[VSS (mg L-1)]]/Influent[[#This Row],[TSS (mg L-1)]]</f>
        <v>0.3749841108427609</v>
      </c>
    </row>
    <row r="13" spans="1:23" x14ac:dyDescent="0.3">
      <c r="A13" s="128">
        <v>43336</v>
      </c>
      <c r="B13" s="29">
        <v>10</v>
      </c>
      <c r="C13" s="19">
        <v>25.162990378075612</v>
      </c>
      <c r="D13" s="19"/>
      <c r="E13" s="29">
        <v>4840</v>
      </c>
      <c r="F13" s="29">
        <f>Influent[[#This Row],[COD (mg L-1)]]*Information!$AK$40</f>
        <v>4356</v>
      </c>
      <c r="G13" s="22">
        <v>5058</v>
      </c>
      <c r="H13" s="29">
        <v>8.4</v>
      </c>
      <c r="I13" s="29">
        <v>1270</v>
      </c>
      <c r="J13" s="29">
        <v>385</v>
      </c>
      <c r="K13" s="29">
        <v>11.67</v>
      </c>
      <c r="L13" s="29">
        <v>12.9</v>
      </c>
      <c r="M13" s="6">
        <f>Influent[[#This Row],[NH4-N (mg L-1)]]*1.288</f>
        <v>1765.4616000000001</v>
      </c>
      <c r="N13" s="6">
        <f>(Influent[[#This Row],[TON (mg L-1)]]-Influent[[#This Row],[NO2- (mg L-1)]])*4.426</f>
        <v>26.252163952000007</v>
      </c>
      <c r="O13" s="6">
        <f>Influent[[#This Row],[NO2-N (mg L-1)]]*3.284</f>
        <v>6.9686479999999991</v>
      </c>
      <c r="P13" s="29">
        <v>1370.7</v>
      </c>
      <c r="Q13" s="29">
        <v>2.1219999999999999</v>
      </c>
      <c r="R13" s="19">
        <f>IF(Influent[[#This Row],[TON (mg L-1)]]-Influent[[#This Row],[NO2-N (mg L-1)]]&lt;0,0.2,Influent[[#This Row],[TON (mg L-1)]]-Influent[[#This Row],[NO2-N (mg L-1)]])</f>
        <v>10.778</v>
      </c>
      <c r="S13" s="6">
        <f>SUM(Influent[[#This Row],[NO3-N (mg L-1)]],Influent[[#This Row],[NO2-N (mg L-1)]],Influent[[#This Row],[NH4-N (mg L-1)]])</f>
        <v>1383.6000000000001</v>
      </c>
      <c r="T13" s="19">
        <f>IFERROR(Influent[[#This Row],[sCOD (mg L-1)]]/Influent[[#This Row],[TN (mg L-1)]], 0)</f>
        <v>3.1483087597571551</v>
      </c>
      <c r="U13" s="19">
        <f>Influent[[#This Row],[Alkalinity (mg CaCO3 L-1) ]]/Influent[[#This Row],[TN (mg L-1)]]</f>
        <v>3.6556808326105807</v>
      </c>
      <c r="V13" s="19">
        <f>Influent[[#This Row],[VSS (mg L-1)]]/Influent[[#This Row],[TSS (mg L-1)]]</f>
        <v>0.30314960629921262</v>
      </c>
    </row>
    <row r="14" spans="1:23" x14ac:dyDescent="0.3">
      <c r="A14" s="128">
        <v>43337</v>
      </c>
      <c r="B14" s="29">
        <v>11</v>
      </c>
      <c r="C14" s="19">
        <v>24.872051781889713</v>
      </c>
      <c r="D14" s="19"/>
      <c r="E14" s="29">
        <v>3850</v>
      </c>
      <c r="F14" s="29">
        <f>Influent[[#This Row],[COD (mg L-1)]]*Information!$AK$40</f>
        <v>3465</v>
      </c>
      <c r="G14" s="22">
        <v>5334</v>
      </c>
      <c r="H14" s="29">
        <v>8.5</v>
      </c>
      <c r="I14" s="29">
        <v>790</v>
      </c>
      <c r="J14" s="29">
        <v>215</v>
      </c>
      <c r="K14" s="29">
        <v>10.79</v>
      </c>
      <c r="L14" s="29">
        <v>0.2</v>
      </c>
      <c r="M14" s="6">
        <f>Influent[[#This Row],[NH4-N (mg L-1)]]*1.288</f>
        <v>1831.4072000000001</v>
      </c>
      <c r="N14" s="6">
        <f>(Influent[[#This Row],[TON (mg L-1)]]-Influent[[#This Row],[NO2- (mg L-1)]])*4.426</f>
        <v>0.76892012800000009</v>
      </c>
      <c r="O14" s="6">
        <f>Influent[[#This Row],[NO2-N (mg L-1)]]*3.284</f>
        <v>2.6272E-2</v>
      </c>
      <c r="P14" s="29">
        <v>1421.9</v>
      </c>
      <c r="Q14" s="29">
        <v>8.0000000000000002E-3</v>
      </c>
      <c r="R14" s="19">
        <f>IF(Influent[[#This Row],[TON (mg L-1)]]-Influent[[#This Row],[NO2-N (mg L-1)]]&lt;0,0.2,Influent[[#This Row],[TON (mg L-1)]]-Influent[[#This Row],[NO2-N (mg L-1)]])</f>
        <v>0.192</v>
      </c>
      <c r="S14" s="6">
        <f>SUM(Influent[[#This Row],[NO3-N (mg L-1)]],Influent[[#This Row],[NO2-N (mg L-1)]],Influent[[#This Row],[NH4-N (mg L-1)]])</f>
        <v>1422.1000000000001</v>
      </c>
      <c r="T14" s="19">
        <f>IFERROR(Influent[[#This Row],[sCOD (mg L-1)]]/Influent[[#This Row],[TN (mg L-1)]], 0)</f>
        <v>2.4365375149426902</v>
      </c>
      <c r="U14" s="19">
        <f>Influent[[#This Row],[Alkalinity (mg CaCO3 L-1) ]]/Influent[[#This Row],[TN (mg L-1)]]</f>
        <v>3.7507910836087475</v>
      </c>
      <c r="V14" s="19">
        <f>Influent[[#This Row],[VSS (mg L-1)]]/Influent[[#This Row],[TSS (mg L-1)]]</f>
        <v>0.27215189873417722</v>
      </c>
    </row>
    <row r="15" spans="1:23" x14ac:dyDescent="0.3">
      <c r="A15" s="128">
        <v>43338</v>
      </c>
      <c r="B15" s="29">
        <v>12</v>
      </c>
      <c r="C15" s="19">
        <v>24.870796795480576</v>
      </c>
      <c r="D15" s="19"/>
      <c r="E15" s="29">
        <v>3330</v>
      </c>
      <c r="F15" s="29">
        <f>Influent[[#This Row],[COD (mg L-1)]]*Information!$AK$40</f>
        <v>2997</v>
      </c>
      <c r="G15" s="22">
        <v>5389</v>
      </c>
      <c r="H15" s="29">
        <v>8.4</v>
      </c>
      <c r="I15" s="29">
        <v>308</v>
      </c>
      <c r="J15" s="29">
        <v>78</v>
      </c>
      <c r="K15" s="29">
        <v>10.94</v>
      </c>
      <c r="L15" s="29">
        <v>1.2</v>
      </c>
      <c r="M15" s="6">
        <f>Influent[[#This Row],[NH4-N (mg L-1)]]*1.288</f>
        <v>1825.2248</v>
      </c>
      <c r="N15" s="6">
        <f>(Influent[[#This Row],[TON (mg L-1)]]-Influent[[#This Row],[NO2- (mg L-1)]])*4.426</f>
        <v>5.1949201279999997</v>
      </c>
      <c r="O15" s="6">
        <f>Influent[[#This Row],[NO2-N (mg L-1)]]*3.284</f>
        <v>2.6272E-2</v>
      </c>
      <c r="P15" s="29">
        <v>1417.1</v>
      </c>
      <c r="Q15" s="29">
        <v>8.0000000000000002E-3</v>
      </c>
      <c r="R15" s="19">
        <f>IF(Influent[[#This Row],[TON (mg L-1)]]-Influent[[#This Row],[NO2-N (mg L-1)]]&lt;0,0.2,Influent[[#This Row],[TON (mg L-1)]]-Influent[[#This Row],[NO2-N (mg L-1)]])</f>
        <v>1.1919999999999999</v>
      </c>
      <c r="S15" s="6">
        <f>SUM(Influent[[#This Row],[NO3-N (mg L-1)]],Influent[[#This Row],[NO2-N (mg L-1)]],Influent[[#This Row],[NH4-N (mg L-1)]])</f>
        <v>1418.3</v>
      </c>
      <c r="T15" s="19">
        <f>IFERROR(Influent[[#This Row],[sCOD (mg L-1)]]/Influent[[#This Row],[TN (mg L-1)]], 0)</f>
        <v>2.113093139674258</v>
      </c>
      <c r="U15" s="19">
        <f>Influent[[#This Row],[Alkalinity (mg CaCO3 L-1) ]]/Influent[[#This Row],[TN (mg L-1)]]</f>
        <v>3.7996192624973562</v>
      </c>
      <c r="V15" s="19">
        <f>Influent[[#This Row],[VSS (mg L-1)]]/Influent[[#This Row],[TSS (mg L-1)]]</f>
        <v>0.25324675324675322</v>
      </c>
    </row>
    <row r="16" spans="1:23" x14ac:dyDescent="0.3">
      <c r="A16" s="128">
        <v>43339</v>
      </c>
      <c r="B16" s="29">
        <v>13</v>
      </c>
      <c r="C16" s="19">
        <v>24.867164191418496</v>
      </c>
      <c r="D16" s="19"/>
      <c r="E16" s="29">
        <v>3300</v>
      </c>
      <c r="F16" s="29">
        <f>Influent[[#This Row],[COD (mg L-1)]]*Information!$AK$40</f>
        <v>2970</v>
      </c>
      <c r="G16" s="22">
        <v>5210</v>
      </c>
      <c r="H16" s="29">
        <v>8.5</v>
      </c>
      <c r="I16" s="29">
        <v>386.7</v>
      </c>
      <c r="J16" s="29">
        <v>110</v>
      </c>
      <c r="K16" s="29">
        <v>11.26</v>
      </c>
      <c r="L16" s="29">
        <v>0.2</v>
      </c>
      <c r="M16" s="6">
        <f>Influent[[#This Row],[NH4-N (mg L-1)]]*1.288</f>
        <v>1790.7064</v>
      </c>
      <c r="N16" s="6">
        <f>(Influent[[#This Row],[TON (mg L-1)]]-Influent[[#This Row],[NO2- (mg L-1)]])*4.426</f>
        <v>0.76892012800000009</v>
      </c>
      <c r="O16" s="6">
        <f>Influent[[#This Row],[NO2-N (mg L-1)]]*3.284</f>
        <v>2.6272E-2</v>
      </c>
      <c r="P16" s="29">
        <v>1390.3</v>
      </c>
      <c r="Q16" s="29">
        <v>8.0000000000000002E-3</v>
      </c>
      <c r="R16" s="19">
        <f>IF(Influent[[#This Row],[TON (mg L-1)]]-Influent[[#This Row],[NO2-N (mg L-1)]]&lt;0,0.2,Influent[[#This Row],[TON (mg L-1)]]-Influent[[#This Row],[NO2-N (mg L-1)]])</f>
        <v>0.192</v>
      </c>
      <c r="S16" s="6">
        <f>SUM(Influent[[#This Row],[NO3-N (mg L-1)]],Influent[[#This Row],[NO2-N (mg L-1)]],Influent[[#This Row],[NH4-N (mg L-1)]])</f>
        <v>1390.5</v>
      </c>
      <c r="T16" s="19">
        <f>IFERROR(Influent[[#This Row],[sCOD (mg L-1)]]/Influent[[#This Row],[TN (mg L-1)]], 0)</f>
        <v>2.1359223300970873</v>
      </c>
      <c r="U16" s="19">
        <f>Influent[[#This Row],[Alkalinity (mg CaCO3 L-1) ]]/Influent[[#This Row],[TN (mg L-1)]]</f>
        <v>3.7468536497662712</v>
      </c>
      <c r="V16" s="19">
        <f>Influent[[#This Row],[VSS (mg L-1)]]/Influent[[#This Row],[TSS (mg L-1)]]</f>
        <v>0.28445823635893458</v>
      </c>
    </row>
    <row r="17" spans="1:23" x14ac:dyDescent="0.3">
      <c r="A17" s="128">
        <v>43340</v>
      </c>
      <c r="B17" s="29">
        <v>14</v>
      </c>
      <c r="C17" s="19">
        <v>24.872424947598955</v>
      </c>
      <c r="D17" s="19"/>
      <c r="E17" s="29">
        <v>3835</v>
      </c>
      <c r="F17" s="29">
        <f>Influent[[#This Row],[COD (mg L-1)]]*Information!$AK$40</f>
        <v>3451.5</v>
      </c>
      <c r="G17" s="22">
        <v>5268</v>
      </c>
      <c r="H17" s="29">
        <v>8.4</v>
      </c>
      <c r="I17" s="29">
        <v>920</v>
      </c>
      <c r="J17" s="29">
        <v>225</v>
      </c>
      <c r="K17" s="29">
        <v>11.01</v>
      </c>
      <c r="L17" s="29">
        <v>0.2</v>
      </c>
      <c r="M17" s="6">
        <f>Influent[[#This Row],[NH4-N (mg L-1)]]*1.288</f>
        <v>1819.4287999999999</v>
      </c>
      <c r="N17" s="6">
        <f>(Influent[[#This Row],[TON (mg L-1)]]-Influent[[#This Row],[NO2- (mg L-1)]])*4.426</f>
        <v>0.76892012800000009</v>
      </c>
      <c r="O17" s="6">
        <f>Influent[[#This Row],[NO2-N (mg L-1)]]*3.284</f>
        <v>2.6272E-2</v>
      </c>
      <c r="P17" s="29">
        <v>1412.6</v>
      </c>
      <c r="Q17" s="29">
        <v>8.0000000000000002E-3</v>
      </c>
      <c r="R17" s="19">
        <f>IF(Influent[[#This Row],[TON (mg L-1)]]-Influent[[#This Row],[NO2-N (mg L-1)]]&lt;0,0.2,Influent[[#This Row],[TON (mg L-1)]]-Influent[[#This Row],[NO2-N (mg L-1)]])</f>
        <v>0.192</v>
      </c>
      <c r="S17" s="6">
        <f>SUM(Influent[[#This Row],[NO3-N (mg L-1)]],Influent[[#This Row],[NO2-N (mg L-1)]],Influent[[#This Row],[NH4-N (mg L-1)]])</f>
        <v>1412.8</v>
      </c>
      <c r="T17" s="19">
        <f>IFERROR(Influent[[#This Row],[sCOD (mg L-1)]]/Influent[[#This Row],[TN (mg L-1)]], 0)</f>
        <v>2.4430209513023784</v>
      </c>
      <c r="U17" s="19">
        <f>Influent[[#This Row],[Alkalinity (mg CaCO3 L-1) ]]/Influent[[#This Row],[TN (mg L-1)]]</f>
        <v>3.7287655719139301</v>
      </c>
      <c r="V17" s="19">
        <f>Influent[[#This Row],[VSS (mg L-1)]]/Influent[[#This Row],[TSS (mg L-1)]]</f>
        <v>0.24456521739130435</v>
      </c>
    </row>
    <row r="18" spans="1:23" x14ac:dyDescent="0.3">
      <c r="A18" s="128">
        <v>43341</v>
      </c>
      <c r="B18" s="29">
        <v>15</v>
      </c>
      <c r="C18" s="19">
        <v>24.865800705935879</v>
      </c>
      <c r="D18" s="19"/>
      <c r="E18" s="29"/>
      <c r="G18" s="22">
        <v>4644</v>
      </c>
      <c r="H18" s="29">
        <v>8.4</v>
      </c>
      <c r="I18" s="29"/>
      <c r="J18" s="29"/>
      <c r="K18" s="29">
        <v>13.52</v>
      </c>
      <c r="L18" s="29">
        <v>0.2</v>
      </c>
      <c r="M18" s="6">
        <f>Influent[[#This Row],[NH4-N (mg L-1)]]*1.288</f>
        <v>1592.8696</v>
      </c>
      <c r="N18" s="6">
        <f>(Influent[[#This Row],[TON (mg L-1)]]-Influent[[#This Row],[NO2- (mg L-1)]])*4.426</f>
        <v>0.76892012800000009</v>
      </c>
      <c r="O18" s="6">
        <f>Influent[[#This Row],[NO2-N (mg L-1)]]*3.284</f>
        <v>2.6272E-2</v>
      </c>
      <c r="P18" s="29">
        <v>1236.7</v>
      </c>
      <c r="Q18" s="29">
        <v>8.0000000000000002E-3</v>
      </c>
      <c r="R18" s="19">
        <f>IF(Influent[[#This Row],[TON (mg L-1)]]-Influent[[#This Row],[NO2-N (mg L-1)]]&lt;0,0.2,Influent[[#This Row],[TON (mg L-1)]]-Influent[[#This Row],[NO2-N (mg L-1)]])</f>
        <v>0.192</v>
      </c>
      <c r="S18" s="6">
        <f>SUM(Influent[[#This Row],[NO3-N (mg L-1)]],Influent[[#This Row],[NO2-N (mg L-1)]],Influent[[#This Row],[NH4-N (mg L-1)]])</f>
        <v>1236.9000000000001</v>
      </c>
      <c r="T18" s="19"/>
      <c r="U18" s="19">
        <f>Influent[[#This Row],[Alkalinity (mg CaCO3 L-1) ]]/Influent[[#This Row],[TN (mg L-1)]]</f>
        <v>3.7545476594712586</v>
      </c>
      <c r="V18" s="19"/>
      <c r="W18" t="s">
        <v>527</v>
      </c>
    </row>
    <row r="19" spans="1:23" x14ac:dyDescent="0.3">
      <c r="A19" s="128">
        <v>43342</v>
      </c>
      <c r="B19" s="29">
        <v>16</v>
      </c>
      <c r="C19" s="19">
        <v>24.870436711097831</v>
      </c>
      <c r="D19" s="19"/>
      <c r="E19" s="29">
        <v>3350</v>
      </c>
      <c r="F19" s="29">
        <f>Influent[[#This Row],[COD (mg L-1)]]*Information!$AK$40</f>
        <v>3015</v>
      </c>
      <c r="G19" s="22">
        <v>5012</v>
      </c>
      <c r="H19" s="29">
        <v>8.5</v>
      </c>
      <c r="I19" s="29">
        <v>680</v>
      </c>
      <c r="J19" s="29"/>
      <c r="K19" s="29">
        <v>13.79</v>
      </c>
      <c r="L19" s="29">
        <v>0.2</v>
      </c>
      <c r="M19" s="6">
        <f>Influent[[#This Row],[NH4-N (mg L-1)]]*1.288</f>
        <v>1717.6768</v>
      </c>
      <c r="N19" s="6">
        <f>(Influent[[#This Row],[TON (mg L-1)]]-Influent[[#This Row],[NO2- (mg L-1)]])*4.426</f>
        <v>0.76892012800000009</v>
      </c>
      <c r="O19" s="6">
        <f>Influent[[#This Row],[NO2-N (mg L-1)]]*3.284</f>
        <v>2.6272E-2</v>
      </c>
      <c r="P19" s="29">
        <v>1333.6</v>
      </c>
      <c r="Q19" s="29">
        <v>8.0000000000000002E-3</v>
      </c>
      <c r="R19" s="19">
        <f>IF(Influent[[#This Row],[TON (mg L-1)]]-Influent[[#This Row],[NO2-N (mg L-1)]]&lt;0,0.2,Influent[[#This Row],[TON (mg L-1)]]-Influent[[#This Row],[NO2-N (mg L-1)]])</f>
        <v>0.192</v>
      </c>
      <c r="S19" s="6">
        <f>SUM(Influent[[#This Row],[NO3-N (mg L-1)]],Influent[[#This Row],[NO2-N (mg L-1)]],Influent[[#This Row],[NH4-N (mg L-1)]])</f>
        <v>1333.8</v>
      </c>
      <c r="T19" s="19">
        <f>IFERROR(Influent[[#This Row],[sCOD (mg L-1)]]/Influent[[#This Row],[TN (mg L-1)]], 0)</f>
        <v>2.260458839406208</v>
      </c>
      <c r="U19" s="19">
        <f>Influent[[#This Row],[Alkalinity (mg CaCO3 L-1) ]]/Influent[[#This Row],[TN (mg L-1)]]</f>
        <v>3.7576848103163893</v>
      </c>
      <c r="V19" s="19">
        <f>Influent[[#This Row],[VSS (mg L-1)]]/Influent[[#This Row],[TSS (mg L-1)]]</f>
        <v>0</v>
      </c>
      <c r="W19" t="s">
        <v>526</v>
      </c>
    </row>
    <row r="20" spans="1:23" x14ac:dyDescent="0.3">
      <c r="A20" s="128">
        <v>43343</v>
      </c>
      <c r="B20" s="29">
        <v>17</v>
      </c>
      <c r="C20" s="19"/>
      <c r="D20" s="19"/>
      <c r="G20" s="22"/>
      <c r="K20" s="6"/>
      <c r="L20" s="19"/>
      <c r="M20" s="6"/>
      <c r="N20" s="6"/>
      <c r="O20" s="6"/>
      <c r="P20" s="6"/>
      <c r="Q20" s="20"/>
      <c r="R20" s="19"/>
      <c r="S20" s="6"/>
      <c r="T20" s="19"/>
      <c r="U20" s="19"/>
      <c r="V20" s="19"/>
      <c r="W20" t="s">
        <v>535</v>
      </c>
    </row>
    <row r="21" spans="1:23" x14ac:dyDescent="0.3">
      <c r="A21" s="128">
        <v>43344</v>
      </c>
      <c r="B21" s="29">
        <v>18</v>
      </c>
      <c r="C21" s="19"/>
      <c r="D21" s="19"/>
      <c r="G21" s="22"/>
      <c r="K21" s="6"/>
      <c r="L21" s="19"/>
      <c r="M21" s="6"/>
      <c r="N21" s="6"/>
      <c r="O21" s="6"/>
      <c r="P21" s="6"/>
      <c r="Q21" s="20"/>
      <c r="R21" s="19"/>
      <c r="S21" s="6"/>
      <c r="T21" s="19"/>
      <c r="U21" s="19"/>
      <c r="V21" s="19"/>
      <c r="W21" s="29" t="s">
        <v>535</v>
      </c>
    </row>
    <row r="22" spans="1:23" x14ac:dyDescent="0.3">
      <c r="A22" s="128">
        <v>43345</v>
      </c>
      <c r="B22" s="29">
        <v>19</v>
      </c>
      <c r="C22" s="19"/>
      <c r="D22" s="19"/>
      <c r="G22" s="22"/>
      <c r="K22" s="6"/>
      <c r="L22" s="19"/>
      <c r="M22" s="6"/>
      <c r="N22" s="6"/>
      <c r="O22" s="6"/>
      <c r="P22" s="6"/>
      <c r="Q22" s="20"/>
      <c r="R22" s="19"/>
      <c r="S22" s="6"/>
      <c r="T22" s="19"/>
      <c r="U22" s="19"/>
      <c r="V22" s="19"/>
      <c r="W22" s="29" t="s">
        <v>535</v>
      </c>
    </row>
    <row r="23" spans="1:23" x14ac:dyDescent="0.3">
      <c r="A23" s="128">
        <v>43346</v>
      </c>
      <c r="B23" s="29">
        <v>20</v>
      </c>
      <c r="C23" s="19"/>
      <c r="D23" s="19"/>
      <c r="G23" s="22"/>
      <c r="K23" s="6"/>
      <c r="L23" s="19"/>
      <c r="M23" s="6"/>
      <c r="N23" s="6"/>
      <c r="O23" s="6"/>
      <c r="P23" s="6"/>
      <c r="Q23" s="20"/>
      <c r="R23" s="19"/>
      <c r="S23" s="6"/>
      <c r="T23" s="19"/>
      <c r="U23" s="19"/>
      <c r="V23" s="19"/>
      <c r="W23" s="29" t="s">
        <v>535</v>
      </c>
    </row>
    <row r="24" spans="1:23" x14ac:dyDescent="0.3">
      <c r="A24" s="128">
        <v>43347</v>
      </c>
      <c r="B24" s="29">
        <v>21</v>
      </c>
      <c r="C24" s="19"/>
      <c r="D24" s="19"/>
      <c r="G24" s="22"/>
      <c r="K24" s="6"/>
      <c r="L24" s="19"/>
      <c r="M24" s="6"/>
      <c r="N24" s="6"/>
      <c r="O24" s="6"/>
      <c r="P24" s="6"/>
      <c r="Q24" s="20"/>
      <c r="R24" s="19"/>
      <c r="S24" s="6"/>
      <c r="T24" s="19"/>
      <c r="U24" s="19"/>
      <c r="V24" s="19"/>
      <c r="W24" s="29" t="s">
        <v>535</v>
      </c>
    </row>
    <row r="25" spans="1:23" x14ac:dyDescent="0.3">
      <c r="A25" s="128">
        <v>43348</v>
      </c>
      <c r="B25" s="29">
        <v>22</v>
      </c>
      <c r="C25" s="19"/>
      <c r="D25" s="19"/>
      <c r="G25" s="22"/>
      <c r="K25" s="6"/>
      <c r="L25" s="19"/>
      <c r="M25" s="6"/>
      <c r="N25" s="6"/>
      <c r="O25" s="6"/>
      <c r="P25" s="6"/>
      <c r="Q25" s="20"/>
      <c r="R25" s="19"/>
      <c r="S25" s="6"/>
      <c r="T25" s="19"/>
      <c r="U25" s="19"/>
      <c r="V25" s="19"/>
      <c r="W25" s="29" t="s">
        <v>535</v>
      </c>
    </row>
    <row r="26" spans="1:23" x14ac:dyDescent="0.3">
      <c r="A26" s="128">
        <v>43349</v>
      </c>
      <c r="B26" s="29">
        <v>23</v>
      </c>
      <c r="C26" s="19"/>
      <c r="D26" s="19"/>
      <c r="G26" s="22"/>
      <c r="K26" s="6"/>
      <c r="L26" s="19"/>
      <c r="M26" s="6"/>
      <c r="N26" s="6"/>
      <c r="O26" s="6"/>
      <c r="P26" s="6"/>
      <c r="Q26" s="20"/>
      <c r="R26" s="19"/>
      <c r="S26" s="6"/>
      <c r="T26" s="19"/>
      <c r="U26" s="19"/>
      <c r="V26" s="19"/>
      <c r="W26" s="29" t="s">
        <v>535</v>
      </c>
    </row>
    <row r="27" spans="1:23" x14ac:dyDescent="0.3">
      <c r="A27" s="128">
        <v>43350</v>
      </c>
      <c r="B27" s="29">
        <v>24</v>
      </c>
      <c r="C27" s="19"/>
      <c r="D27" s="19"/>
      <c r="G27" s="22"/>
      <c r="K27" s="6"/>
      <c r="L27" s="19"/>
      <c r="M27" s="6"/>
      <c r="N27" s="6"/>
      <c r="O27" s="6"/>
      <c r="P27" s="6"/>
      <c r="Q27" s="20"/>
      <c r="R27" s="19"/>
      <c r="S27" s="6"/>
      <c r="T27" s="19"/>
      <c r="U27" s="19"/>
      <c r="V27" s="19"/>
      <c r="W27" s="29" t="s">
        <v>535</v>
      </c>
    </row>
    <row r="28" spans="1:23" x14ac:dyDescent="0.3">
      <c r="A28" s="128">
        <v>43351</v>
      </c>
      <c r="B28" s="29">
        <v>25</v>
      </c>
      <c r="C28" s="19"/>
      <c r="D28" s="19"/>
      <c r="G28" s="22"/>
      <c r="K28" s="6"/>
      <c r="L28" s="19"/>
      <c r="M28" s="6"/>
      <c r="N28" s="6"/>
      <c r="O28" s="6"/>
      <c r="P28" s="6"/>
      <c r="Q28" s="20"/>
      <c r="R28" s="19"/>
      <c r="S28" s="6"/>
      <c r="T28" s="19"/>
      <c r="U28" s="19"/>
      <c r="V28" s="19"/>
      <c r="W28" s="29" t="s">
        <v>535</v>
      </c>
    </row>
    <row r="29" spans="1:23" x14ac:dyDescent="0.3">
      <c r="A29" s="128">
        <v>43352</v>
      </c>
      <c r="B29" s="29">
        <v>26</v>
      </c>
      <c r="C29" s="19"/>
      <c r="D29" s="19"/>
      <c r="G29" s="22"/>
      <c r="K29" s="6"/>
      <c r="L29" s="19"/>
      <c r="M29" s="6"/>
      <c r="N29" s="6"/>
      <c r="O29" s="6"/>
      <c r="P29" s="6"/>
      <c r="Q29" s="20"/>
      <c r="R29" s="19"/>
      <c r="S29" s="6"/>
      <c r="T29" s="19"/>
      <c r="U29" s="19"/>
      <c r="V29" s="19"/>
      <c r="W29" s="29" t="s">
        <v>535</v>
      </c>
    </row>
    <row r="30" spans="1:23" x14ac:dyDescent="0.3">
      <c r="A30" s="128">
        <v>43353</v>
      </c>
      <c r="B30" s="29">
        <v>27</v>
      </c>
      <c r="C30" s="19"/>
      <c r="D30" s="19"/>
      <c r="G30" s="22"/>
      <c r="K30" s="6"/>
      <c r="L30" s="19"/>
      <c r="M30" s="6"/>
      <c r="N30" s="6"/>
      <c r="O30" s="6"/>
      <c r="P30" s="6"/>
      <c r="Q30" s="20"/>
      <c r="R30" s="19"/>
      <c r="S30" s="6"/>
      <c r="T30" s="19"/>
      <c r="U30" s="19"/>
      <c r="V30" s="19"/>
      <c r="W30" s="29" t="s">
        <v>535</v>
      </c>
    </row>
    <row r="31" spans="1:23" x14ac:dyDescent="0.3">
      <c r="A31" s="128">
        <v>43354</v>
      </c>
      <c r="B31" s="29">
        <v>28</v>
      </c>
      <c r="C31" s="19">
        <v>25.547234015843802</v>
      </c>
      <c r="D31" s="19"/>
      <c r="E31" s="29">
        <v>2825</v>
      </c>
      <c r="F31" s="29">
        <f>Influent[[#This Row],[COD (mg L-1)]]*Information!$AK$40</f>
        <v>2542.5</v>
      </c>
      <c r="G31" s="29">
        <v>4419</v>
      </c>
      <c r="H31" s="29">
        <v>8.5</v>
      </c>
      <c r="I31" s="29">
        <v>324</v>
      </c>
      <c r="K31" s="29">
        <v>14.18</v>
      </c>
      <c r="L31" s="29">
        <v>0.3</v>
      </c>
      <c r="M31" s="6">
        <f>Influent[[#This Row],[NH4-N (mg L-1)]]*1.288</f>
        <v>1496.3984</v>
      </c>
      <c r="N31" s="6">
        <f>(Influent[[#This Row],[TON (mg L-1)]]-Influent[[#This Row],[NO2- (mg L-1)]])*4.426</f>
        <v>-334.72103007999999</v>
      </c>
      <c r="O31" s="6">
        <f>Influent[[#This Row],[NO2-N (mg L-1)]]*3.284</f>
        <v>75.926079999999999</v>
      </c>
      <c r="P31" s="29">
        <v>1161.8</v>
      </c>
      <c r="Q31" s="29">
        <v>23.12</v>
      </c>
      <c r="R31" s="19">
        <f>IF(Influent[[#This Row],[TON (mg L-1)]]-Influent[[#This Row],[NO2-N (mg L-1)]]&lt;0,0.2,Influent[[#This Row],[TON (mg L-1)]]-Influent[[#This Row],[NO2-N (mg L-1)]])</f>
        <v>0.2</v>
      </c>
      <c r="S31" s="6">
        <f>SUM(Influent[[#This Row],[NO3-N (mg L-1)]],Influent[[#This Row],[NO2-N (mg L-1)]],Influent[[#This Row],[NH4-N (mg L-1)]])</f>
        <v>1185.1199999999999</v>
      </c>
      <c r="T31" s="19">
        <f>IFERROR(Influent[[#This Row],[sCOD (mg L-1)]]/Influent[[#This Row],[TN (mg L-1)]], 0)</f>
        <v>2.145352369380316</v>
      </c>
      <c r="U31" s="19">
        <f>Influent[[#This Row],[Alkalinity (mg CaCO3 L-1) ]]/Influent[[#This Row],[TN (mg L-1)]]</f>
        <v>3.7287363304981778</v>
      </c>
      <c r="V31" s="19">
        <f>Influent[[#This Row],[VSS (mg L-1)]]/Influent[[#This Row],[TSS (mg L-1)]]</f>
        <v>0</v>
      </c>
      <c r="W31" t="s">
        <v>536</v>
      </c>
    </row>
    <row r="32" spans="1:23" x14ac:dyDescent="0.3">
      <c r="A32" s="128">
        <v>43355</v>
      </c>
      <c r="B32" s="29">
        <v>29</v>
      </c>
      <c r="C32" s="19">
        <v>25.880467938863745</v>
      </c>
      <c r="D32" s="19"/>
      <c r="E32" s="29">
        <v>2630</v>
      </c>
      <c r="F32" s="29">
        <f>Influent[[#This Row],[COD (mg L-1)]]*Information!$AK$40</f>
        <v>2367</v>
      </c>
      <c r="G32" s="29">
        <v>4297</v>
      </c>
      <c r="H32" s="29">
        <v>8.4</v>
      </c>
      <c r="I32" s="29">
        <v>532</v>
      </c>
      <c r="K32" s="29">
        <v>15.07</v>
      </c>
      <c r="L32" s="29">
        <v>0.2</v>
      </c>
      <c r="M32" s="6">
        <f>Influent[[#This Row],[NH4-N (mg L-1)]]*1.288</f>
        <v>1516.4912000000002</v>
      </c>
      <c r="N32" s="6">
        <f>(Influent[[#This Row],[TON (mg L-1)]]-Influent[[#This Row],[NO2- (mg L-1)]])*4.426</f>
        <v>0.76892012800000009</v>
      </c>
      <c r="O32" s="6">
        <f>Influent[[#This Row],[NO2-N (mg L-1)]]*3.284</f>
        <v>2.6272E-2</v>
      </c>
      <c r="P32" s="29">
        <v>1177.4000000000001</v>
      </c>
      <c r="Q32" s="29">
        <v>8.0000000000000002E-3</v>
      </c>
      <c r="R32" s="19">
        <f>IF(Influent[[#This Row],[TON (mg L-1)]]-Influent[[#This Row],[NO2-N (mg L-1)]]&lt;0,0.2,Influent[[#This Row],[TON (mg L-1)]]-Influent[[#This Row],[NO2-N (mg L-1)]])</f>
        <v>0.192</v>
      </c>
      <c r="S32" s="6">
        <f>SUM(Influent[[#This Row],[NO3-N (mg L-1)]],Influent[[#This Row],[NO2-N (mg L-1)]],Influent[[#This Row],[NH4-N (mg L-1)]])</f>
        <v>1177.6000000000001</v>
      </c>
      <c r="T32" s="19">
        <f>IFERROR(Influent[[#This Row],[sCOD (mg L-1)]]/Influent[[#This Row],[TN (mg L-1)]], 0)</f>
        <v>2.0100203804347823</v>
      </c>
      <c r="U32" s="19">
        <f>Influent[[#This Row],[Alkalinity (mg CaCO3 L-1) ]]/Influent[[#This Row],[TN (mg L-1)]]</f>
        <v>3.648947010869565</v>
      </c>
      <c r="V32" s="19">
        <f>Influent[[#This Row],[VSS (mg L-1)]]/Influent[[#This Row],[TSS (mg L-1)]]</f>
        <v>0</v>
      </c>
    </row>
    <row r="33" spans="1:22" x14ac:dyDescent="0.3">
      <c r="A33" s="128">
        <v>43356</v>
      </c>
      <c r="B33" s="29">
        <v>30</v>
      </c>
      <c r="C33" s="19">
        <v>23.529995007632465</v>
      </c>
      <c r="D33" s="19"/>
      <c r="E33" s="29">
        <v>2810</v>
      </c>
      <c r="F33" s="29">
        <f>Influent[[#This Row],[COD (mg L-1)]]*Information!$AK$40</f>
        <v>2529</v>
      </c>
      <c r="G33" s="29">
        <v>4824</v>
      </c>
      <c r="H33" s="29">
        <v>8.5</v>
      </c>
      <c r="I33" s="29">
        <v>246</v>
      </c>
      <c r="K33" s="29">
        <v>12.36</v>
      </c>
      <c r="L33" s="29">
        <v>0.2</v>
      </c>
      <c r="M33" s="6">
        <f>Influent[[#This Row],[NH4-N (mg L-1)]]*1.288</f>
        <v>1730.6856</v>
      </c>
      <c r="N33" s="6">
        <f>(Influent[[#This Row],[TON (mg L-1)]]-Influent[[#This Row],[NO2- (mg L-1)]])*4.426</f>
        <v>-88.970071087999997</v>
      </c>
      <c r="O33" s="6">
        <f>Influent[[#This Row],[NO2-N (mg L-1)]]*3.284</f>
        <v>20.301687999999999</v>
      </c>
      <c r="P33" s="29">
        <v>1343.7</v>
      </c>
      <c r="Q33" s="29">
        <v>6.1820000000000004</v>
      </c>
      <c r="R33" s="19">
        <f>IF(Influent[[#This Row],[TON (mg L-1)]]-Influent[[#This Row],[NO2-N (mg L-1)]]&lt;0,0.2,Influent[[#This Row],[TON (mg L-1)]]-Influent[[#This Row],[NO2-N (mg L-1)]])</f>
        <v>0.2</v>
      </c>
      <c r="S33" s="6">
        <f>SUM(Influent[[#This Row],[NO3-N (mg L-1)]],Influent[[#This Row],[NO2-N (mg L-1)]],Influent[[#This Row],[NH4-N (mg L-1)]])</f>
        <v>1350.0820000000001</v>
      </c>
      <c r="T33" s="19">
        <f>IFERROR(Influent[[#This Row],[sCOD (mg L-1)]]/Influent[[#This Row],[TN (mg L-1)]], 0)</f>
        <v>1.8732195525901387</v>
      </c>
      <c r="U33" s="19">
        <f>Influent[[#This Row],[Alkalinity (mg CaCO3 L-1) ]]/Influent[[#This Row],[TN (mg L-1)]]</f>
        <v>3.5731162996025425</v>
      </c>
      <c r="V33" s="19">
        <f>Influent[[#This Row],[VSS (mg L-1)]]/Influent[[#This Row],[TSS (mg L-1)]]</f>
        <v>0</v>
      </c>
    </row>
    <row r="34" spans="1:22" x14ac:dyDescent="0.3">
      <c r="A34" s="128">
        <v>43357</v>
      </c>
      <c r="B34" s="29">
        <v>31</v>
      </c>
      <c r="C34" s="19">
        <v>23.110892493457523</v>
      </c>
      <c r="D34" s="19"/>
      <c r="E34" s="29">
        <v>2755</v>
      </c>
      <c r="F34" s="29">
        <f>Influent[[#This Row],[COD (mg L-1)]]*Information!$AK$40</f>
        <v>2479.5</v>
      </c>
      <c r="G34" s="29">
        <v>5050</v>
      </c>
      <c r="H34" s="29">
        <v>8.4</v>
      </c>
      <c r="I34" s="29">
        <v>140</v>
      </c>
      <c r="K34" s="29">
        <v>15.81</v>
      </c>
      <c r="L34" s="29">
        <v>0.2</v>
      </c>
      <c r="M34" s="6">
        <f>Influent[[#This Row],[NH4-N (mg L-1)]]*1.288</f>
        <v>1877.3887999999999</v>
      </c>
      <c r="N34" s="6">
        <f>(Influent[[#This Row],[TON (mg L-1)]]-Influent[[#This Row],[NO2- (mg L-1)]])*4.426</f>
        <v>0.76892012800000009</v>
      </c>
      <c r="O34" s="6">
        <f>Influent[[#This Row],[NO2-N (mg L-1)]]*3.284</f>
        <v>2.6272E-2</v>
      </c>
      <c r="P34" s="29">
        <v>1457.6</v>
      </c>
      <c r="Q34" s="29">
        <v>8.0000000000000002E-3</v>
      </c>
      <c r="R34" s="19">
        <f>IF(Influent[[#This Row],[TON (mg L-1)]]-Influent[[#This Row],[NO2-N (mg L-1)]]&lt;0,0.2,Influent[[#This Row],[TON (mg L-1)]]-Influent[[#This Row],[NO2-N (mg L-1)]])</f>
        <v>0.192</v>
      </c>
      <c r="S34" s="6">
        <f>SUM(Influent[[#This Row],[NO3-N (mg L-1)]],Influent[[#This Row],[NO2-N (mg L-1)]],Influent[[#This Row],[NH4-N (mg L-1)]])</f>
        <v>1457.8</v>
      </c>
      <c r="T34" s="19">
        <f>IFERROR(Influent[[#This Row],[sCOD (mg L-1)]]/Influent[[#This Row],[TN (mg L-1)]], 0)</f>
        <v>1.7008505967896832</v>
      </c>
      <c r="U34" s="19">
        <f>Influent[[#This Row],[Alkalinity (mg CaCO3 L-1) ]]/Influent[[#This Row],[TN (mg L-1)]]</f>
        <v>3.4641240224996572</v>
      </c>
      <c r="V34" s="19">
        <f>Influent[[#This Row],[VSS (mg L-1)]]/Influent[[#This Row],[TSS (mg L-1)]]</f>
        <v>0</v>
      </c>
    </row>
    <row r="35" spans="1:22" x14ac:dyDescent="0.3">
      <c r="A35" s="128">
        <v>43358</v>
      </c>
      <c r="B35" s="29">
        <v>32</v>
      </c>
      <c r="C35" s="19">
        <v>22.668476619144482</v>
      </c>
      <c r="D35" s="19"/>
      <c r="E35" s="29">
        <v>2820</v>
      </c>
      <c r="F35" s="29">
        <f>Influent[[#This Row],[COD (mg L-1)]]*Information!$AK$40</f>
        <v>2538</v>
      </c>
      <c r="G35" s="29">
        <v>4736</v>
      </c>
      <c r="H35" s="29">
        <v>8.4</v>
      </c>
      <c r="I35" s="29">
        <v>140</v>
      </c>
      <c r="K35" s="29">
        <v>13.97</v>
      </c>
      <c r="L35" s="29">
        <v>0.2</v>
      </c>
      <c r="M35" s="6">
        <f>Influent[[#This Row],[NH4-N (mg L-1)]]*1.288</f>
        <v>1929.0376000000001</v>
      </c>
      <c r="N35" s="6">
        <f>(Influent[[#This Row],[TON (mg L-1)]]-Influent[[#This Row],[NO2- (mg L-1)]])*4.426</f>
        <v>0.76892012800000009</v>
      </c>
      <c r="O35" s="6">
        <f>Influent[[#This Row],[NO2-N (mg L-1)]]*3.284</f>
        <v>2.6272E-2</v>
      </c>
      <c r="P35" s="29">
        <v>1497.7</v>
      </c>
      <c r="Q35" s="29">
        <v>8.0000000000000002E-3</v>
      </c>
      <c r="R35" s="19">
        <f>IF(Influent[[#This Row],[TON (mg L-1)]]-Influent[[#This Row],[NO2-N (mg L-1)]]&lt;0,0.2,Influent[[#This Row],[TON (mg L-1)]]-Influent[[#This Row],[NO2-N (mg L-1)]])</f>
        <v>0.192</v>
      </c>
      <c r="S35" s="6">
        <f>SUM(Influent[[#This Row],[NO3-N (mg L-1)]],Influent[[#This Row],[NO2-N (mg L-1)]],Influent[[#This Row],[NH4-N (mg L-1)]])</f>
        <v>1497.9</v>
      </c>
      <c r="T35" s="19">
        <f>IFERROR(Influent[[#This Row],[sCOD (mg L-1)]]/Influent[[#This Row],[TN (mg L-1)]], 0)</f>
        <v>1.694372120969357</v>
      </c>
      <c r="U35" s="19">
        <f>Influent[[#This Row],[Alkalinity (mg CaCO3 L-1) ]]/Influent[[#This Row],[TN (mg L-1)]]</f>
        <v>3.1617597970492022</v>
      </c>
      <c r="V35" s="19">
        <f>Influent[[#This Row],[VSS (mg L-1)]]/Influent[[#This Row],[TSS (mg L-1)]]</f>
        <v>0</v>
      </c>
    </row>
    <row r="36" spans="1:22" x14ac:dyDescent="0.3">
      <c r="A36" s="128">
        <v>43359</v>
      </c>
      <c r="B36" s="29">
        <v>33</v>
      </c>
      <c r="C36" s="19">
        <v>23.059881545321389</v>
      </c>
      <c r="D36" s="19"/>
      <c r="E36" s="29">
        <v>2800</v>
      </c>
      <c r="F36" s="29">
        <f>Influent[[#This Row],[COD (mg L-1)]]*Information!$AK$40</f>
        <v>2520</v>
      </c>
      <c r="G36" s="29">
        <v>4833</v>
      </c>
      <c r="H36" s="29">
        <v>8.5</v>
      </c>
      <c r="I36" s="29">
        <v>128</v>
      </c>
      <c r="K36" s="29">
        <v>12.78</v>
      </c>
      <c r="L36" s="29">
        <v>0.2</v>
      </c>
      <c r="M36" s="6">
        <f>Influent[[#This Row],[NH4-N (mg L-1)]]*1.288</f>
        <v>1889.6247999999998</v>
      </c>
      <c r="N36" s="6">
        <f>(Influent[[#This Row],[TON (mg L-1)]]-Influent[[#This Row],[NO2- (mg L-1)]])*4.426</f>
        <v>0.76892012800000009</v>
      </c>
      <c r="O36" s="6">
        <f>Influent[[#This Row],[NO2-N (mg L-1)]]*3.284</f>
        <v>2.6272E-2</v>
      </c>
      <c r="P36" s="29">
        <v>1467.1</v>
      </c>
      <c r="Q36" s="29">
        <v>8.0000000000000002E-3</v>
      </c>
      <c r="R36" s="19">
        <f>IF(Influent[[#This Row],[TON (mg L-1)]]-Influent[[#This Row],[NO2-N (mg L-1)]]&lt;0,0.2,Influent[[#This Row],[TON (mg L-1)]]-Influent[[#This Row],[NO2-N (mg L-1)]])</f>
        <v>0.192</v>
      </c>
      <c r="S36" s="6">
        <f>SUM(Influent[[#This Row],[NO3-N (mg L-1)]],Influent[[#This Row],[NO2-N (mg L-1)]],Influent[[#This Row],[NH4-N (mg L-1)]])</f>
        <v>1467.3</v>
      </c>
      <c r="T36" s="19">
        <f>IFERROR(Influent[[#This Row],[sCOD (mg L-1)]]/Influent[[#This Row],[TN (mg L-1)]], 0)</f>
        <v>1.7174401962788797</v>
      </c>
      <c r="U36" s="19">
        <f>Influent[[#This Row],[Alkalinity (mg CaCO3 L-1) ]]/Influent[[#This Row],[TN (mg L-1)]]</f>
        <v>3.2938049478634226</v>
      </c>
      <c r="V36" s="19">
        <f>Influent[[#This Row],[VSS (mg L-1)]]/Influent[[#This Row],[TSS (mg L-1)]]</f>
        <v>0</v>
      </c>
    </row>
    <row r="37" spans="1:22" x14ac:dyDescent="0.3">
      <c r="A37" s="128">
        <v>43360</v>
      </c>
      <c r="B37" s="29">
        <v>34</v>
      </c>
      <c r="C37" s="19">
        <v>22.83135302105698</v>
      </c>
      <c r="D37" s="19"/>
      <c r="E37" s="29">
        <v>2855</v>
      </c>
      <c r="F37" s="29">
        <f>Influent[[#This Row],[COD (mg L-1)]]*Information!$AK$40</f>
        <v>2569.5</v>
      </c>
      <c r="G37" s="29">
        <v>5126</v>
      </c>
      <c r="H37" s="29">
        <v>8.5</v>
      </c>
      <c r="I37" s="29">
        <v>244</v>
      </c>
      <c r="K37" s="29">
        <v>11.79</v>
      </c>
      <c r="L37" s="29">
        <v>0.2</v>
      </c>
      <c r="M37" s="6">
        <f>Influent[[#This Row],[NH4-N (mg L-1)]]*1.288</f>
        <v>1933.8032000000001</v>
      </c>
      <c r="N37" s="6">
        <f>(Influent[[#This Row],[TON (mg L-1)]]-Influent[[#This Row],[NO2- (mg L-1)]])*4.426</f>
        <v>0.76892012800000009</v>
      </c>
      <c r="O37" s="6">
        <f>Influent[[#This Row],[NO2-N (mg L-1)]]*3.284</f>
        <v>2.6272E-2</v>
      </c>
      <c r="P37" s="29">
        <v>1501.4</v>
      </c>
      <c r="Q37" s="29">
        <v>8.0000000000000002E-3</v>
      </c>
      <c r="R37" s="19">
        <f>IF(Influent[[#This Row],[TON (mg L-1)]]-Influent[[#This Row],[NO2-N (mg L-1)]]&lt;0,0.2,Influent[[#This Row],[TON (mg L-1)]]-Influent[[#This Row],[NO2-N (mg L-1)]])</f>
        <v>0.192</v>
      </c>
      <c r="S37" s="6">
        <f>SUM(Influent[[#This Row],[NO3-N (mg L-1)]],Influent[[#This Row],[NO2-N (mg L-1)]],Influent[[#This Row],[NH4-N (mg L-1)]])</f>
        <v>1501.6000000000001</v>
      </c>
      <c r="T37" s="19">
        <f>IFERROR(Influent[[#This Row],[sCOD (mg L-1)]]/Influent[[#This Row],[TN (mg L-1)]], 0)</f>
        <v>1.7111747469366008</v>
      </c>
      <c r="U37" s="19">
        <f>Influent[[#This Row],[Alkalinity (mg CaCO3 L-1) ]]/Influent[[#This Row],[TN (mg L-1)]]</f>
        <v>3.4136920618007456</v>
      </c>
      <c r="V37" s="19">
        <f>Influent[[#This Row],[VSS (mg L-1)]]/Influent[[#This Row],[TSS (mg L-1)]]</f>
        <v>0</v>
      </c>
    </row>
    <row r="38" spans="1:22" x14ac:dyDescent="0.3">
      <c r="A38" s="128">
        <v>43361</v>
      </c>
      <c r="B38" s="29">
        <v>35</v>
      </c>
      <c r="C38" s="19">
        <v>21.763233216592564</v>
      </c>
      <c r="D38" s="19"/>
      <c r="E38" s="29">
        <v>2795</v>
      </c>
      <c r="F38" s="29">
        <f>Influent[[#This Row],[COD (mg L-1)]]*Information!$AK$40</f>
        <v>2515.5</v>
      </c>
      <c r="G38" s="29">
        <v>4651</v>
      </c>
      <c r="H38" s="29">
        <v>8.4</v>
      </c>
      <c r="I38" s="29">
        <v>350</v>
      </c>
      <c r="J38" s="29">
        <v>90</v>
      </c>
      <c r="K38" s="29">
        <v>14.78</v>
      </c>
      <c r="L38" s="29">
        <v>0.2</v>
      </c>
      <c r="M38" s="6">
        <f>Influent[[#This Row],[NH4-N (mg L-1)]]*1.288</f>
        <v>1637.1768</v>
      </c>
      <c r="N38" s="6">
        <f>(Influent[[#This Row],[TON (mg L-1)]]-Influent[[#This Row],[NO2- (mg L-1)]])*4.426</f>
        <v>-93.504986095999996</v>
      </c>
      <c r="O38" s="6">
        <f>Influent[[#This Row],[NO2-N (mg L-1)]]*3.284</f>
        <v>21.326295999999999</v>
      </c>
      <c r="P38" s="29">
        <v>1271.0999999999999</v>
      </c>
      <c r="Q38" s="29">
        <v>6.4939999999999998</v>
      </c>
      <c r="R38" s="19">
        <f>IF(Influent[[#This Row],[TON (mg L-1)]]-Influent[[#This Row],[NO2-N (mg L-1)]]&lt;0,0.2,Influent[[#This Row],[TON (mg L-1)]]-Influent[[#This Row],[NO2-N (mg L-1)]])</f>
        <v>0.2</v>
      </c>
      <c r="S38" s="6">
        <f>SUM(Influent[[#This Row],[NO3-N (mg L-1)]],Influent[[#This Row],[NO2-N (mg L-1)]],Influent[[#This Row],[NH4-N (mg L-1)]])</f>
        <v>1277.7939999999999</v>
      </c>
      <c r="T38" s="19">
        <f>IFERROR(Influent[[#This Row],[sCOD (mg L-1)]]/Influent[[#This Row],[TN (mg L-1)]], 0)</f>
        <v>1.9686271809070948</v>
      </c>
      <c r="U38" s="19">
        <f>Influent[[#This Row],[Alkalinity (mg CaCO3 L-1) ]]/Influent[[#This Row],[TN (mg L-1)]]</f>
        <v>3.6398668329949904</v>
      </c>
      <c r="V38" s="19">
        <f>Influent[[#This Row],[VSS (mg L-1)]]/Influent[[#This Row],[TSS (mg L-1)]]</f>
        <v>0.25714285714285712</v>
      </c>
    </row>
    <row r="39" spans="1:22" x14ac:dyDescent="0.3">
      <c r="A39" s="128">
        <v>43362</v>
      </c>
      <c r="B39" s="29">
        <v>36</v>
      </c>
      <c r="C39" s="19">
        <v>24.421756774176743</v>
      </c>
      <c r="D39" s="19"/>
      <c r="E39" s="29">
        <v>2800</v>
      </c>
      <c r="F39" s="29">
        <f>Influent[[#This Row],[COD (mg L-1)]]*Information!$AK$40</f>
        <v>2520</v>
      </c>
      <c r="G39" s="29">
        <v>4520</v>
      </c>
      <c r="H39" s="29">
        <v>8.4</v>
      </c>
      <c r="I39" s="29">
        <v>810</v>
      </c>
      <c r="J39" s="29">
        <v>320</v>
      </c>
      <c r="K39" s="29">
        <v>11.86</v>
      </c>
      <c r="L39" s="29">
        <v>0.2</v>
      </c>
      <c r="M39" s="6">
        <f>Influent[[#This Row],[NH4-N (mg L-1)]]*1.288</f>
        <v>1606.78</v>
      </c>
      <c r="N39" s="6">
        <f>(Influent[[#This Row],[TON (mg L-1)]]-Influent[[#This Row],[NO2- (mg L-1)]])*4.426</f>
        <v>0.76892012800000009</v>
      </c>
      <c r="O39" s="6">
        <f>Influent[[#This Row],[NO2-N (mg L-1)]]*3.284</f>
        <v>2.6272E-2</v>
      </c>
      <c r="P39" s="29">
        <v>1247.5</v>
      </c>
      <c r="Q39" s="29">
        <v>8.0000000000000002E-3</v>
      </c>
      <c r="R39" s="19">
        <f>IF(Influent[[#This Row],[TON (mg L-1)]]-Influent[[#This Row],[NO2-N (mg L-1)]]&lt;0,0.2,Influent[[#This Row],[TON (mg L-1)]]-Influent[[#This Row],[NO2-N (mg L-1)]])</f>
        <v>0.192</v>
      </c>
      <c r="S39" s="6">
        <f>SUM(Influent[[#This Row],[NO3-N (mg L-1)]],Influent[[#This Row],[NO2-N (mg L-1)]],Influent[[#This Row],[NH4-N (mg L-1)]])</f>
        <v>1247.7</v>
      </c>
      <c r="T39" s="19">
        <f>IFERROR(Influent[[#This Row],[sCOD (mg L-1)]]/Influent[[#This Row],[TN (mg L-1)]], 0)</f>
        <v>2.0197162779514306</v>
      </c>
      <c r="U39" s="19">
        <f>Influent[[#This Row],[Alkalinity (mg CaCO3 L-1) ]]/Influent[[#This Row],[TN (mg L-1)]]</f>
        <v>3.6226657048970106</v>
      </c>
      <c r="V39" s="19">
        <f>Influent[[#This Row],[VSS (mg L-1)]]/Influent[[#This Row],[TSS (mg L-1)]]</f>
        <v>0.39506172839506171</v>
      </c>
    </row>
    <row r="40" spans="1:22" x14ac:dyDescent="0.3">
      <c r="A40" s="128">
        <v>43363</v>
      </c>
      <c r="B40" s="29">
        <v>37</v>
      </c>
      <c r="C40" s="19">
        <v>24.361710307747902</v>
      </c>
      <c r="D40" s="19"/>
      <c r="E40" s="29">
        <v>2925</v>
      </c>
      <c r="F40" s="29">
        <f>Influent[[#This Row],[COD (mg L-1)]]*Information!$AK$40</f>
        <v>2632.5</v>
      </c>
      <c r="G40" s="29">
        <v>5525</v>
      </c>
      <c r="H40" s="29">
        <v>8.4</v>
      </c>
      <c r="I40" s="29">
        <v>300</v>
      </c>
      <c r="J40" s="29">
        <v>96</v>
      </c>
      <c r="K40" s="29">
        <v>14.25</v>
      </c>
      <c r="L40" s="29">
        <v>0.8</v>
      </c>
      <c r="M40" s="6">
        <f>Influent[[#This Row],[NH4-N (mg L-1)]]*1.288</f>
        <v>1919.7640000000001</v>
      </c>
      <c r="N40" s="6">
        <f>(Influent[[#This Row],[TON (mg L-1)]]-Influent[[#This Row],[NO2- (mg L-1)]])*4.426</f>
        <v>-372.76993576000001</v>
      </c>
      <c r="O40" s="6">
        <f>Influent[[#This Row],[NO2-N (mg L-1)]]*3.284</f>
        <v>85.022759999999991</v>
      </c>
      <c r="P40" s="29">
        <v>1490.5</v>
      </c>
      <c r="Q40" s="29">
        <v>25.89</v>
      </c>
      <c r="R40" s="19">
        <f>IF(Influent[[#This Row],[TON (mg L-1)]]-Influent[[#This Row],[NO2-N (mg L-1)]]&lt;0,0.2,Influent[[#This Row],[TON (mg L-1)]]-Influent[[#This Row],[NO2-N (mg L-1)]])</f>
        <v>0.2</v>
      </c>
      <c r="S40" s="6">
        <f>SUM(Influent[[#This Row],[NO3-N (mg L-1)]],Influent[[#This Row],[NO2-N (mg L-1)]],Influent[[#This Row],[NH4-N (mg L-1)]])</f>
        <v>1516.59</v>
      </c>
      <c r="T40" s="19">
        <f>IFERROR(Influent[[#This Row],[sCOD (mg L-1)]]/Influent[[#This Row],[TN (mg L-1)]], 0)</f>
        <v>1.7358020295531424</v>
      </c>
      <c r="U40" s="19">
        <f>Influent[[#This Row],[Alkalinity (mg CaCO3 L-1) ]]/Influent[[#This Row],[TN (mg L-1)]]</f>
        <v>3.6430412965930148</v>
      </c>
      <c r="V40" s="19">
        <f>Influent[[#This Row],[VSS (mg L-1)]]/Influent[[#This Row],[TSS (mg L-1)]]</f>
        <v>0.32</v>
      </c>
    </row>
    <row r="41" spans="1:22" x14ac:dyDescent="0.3">
      <c r="A41" s="128">
        <v>43364</v>
      </c>
      <c r="B41" s="29">
        <v>38</v>
      </c>
      <c r="C41" s="19">
        <v>25.568812887687642</v>
      </c>
      <c r="D41" s="19"/>
      <c r="E41" s="29">
        <v>2880</v>
      </c>
      <c r="F41" s="29">
        <f>Influent[[#This Row],[COD (mg L-1)]]*Information!$AK$40</f>
        <v>2592</v>
      </c>
      <c r="G41" s="29">
        <v>5186</v>
      </c>
      <c r="H41" s="29">
        <v>8.4</v>
      </c>
      <c r="I41" s="29">
        <v>244</v>
      </c>
      <c r="J41">
        <v>26</v>
      </c>
      <c r="K41" s="29">
        <v>12.99</v>
      </c>
      <c r="L41" s="29">
        <v>18.2</v>
      </c>
      <c r="M41" s="6">
        <f>Influent[[#This Row],[NH4-N (mg L-1)]]*1.288</f>
        <v>1742.02</v>
      </c>
      <c r="N41" s="6">
        <f>(Influent[[#This Row],[TON (mg L-1)]]-Influent[[#This Row],[NO2- (mg L-1)]])*4.426</f>
        <v>-489.16003286399996</v>
      </c>
      <c r="O41" s="6">
        <f>Influent[[#This Row],[NO2-N (mg L-1)]]*3.284</f>
        <v>128.71966399999999</v>
      </c>
      <c r="P41" s="29">
        <v>1352.5</v>
      </c>
      <c r="Q41" s="29">
        <v>39.195999999999998</v>
      </c>
      <c r="R41" s="19">
        <f>IF(Influent[[#This Row],[TON (mg L-1)]]-Influent[[#This Row],[NO2-N (mg L-1)]]&lt;0,0.2,Influent[[#This Row],[TON (mg L-1)]]-Influent[[#This Row],[NO2-N (mg L-1)]])</f>
        <v>0.2</v>
      </c>
      <c r="S41" s="6">
        <f>SUM(Influent[[#This Row],[NO3-N (mg L-1)]],Influent[[#This Row],[NO2-N (mg L-1)]],Influent[[#This Row],[NH4-N (mg L-1)]])</f>
        <v>1391.896</v>
      </c>
      <c r="T41" s="19">
        <f>IFERROR(Influent[[#This Row],[sCOD (mg L-1)]]/Influent[[#This Row],[TN (mg L-1)]], 0)</f>
        <v>1.862208096007173</v>
      </c>
      <c r="U41" s="19">
        <f>Influent[[#This Row],[Alkalinity (mg CaCO3 L-1) ]]/Influent[[#This Row],[TN (mg L-1)]]</f>
        <v>3.7258530809773145</v>
      </c>
      <c r="V41" s="19">
        <f>Influent[[#This Row],[VSS (mg L-1)]]/Influent[[#This Row],[TSS (mg L-1)]]</f>
        <v>0.10655737704918032</v>
      </c>
    </row>
    <row r="42" spans="1:22" x14ac:dyDescent="0.3">
      <c r="A42" s="128">
        <v>43365</v>
      </c>
      <c r="B42" s="29">
        <v>39</v>
      </c>
      <c r="C42" s="19">
        <v>21.398897966797342</v>
      </c>
      <c r="D42" s="19"/>
      <c r="E42" s="29">
        <v>2870</v>
      </c>
      <c r="F42" s="29">
        <f>Influent[[#This Row],[COD (mg L-1)]]*Information!$AK$40</f>
        <v>2583</v>
      </c>
      <c r="G42" s="29">
        <v>5607</v>
      </c>
      <c r="H42" s="29">
        <v>8.5</v>
      </c>
      <c r="I42" s="29">
        <v>206</v>
      </c>
      <c r="J42">
        <v>33</v>
      </c>
      <c r="K42" s="29">
        <v>15.22</v>
      </c>
      <c r="L42" s="29">
        <v>2.8</v>
      </c>
      <c r="M42" s="6">
        <f>Influent[[#This Row],[NH4-N (mg L-1)]]*1.288</f>
        <v>1788.1304</v>
      </c>
      <c r="N42" s="6">
        <f>(Influent[[#This Row],[TON (mg L-1)]]-Influent[[#This Row],[NO2- (mg L-1)]])*4.426</f>
        <v>-432.30503548000002</v>
      </c>
      <c r="O42" s="6">
        <f>Influent[[#This Row],[NO2-N (mg L-1)]]*3.284</f>
        <v>100.47398</v>
      </c>
      <c r="P42" s="29">
        <v>1388.3</v>
      </c>
      <c r="Q42" s="29">
        <v>30.594999999999999</v>
      </c>
      <c r="R42" s="19">
        <f>IF(Influent[[#This Row],[TON (mg L-1)]]-Influent[[#This Row],[NO2-N (mg L-1)]]&lt;0,0.2,Influent[[#This Row],[TON (mg L-1)]]-Influent[[#This Row],[NO2-N (mg L-1)]])</f>
        <v>0.2</v>
      </c>
      <c r="S42" s="6">
        <f>SUM(Influent[[#This Row],[NO3-N (mg L-1)]],Influent[[#This Row],[NO2-N (mg L-1)]],Influent[[#This Row],[NH4-N (mg L-1)]])</f>
        <v>1419.095</v>
      </c>
      <c r="T42" s="19">
        <f>IFERROR(Influent[[#This Row],[sCOD (mg L-1)]]/Influent[[#This Row],[TN (mg L-1)]], 0)</f>
        <v>1.8201741250585761</v>
      </c>
      <c r="U42" s="19">
        <f>Influent[[#This Row],[Alkalinity (mg CaCO3 L-1) ]]/Influent[[#This Row],[TN (mg L-1)]]</f>
        <v>3.9511096861027628</v>
      </c>
      <c r="V42" s="19">
        <f>Influent[[#This Row],[VSS (mg L-1)]]/Influent[[#This Row],[TSS (mg L-1)]]</f>
        <v>0.16019417475728157</v>
      </c>
    </row>
    <row r="43" spans="1:22" x14ac:dyDescent="0.3">
      <c r="A43" s="128">
        <v>43366</v>
      </c>
      <c r="B43" s="29">
        <v>40</v>
      </c>
      <c r="C43" s="19">
        <v>19.382756648647913</v>
      </c>
      <c r="D43" s="19"/>
      <c r="E43" s="29">
        <v>2825</v>
      </c>
      <c r="F43" s="29">
        <f>Influent[[#This Row],[COD (mg L-1)]]*Information!$AK$40</f>
        <v>2542.5</v>
      </c>
      <c r="G43" s="29">
        <v>5402</v>
      </c>
      <c r="H43" s="29">
        <v>8.4</v>
      </c>
      <c r="I43" s="29">
        <v>206</v>
      </c>
      <c r="J43">
        <v>29</v>
      </c>
      <c r="K43" s="29">
        <v>12.93</v>
      </c>
      <c r="L43" s="29">
        <v>0.2</v>
      </c>
      <c r="M43" s="6">
        <f>Influent[[#This Row],[NH4-N (mg L-1)]]*1.288</f>
        <v>1825.9976000000001</v>
      </c>
      <c r="N43" s="6">
        <f>(Influent[[#This Row],[TON (mg L-1)]]-Influent[[#This Row],[NO2- (mg L-1)]])*4.426</f>
        <v>0.76892012800000009</v>
      </c>
      <c r="O43" s="6">
        <f>Influent[[#This Row],[NO2-N (mg L-1)]]*3.284</f>
        <v>2.6272E-2</v>
      </c>
      <c r="P43" s="29">
        <v>1417.7</v>
      </c>
      <c r="Q43" s="29">
        <v>8.0000000000000002E-3</v>
      </c>
      <c r="R43" s="19">
        <f>IF(Influent[[#This Row],[TON (mg L-1)]]-Influent[[#This Row],[NO2-N (mg L-1)]]&lt;0,0.2,Influent[[#This Row],[TON (mg L-1)]]-Influent[[#This Row],[NO2-N (mg L-1)]])</f>
        <v>0.192</v>
      </c>
      <c r="S43" s="6">
        <f>SUM(Influent[[#This Row],[NO3-N (mg L-1)]],Influent[[#This Row],[NO2-N (mg L-1)]],Influent[[#This Row],[NH4-N (mg L-1)]])</f>
        <v>1417.9</v>
      </c>
      <c r="T43" s="19">
        <f>IFERROR(Influent[[#This Row],[sCOD (mg L-1)]]/Influent[[#This Row],[TN (mg L-1)]], 0)</f>
        <v>1.7931447915932011</v>
      </c>
      <c r="U43" s="19">
        <f>Influent[[#This Row],[Alkalinity (mg CaCO3 L-1) ]]/Influent[[#This Row],[TN (mg L-1)]]</f>
        <v>3.8098596515974328</v>
      </c>
      <c r="V43" s="19">
        <f>Influent[[#This Row],[VSS (mg L-1)]]/Influent[[#This Row],[TSS (mg L-1)]]</f>
        <v>0.14077669902912621</v>
      </c>
    </row>
    <row r="44" spans="1:22" x14ac:dyDescent="0.3">
      <c r="A44" s="128">
        <v>43367</v>
      </c>
      <c r="B44" s="29">
        <v>41</v>
      </c>
      <c r="C44" s="19">
        <v>23.744653550836205</v>
      </c>
      <c r="D44" s="19"/>
      <c r="E44" s="29">
        <v>2800</v>
      </c>
      <c r="F44" s="29">
        <f>Influent[[#This Row],[COD (mg L-1)]]*Information!$AK$40</f>
        <v>2520</v>
      </c>
      <c r="G44" s="29">
        <v>5678</v>
      </c>
      <c r="H44" s="29">
        <v>8.5</v>
      </c>
      <c r="I44" s="29">
        <v>214</v>
      </c>
      <c r="J44">
        <v>39</v>
      </c>
      <c r="K44" s="29">
        <v>14.94</v>
      </c>
      <c r="L44" s="29">
        <v>12.6</v>
      </c>
      <c r="M44" s="6">
        <f>Influent[[#This Row],[NH4-N (mg L-1)]]*1.288</f>
        <v>1757.9912000000002</v>
      </c>
      <c r="N44" s="6">
        <f>(Influent[[#This Row],[TON (mg L-1)]]-Influent[[#This Row],[NO2- (mg L-1)]])*4.426</f>
        <v>-470.58777559200001</v>
      </c>
      <c r="O44" s="6">
        <f>Influent[[#This Row],[NO2-N (mg L-1)]]*3.284</f>
        <v>118.923492</v>
      </c>
      <c r="P44" s="29">
        <v>1364.9</v>
      </c>
      <c r="Q44" s="29">
        <v>36.213000000000001</v>
      </c>
      <c r="R44" s="19">
        <f>IF(Influent[[#This Row],[TON (mg L-1)]]-Influent[[#This Row],[NO2-N (mg L-1)]]&lt;0,0.2,Influent[[#This Row],[TON (mg L-1)]]-Influent[[#This Row],[NO2-N (mg L-1)]])</f>
        <v>0.2</v>
      </c>
      <c r="S44" s="6">
        <f>SUM(Influent[[#This Row],[NO3-N (mg L-1)]],Influent[[#This Row],[NO2-N (mg L-1)]],Influent[[#This Row],[NH4-N (mg L-1)]])</f>
        <v>1401.3130000000001</v>
      </c>
      <c r="T44" s="19">
        <f>IFERROR(Influent[[#This Row],[sCOD (mg L-1)]]/Influent[[#This Row],[TN (mg L-1)]], 0)</f>
        <v>1.798313438896235</v>
      </c>
      <c r="U44" s="19">
        <f>Influent[[#This Row],[Alkalinity (mg CaCO3 L-1) ]]/Influent[[#This Row],[TN (mg L-1)]]</f>
        <v>4.0519141690685805</v>
      </c>
      <c r="V44" s="19">
        <f>Influent[[#This Row],[VSS (mg L-1)]]/Influent[[#This Row],[TSS (mg L-1)]]</f>
        <v>0.1822429906542056</v>
      </c>
    </row>
    <row r="45" spans="1:22" x14ac:dyDescent="0.3">
      <c r="A45" s="128">
        <v>43368</v>
      </c>
      <c r="B45" s="29">
        <v>42</v>
      </c>
      <c r="C45" s="19">
        <v>20.012292835125695</v>
      </c>
      <c r="D45" s="19"/>
      <c r="E45" s="29">
        <v>2295</v>
      </c>
      <c r="F45" s="29">
        <f>Influent[[#This Row],[COD (mg L-1)]]*Information!$AK$40</f>
        <v>2065.5</v>
      </c>
      <c r="G45" s="29">
        <v>4423</v>
      </c>
      <c r="H45" s="29">
        <v>8.4</v>
      </c>
      <c r="I45" s="29">
        <v>600</v>
      </c>
      <c r="J45">
        <v>13</v>
      </c>
      <c r="K45" s="29">
        <v>10.84</v>
      </c>
      <c r="L45" s="29">
        <v>0.2</v>
      </c>
      <c r="M45" s="6">
        <f>Influent[[#This Row],[NH4-N (mg L-1)]]*1.288</f>
        <v>1552.4264000000001</v>
      </c>
      <c r="N45" s="6">
        <f>(Influent[[#This Row],[TON (mg L-1)]]-Influent[[#This Row],[NO2- (mg L-1)]])*4.426</f>
        <v>-1.6148172479999996</v>
      </c>
      <c r="O45" s="6">
        <f>Influent[[#This Row],[NO2-N (mg L-1)]]*3.284</f>
        <v>0.56484799999999991</v>
      </c>
      <c r="P45" s="29">
        <v>1205.3</v>
      </c>
      <c r="Q45" s="29">
        <v>0.17199999999999999</v>
      </c>
      <c r="R45" s="19">
        <f>IF(Influent[[#This Row],[TON (mg L-1)]]-Influent[[#This Row],[NO2-N (mg L-1)]]&lt;0,0.2,Influent[[#This Row],[TON (mg L-1)]]-Influent[[#This Row],[NO2-N (mg L-1)]])</f>
        <v>2.8000000000000025E-2</v>
      </c>
      <c r="S45" s="6">
        <f>SUM(Influent[[#This Row],[NO3-N (mg L-1)]],Influent[[#This Row],[NO2-N (mg L-1)]],Influent[[#This Row],[NH4-N (mg L-1)]])</f>
        <v>1205.5</v>
      </c>
      <c r="T45" s="19">
        <f>IFERROR(Influent[[#This Row],[sCOD (mg L-1)]]/Influent[[#This Row],[TN (mg L-1)]], 0)</f>
        <v>1.7133969307341352</v>
      </c>
      <c r="U45" s="19">
        <f>Influent[[#This Row],[Alkalinity (mg CaCO3 L-1) ]]/Influent[[#This Row],[TN (mg L-1)]]</f>
        <v>3.6690170053919537</v>
      </c>
      <c r="V45" s="19">
        <f>Influent[[#This Row],[VSS (mg L-1)]]/Influent[[#This Row],[TSS (mg L-1)]]</f>
        <v>2.1666666666666667E-2</v>
      </c>
    </row>
    <row r="46" spans="1:22" x14ac:dyDescent="0.3">
      <c r="A46" s="128">
        <v>43369</v>
      </c>
      <c r="B46" s="29">
        <v>43</v>
      </c>
      <c r="C46" s="19">
        <v>18.772381543864892</v>
      </c>
      <c r="D46" s="19"/>
      <c r="E46" s="29">
        <v>2630</v>
      </c>
      <c r="F46" s="29">
        <f>Influent[[#This Row],[COD (mg L-1)]]*Information!$AK$40</f>
        <v>2367</v>
      </c>
      <c r="G46" s="29">
        <v>4970</v>
      </c>
      <c r="H46" s="29">
        <v>8.4</v>
      </c>
      <c r="I46" s="29">
        <v>780</v>
      </c>
      <c r="J46">
        <v>150</v>
      </c>
      <c r="K46" s="29">
        <v>13.89</v>
      </c>
      <c r="L46" s="29">
        <v>0.2</v>
      </c>
      <c r="M46" s="6">
        <f>Influent[[#This Row],[NH4-N (mg L-1)]]*1.288</f>
        <v>1772.0304000000001</v>
      </c>
      <c r="N46" s="6">
        <f>(Influent[[#This Row],[TON (mg L-1)]]-Influent[[#This Row],[NO2- (mg L-1)]])*4.426</f>
        <v>-2.5450562240000001</v>
      </c>
      <c r="O46" s="6">
        <f>Influent[[#This Row],[NO2-N (mg L-1)]]*3.284</f>
        <v>0.77502399999999994</v>
      </c>
      <c r="P46" s="29">
        <v>1375.8</v>
      </c>
      <c r="Q46" s="29">
        <v>0.23599999999999999</v>
      </c>
      <c r="R46" s="19">
        <f>IF(Influent[[#This Row],[TON (mg L-1)]]-Influent[[#This Row],[NO2-N (mg L-1)]]&lt;0,0.2,Influent[[#This Row],[TON (mg L-1)]]-Influent[[#This Row],[NO2-N (mg L-1)]])</f>
        <v>0.2</v>
      </c>
      <c r="S46" s="6">
        <f>SUM(Influent[[#This Row],[NO3-N (mg L-1)]],Influent[[#This Row],[NO2-N (mg L-1)]],Influent[[#This Row],[NH4-N (mg L-1)]])</f>
        <v>1376.2359999999999</v>
      </c>
      <c r="T46" s="19">
        <f>IFERROR(Influent[[#This Row],[sCOD (mg L-1)]]/Influent[[#This Row],[TN (mg L-1)]], 0)</f>
        <v>1.71990850406471</v>
      </c>
      <c r="U46" s="19">
        <f>Influent[[#This Row],[Alkalinity (mg CaCO3 L-1) ]]/Influent[[#This Row],[TN (mg L-1)]]</f>
        <v>3.6112992248422513</v>
      </c>
      <c r="V46" s="19">
        <f>Influent[[#This Row],[VSS (mg L-1)]]/Influent[[#This Row],[TSS (mg L-1)]]</f>
        <v>0.19230769230769232</v>
      </c>
    </row>
    <row r="47" spans="1:22" x14ac:dyDescent="0.3">
      <c r="A47" s="128">
        <v>43370</v>
      </c>
      <c r="B47" s="29">
        <v>44</v>
      </c>
      <c r="C47" s="19">
        <v>17.852152040210793</v>
      </c>
      <c r="D47" s="19"/>
      <c r="E47" s="29">
        <v>2810</v>
      </c>
      <c r="F47" s="29">
        <f>Influent[[#This Row],[COD (mg L-1)]]*Information!$AK$40</f>
        <v>2529</v>
      </c>
      <c r="G47" s="29">
        <v>5247</v>
      </c>
      <c r="H47" s="29">
        <v>8.5</v>
      </c>
      <c r="I47" s="29">
        <v>740</v>
      </c>
      <c r="J47">
        <v>50</v>
      </c>
      <c r="K47" s="29">
        <v>18.79</v>
      </c>
      <c r="L47" s="29">
        <v>0.2</v>
      </c>
      <c r="M47" s="6">
        <f>Influent[[#This Row],[NH4-N (mg L-1)]]*1.288</f>
        <v>1888.9808</v>
      </c>
      <c r="N47" s="6">
        <f>(Influent[[#This Row],[TON (mg L-1)]]-Influent[[#This Row],[NO2- (mg L-1)]])*4.426</f>
        <v>0.76892012800000009</v>
      </c>
      <c r="O47" s="6">
        <f>Influent[[#This Row],[NO2-N (mg L-1)]]*3.284</f>
        <v>2.6272E-2</v>
      </c>
      <c r="P47" s="29">
        <v>1466.6</v>
      </c>
      <c r="Q47" s="29">
        <v>8.0000000000000002E-3</v>
      </c>
      <c r="R47" s="19">
        <f>IF(Influent[[#This Row],[TON (mg L-1)]]-Influent[[#This Row],[NO2-N (mg L-1)]]&lt;0,0.2,Influent[[#This Row],[TON (mg L-1)]]-Influent[[#This Row],[NO2-N (mg L-1)]])</f>
        <v>0.192</v>
      </c>
      <c r="S47" s="6">
        <f>SUM(Influent[[#This Row],[NO3-N (mg L-1)]],Influent[[#This Row],[NO2-N (mg L-1)]],Influent[[#This Row],[NH4-N (mg L-1)]])</f>
        <v>1466.8</v>
      </c>
      <c r="T47" s="19">
        <f>IFERROR(Influent[[#This Row],[sCOD (mg L-1)]]/Influent[[#This Row],[TN (mg L-1)]], 0)</f>
        <v>1.7241614398691028</v>
      </c>
      <c r="U47" s="19">
        <f>Influent[[#This Row],[Alkalinity (mg CaCO3 L-1) ]]/Influent[[#This Row],[TN (mg L-1)]]</f>
        <v>3.5771748022907008</v>
      </c>
      <c r="V47" s="19">
        <f>Influent[[#This Row],[VSS (mg L-1)]]/Influent[[#This Row],[TSS (mg L-1)]]</f>
        <v>6.7567567567567571E-2</v>
      </c>
    </row>
    <row r="48" spans="1:22" x14ac:dyDescent="0.3">
      <c r="A48" s="128">
        <v>43371</v>
      </c>
      <c r="B48" s="29">
        <v>45</v>
      </c>
      <c r="C48" s="19">
        <v>24.552837541309426</v>
      </c>
      <c r="D48" s="19"/>
      <c r="E48">
        <v>2610</v>
      </c>
      <c r="F48" s="29">
        <f>Influent[[#This Row],[COD (mg L-1)]]*Information!$AK$40</f>
        <v>2349</v>
      </c>
      <c r="G48" s="22">
        <v>4626</v>
      </c>
      <c r="H48">
        <v>8.5</v>
      </c>
      <c r="I48">
        <v>182</v>
      </c>
      <c r="J48" s="29">
        <v>37</v>
      </c>
      <c r="K48" s="6">
        <v>14.31</v>
      </c>
      <c r="L48" s="19">
        <v>0.2</v>
      </c>
      <c r="M48" s="6">
        <f>Influent[[#This Row],[NH4-N (mg L-1)]]*1.288</f>
        <v>1634.7296000000001</v>
      </c>
      <c r="N48" s="6">
        <f>(Influent[[#This Row],[TON (mg L-1)]]-Influent[[#This Row],[NO2- (mg L-1)]])*4.426</f>
        <v>0.76892012800000009</v>
      </c>
      <c r="O48" s="6">
        <f>Influent[[#This Row],[NO2-N (mg L-1)]]*3.284</f>
        <v>2.6272E-2</v>
      </c>
      <c r="P48" s="6">
        <v>1269.2</v>
      </c>
      <c r="Q48" s="20">
        <v>8.0000000000000002E-3</v>
      </c>
      <c r="R48" s="19">
        <f>IF(Influent[[#This Row],[TON (mg L-1)]]-Influent[[#This Row],[NO2-N (mg L-1)]]&lt;0,0.2,Influent[[#This Row],[TON (mg L-1)]]-Influent[[#This Row],[NO2-N (mg L-1)]])</f>
        <v>0.192</v>
      </c>
      <c r="S48" s="6">
        <f>SUM(Influent[[#This Row],[NO3-N (mg L-1)]],Influent[[#This Row],[NO2-N (mg L-1)]],Influent[[#This Row],[NH4-N (mg L-1)]])</f>
        <v>1269.4000000000001</v>
      </c>
      <c r="T48" s="19">
        <f>IFERROR(Influent[[#This Row],[sCOD (mg L-1)]]/Influent[[#This Row],[TN (mg L-1)]], 0)</f>
        <v>1.8504805419883408</v>
      </c>
      <c r="U48" s="19">
        <f>Influent[[#This Row],[Alkalinity (mg CaCO3 L-1) ]]/Influent[[#This Row],[TN (mg L-1)]]</f>
        <v>3.644241373877422</v>
      </c>
      <c r="V48" s="19">
        <f>Influent[[#This Row],[VSS (mg L-1)]]/Influent[[#This Row],[TSS (mg L-1)]]</f>
        <v>0.2032967032967033</v>
      </c>
    </row>
    <row r="49" spans="1:22" x14ac:dyDescent="0.3">
      <c r="A49" s="128">
        <v>43372</v>
      </c>
      <c r="B49" s="29">
        <v>46</v>
      </c>
      <c r="C49" s="19">
        <v>20.372512805134999</v>
      </c>
      <c r="D49" s="19"/>
      <c r="E49">
        <v>2910</v>
      </c>
      <c r="F49" s="29">
        <f>Influent[[#This Row],[COD (mg L-1)]]*Information!$AK$40</f>
        <v>2619</v>
      </c>
      <c r="G49" s="22">
        <v>4968</v>
      </c>
      <c r="H49">
        <v>8.3000000000000007</v>
      </c>
      <c r="I49">
        <v>154</v>
      </c>
      <c r="J49" s="29">
        <v>29</v>
      </c>
      <c r="K49" s="6">
        <v>16.260000000000002</v>
      </c>
      <c r="L49" s="19">
        <v>0.6</v>
      </c>
      <c r="M49" s="6">
        <f>Influent[[#This Row],[NH4-N (mg L-1)]]*1.288</f>
        <v>1684.3176000000001</v>
      </c>
      <c r="N49" s="6">
        <f>(Influent[[#This Row],[TON (mg L-1)]]-Influent[[#This Row],[NO2- (mg L-1)]])*4.426</f>
        <v>2.539320128</v>
      </c>
      <c r="O49" s="6">
        <f>Influent[[#This Row],[NO2-N (mg L-1)]]*3.284</f>
        <v>2.6272E-2</v>
      </c>
      <c r="P49" s="6">
        <v>1307.7</v>
      </c>
      <c r="Q49" s="20">
        <v>8.0000000000000002E-3</v>
      </c>
      <c r="R49" s="19">
        <f>IF(Influent[[#This Row],[TON (mg L-1)]]-Influent[[#This Row],[NO2-N (mg L-1)]]&lt;0,0.2,Influent[[#This Row],[TON (mg L-1)]]-Influent[[#This Row],[NO2-N (mg L-1)]])</f>
        <v>0.59199999999999997</v>
      </c>
      <c r="S49" s="6">
        <f>SUM(Influent[[#This Row],[NO3-N (mg L-1)]],Influent[[#This Row],[NO2-N (mg L-1)]],Influent[[#This Row],[NH4-N (mg L-1)]])</f>
        <v>1308.3</v>
      </c>
      <c r="T49" s="19">
        <f>IFERROR(Influent[[#This Row],[sCOD (mg L-1)]]/Influent[[#This Row],[TN (mg L-1)]], 0)</f>
        <v>2.0018344416418254</v>
      </c>
      <c r="U49" s="19">
        <f>Influent[[#This Row],[Alkalinity (mg CaCO3 L-1) ]]/Influent[[#This Row],[TN (mg L-1)]]</f>
        <v>3.797294198578308</v>
      </c>
      <c r="V49" s="19">
        <f>Influent[[#This Row],[VSS (mg L-1)]]/Influent[[#This Row],[TSS (mg L-1)]]</f>
        <v>0.18831168831168832</v>
      </c>
    </row>
    <row r="50" spans="1:22" x14ac:dyDescent="0.3">
      <c r="A50" s="128">
        <v>43373</v>
      </c>
      <c r="B50" s="29">
        <v>47</v>
      </c>
      <c r="C50" s="19">
        <v>23.51787360051323</v>
      </c>
      <c r="D50" s="19"/>
      <c r="E50">
        <v>2970</v>
      </c>
      <c r="F50" s="29">
        <f>Influent[[#This Row],[COD (mg L-1)]]*Information!$AK$40</f>
        <v>2673</v>
      </c>
      <c r="G50" s="22">
        <v>5227</v>
      </c>
      <c r="H50">
        <v>8.3000000000000007</v>
      </c>
      <c r="I50">
        <v>182</v>
      </c>
      <c r="J50" s="29">
        <v>27</v>
      </c>
      <c r="K50" s="6">
        <v>15.34</v>
      </c>
      <c r="L50" s="19">
        <v>0.2</v>
      </c>
      <c r="M50" s="6">
        <f>Influent[[#This Row],[NH4-N (mg L-1)]]*1.288</f>
        <v>1777.9552000000001</v>
      </c>
      <c r="N50" s="6">
        <f>(Influent[[#This Row],[TON (mg L-1)]]-Influent[[#This Row],[NO2- (mg L-1)]])*4.426</f>
        <v>0.76892012800000009</v>
      </c>
      <c r="O50" s="6">
        <f>Influent[[#This Row],[NO2-N (mg L-1)]]*3.284</f>
        <v>2.6272E-2</v>
      </c>
      <c r="P50" s="6">
        <v>1380.4</v>
      </c>
      <c r="Q50" s="20">
        <v>8.0000000000000002E-3</v>
      </c>
      <c r="R50" s="19">
        <f>IF(Influent[[#This Row],[TON (mg L-1)]]-Influent[[#This Row],[NO2-N (mg L-1)]]&lt;0,0.2,Influent[[#This Row],[TON (mg L-1)]]-Influent[[#This Row],[NO2-N (mg L-1)]])</f>
        <v>0.192</v>
      </c>
      <c r="S50" s="6">
        <f>SUM(Influent[[#This Row],[NO3-N (mg L-1)]],Influent[[#This Row],[NO2-N (mg L-1)]],Influent[[#This Row],[NH4-N (mg L-1)]])</f>
        <v>1380.6000000000001</v>
      </c>
      <c r="T50" s="19">
        <f>IFERROR(Influent[[#This Row],[sCOD (mg L-1)]]/Influent[[#This Row],[TN (mg L-1)]], 0)</f>
        <v>1.936114732724902</v>
      </c>
      <c r="U50" s="19">
        <f>Influent[[#This Row],[Alkalinity (mg CaCO3 L-1) ]]/Influent[[#This Row],[TN (mg L-1)]]</f>
        <v>3.7860350572214974</v>
      </c>
      <c r="V50" s="19">
        <f>Influent[[#This Row],[VSS (mg L-1)]]/Influent[[#This Row],[TSS (mg L-1)]]</f>
        <v>0.14835164835164835</v>
      </c>
    </row>
    <row r="51" spans="1:22" x14ac:dyDescent="0.3">
      <c r="A51" s="128">
        <v>43374</v>
      </c>
      <c r="B51" s="29">
        <v>48</v>
      </c>
      <c r="C51" s="19">
        <v>23.141081658058472</v>
      </c>
      <c r="D51" s="19"/>
      <c r="E51">
        <v>2960</v>
      </c>
      <c r="F51" s="29">
        <f>Influent[[#This Row],[COD (mg L-1)]]*Information!$AK$40</f>
        <v>2664</v>
      </c>
      <c r="G51" s="22">
        <v>4976</v>
      </c>
      <c r="H51">
        <v>8.3000000000000007</v>
      </c>
      <c r="I51">
        <v>162</v>
      </c>
      <c r="J51" s="29">
        <v>33</v>
      </c>
      <c r="K51" s="6">
        <v>13.37</v>
      </c>
      <c r="L51" s="19">
        <v>0.2</v>
      </c>
      <c r="M51" s="6">
        <f>Influent[[#This Row],[NH4-N (mg L-1)]]*1.288</f>
        <v>1740.6032000000002</v>
      </c>
      <c r="N51" s="6">
        <f>(Influent[[#This Row],[TON (mg L-1)]]-Influent[[#This Row],[NO2- (mg L-1)]])*4.426</f>
        <v>-85.263650167999998</v>
      </c>
      <c r="O51" s="6">
        <f>Influent[[#This Row],[NO2-N (mg L-1)]]*3.284</f>
        <v>19.464267999999997</v>
      </c>
      <c r="P51" s="6">
        <v>1351.4</v>
      </c>
      <c r="Q51" s="20">
        <v>5.9269999999999996</v>
      </c>
      <c r="R51" s="19">
        <f>IF(Influent[[#This Row],[TON (mg L-1)]]-Influent[[#This Row],[NO2-N (mg L-1)]]&lt;0,0.2,Influent[[#This Row],[TON (mg L-1)]]-Influent[[#This Row],[NO2-N (mg L-1)]])</f>
        <v>0.2</v>
      </c>
      <c r="S51" s="6">
        <f>SUM(Influent[[#This Row],[NO3-N (mg L-1)]],Influent[[#This Row],[NO2-N (mg L-1)]],Influent[[#This Row],[NH4-N (mg L-1)]])</f>
        <v>1357.527</v>
      </c>
      <c r="T51" s="19">
        <f>IFERROR(Influent[[#This Row],[sCOD (mg L-1)]]/Influent[[#This Row],[TN (mg L-1)]], 0)</f>
        <v>1.9623919082272396</v>
      </c>
      <c r="U51" s="19">
        <f>Influent[[#This Row],[Alkalinity (mg CaCO3 L-1) ]]/Influent[[#This Row],[TN (mg L-1)]]</f>
        <v>3.6654887895415706</v>
      </c>
      <c r="V51" s="19">
        <f>Influent[[#This Row],[VSS (mg L-1)]]/Influent[[#This Row],[TSS (mg L-1)]]</f>
        <v>0.20370370370370369</v>
      </c>
    </row>
    <row r="52" spans="1:22" x14ac:dyDescent="0.3">
      <c r="A52" s="128">
        <v>43375</v>
      </c>
      <c r="B52" s="29">
        <v>49</v>
      </c>
      <c r="C52" s="19">
        <v>21.879192345012438</v>
      </c>
      <c r="D52" s="19"/>
      <c r="E52">
        <v>2930</v>
      </c>
      <c r="F52" s="29">
        <f>Influent[[#This Row],[COD (mg L-1)]]*Information!$AK$40</f>
        <v>2637</v>
      </c>
      <c r="G52" s="22">
        <v>5073</v>
      </c>
      <c r="H52">
        <v>8.3000000000000007</v>
      </c>
      <c r="I52">
        <v>150</v>
      </c>
      <c r="J52" s="29">
        <v>27</v>
      </c>
      <c r="K52" s="6">
        <v>16.29</v>
      </c>
      <c r="L52" s="19">
        <v>0.2</v>
      </c>
      <c r="M52" s="6">
        <f>Influent[[#This Row],[NH4-N (mg L-1)]]*1.288</f>
        <v>1747.5583999999999</v>
      </c>
      <c r="N52" s="6">
        <f>(Influent[[#This Row],[TON (mg L-1)]]-Influent[[#This Row],[NO2- (mg L-1)]])*4.426</f>
        <v>0.76892012800000009</v>
      </c>
      <c r="O52" s="6">
        <f>Influent[[#This Row],[NO2-N (mg L-1)]]*3.284</f>
        <v>2.6272E-2</v>
      </c>
      <c r="P52" s="6">
        <v>1356.8</v>
      </c>
      <c r="Q52" s="20">
        <v>8.0000000000000002E-3</v>
      </c>
      <c r="R52" s="19">
        <f>IF(Influent[[#This Row],[TON (mg L-1)]]-Influent[[#This Row],[NO2-N (mg L-1)]]&lt;0,0.2,Influent[[#This Row],[TON (mg L-1)]]-Influent[[#This Row],[NO2-N (mg L-1)]])</f>
        <v>0.192</v>
      </c>
      <c r="S52" s="6">
        <f>SUM(Influent[[#This Row],[NO3-N (mg L-1)]],Influent[[#This Row],[NO2-N (mg L-1)]],Influent[[#This Row],[NH4-N (mg L-1)]])</f>
        <v>1357</v>
      </c>
      <c r="T52" s="19">
        <f>IFERROR(Influent[[#This Row],[sCOD (mg L-1)]]/Influent[[#This Row],[TN (mg L-1)]], 0)</f>
        <v>1.9432571849668385</v>
      </c>
      <c r="U52" s="19">
        <f>Influent[[#This Row],[Alkalinity (mg CaCO3 L-1) ]]/Influent[[#This Row],[TN (mg L-1)]]</f>
        <v>3.7383935151068535</v>
      </c>
      <c r="V52" s="19">
        <f>Influent[[#This Row],[VSS (mg L-1)]]/Influent[[#This Row],[TSS (mg L-1)]]</f>
        <v>0.18</v>
      </c>
    </row>
    <row r="53" spans="1:22" x14ac:dyDescent="0.3">
      <c r="A53" s="128">
        <v>43376</v>
      </c>
      <c r="B53" s="29">
        <v>50</v>
      </c>
      <c r="C53" s="19">
        <v>23.876918858929006</v>
      </c>
      <c r="D53" s="19"/>
      <c r="E53">
        <v>2670</v>
      </c>
      <c r="F53" s="29">
        <f>Influent[[#This Row],[COD (mg L-1)]]*Information!$AK$40</f>
        <v>2403</v>
      </c>
      <c r="G53" s="22">
        <v>4694</v>
      </c>
      <c r="H53">
        <v>8.5</v>
      </c>
      <c r="I53">
        <v>184</v>
      </c>
      <c r="K53" s="6">
        <v>13.31</v>
      </c>
      <c r="L53" s="19">
        <v>0.2</v>
      </c>
      <c r="M53" s="6">
        <f>Influent[[#This Row],[NH4-N (mg L-1)]]*1.288</f>
        <v>1612.8336000000002</v>
      </c>
      <c r="N53" s="6">
        <f>(Influent[[#This Row],[TON (mg L-1)]]-Influent[[#This Row],[NO2- (mg L-1)]])*4.426</f>
        <v>0.76892012800000009</v>
      </c>
      <c r="O53" s="6">
        <f>Influent[[#This Row],[NO2-N (mg L-1)]]*3.284</f>
        <v>2.6272E-2</v>
      </c>
      <c r="P53" s="6">
        <v>1252.2</v>
      </c>
      <c r="Q53" s="20">
        <v>8.0000000000000002E-3</v>
      </c>
      <c r="R53" s="19">
        <f>IF(Influent[[#This Row],[TON (mg L-1)]]-Influent[[#This Row],[NO2-N (mg L-1)]]&lt;0,0.2,Influent[[#This Row],[TON (mg L-1)]]-Influent[[#This Row],[NO2-N (mg L-1)]])</f>
        <v>0.192</v>
      </c>
      <c r="S53" s="6">
        <f>SUM(Influent[[#This Row],[NO3-N (mg L-1)]],Influent[[#This Row],[NO2-N (mg L-1)]],Influent[[#This Row],[NH4-N (mg L-1)]])</f>
        <v>1252.4000000000001</v>
      </c>
      <c r="T53" s="19">
        <f>IFERROR(Influent[[#This Row],[sCOD (mg L-1)]]/Influent[[#This Row],[TN (mg L-1)]], 0)</f>
        <v>1.9187160651549025</v>
      </c>
      <c r="U53" s="19">
        <f>Influent[[#This Row],[Alkalinity (mg CaCO3 L-1) ]]/Influent[[#This Row],[TN (mg L-1)]]</f>
        <v>3.7480038326413285</v>
      </c>
      <c r="V53" s="19">
        <f>Influent[[#This Row],[VSS (mg L-1)]]/Influent[[#This Row],[TSS (mg L-1)]]</f>
        <v>0</v>
      </c>
    </row>
    <row r="54" spans="1:22" x14ac:dyDescent="0.3">
      <c r="A54" s="128">
        <v>43377</v>
      </c>
      <c r="B54" s="29">
        <v>51</v>
      </c>
      <c r="C54" s="19">
        <v>22.618395458778878</v>
      </c>
      <c r="D54" s="19"/>
      <c r="E54">
        <v>2250</v>
      </c>
      <c r="F54" s="29">
        <f>Influent[[#This Row],[COD (mg L-1)]]*Information!$AK$40</f>
        <v>2025</v>
      </c>
      <c r="G54" s="22">
        <v>3822</v>
      </c>
      <c r="H54">
        <v>8.4</v>
      </c>
      <c r="I54">
        <v>234</v>
      </c>
      <c r="K54" s="6">
        <v>12.04</v>
      </c>
      <c r="L54" s="19">
        <v>0.2</v>
      </c>
      <c r="M54" s="6">
        <f>Influent[[#This Row],[NH4-N (mg L-1)]]*1.288</f>
        <v>1342.2248</v>
      </c>
      <c r="N54" s="6">
        <f>(Influent[[#This Row],[TON (mg L-1)]]-Influent[[#This Row],[NO2- (mg L-1)]])*4.426</f>
        <v>0.76892012800000009</v>
      </c>
      <c r="O54" s="6">
        <f>Influent[[#This Row],[NO2-N (mg L-1)]]*3.284</f>
        <v>2.6272E-2</v>
      </c>
      <c r="P54" s="6">
        <v>1042.0999999999999</v>
      </c>
      <c r="Q54" s="20">
        <v>8.0000000000000002E-3</v>
      </c>
      <c r="R54" s="19">
        <f>IF(Influent[[#This Row],[TON (mg L-1)]]-Influent[[#This Row],[NO2-N (mg L-1)]]&lt;0,0.2,Influent[[#This Row],[TON (mg L-1)]]-Influent[[#This Row],[NO2-N (mg L-1)]])</f>
        <v>0.192</v>
      </c>
      <c r="S54" s="6">
        <f>SUM(Influent[[#This Row],[NO3-N (mg L-1)]],Influent[[#This Row],[NO2-N (mg L-1)]],Influent[[#This Row],[NH4-N (mg L-1)]])</f>
        <v>1042.3</v>
      </c>
      <c r="T54" s="19">
        <f>IFERROR(Influent[[#This Row],[sCOD (mg L-1)]]/Influent[[#This Row],[TN (mg L-1)]], 0)</f>
        <v>1.9428187661901564</v>
      </c>
      <c r="U54" s="19">
        <f>Influent[[#This Row],[Alkalinity (mg CaCO3 L-1) ]]/Influent[[#This Row],[TN (mg L-1)]]</f>
        <v>3.6668905305574211</v>
      </c>
      <c r="V54" s="19">
        <f>Influent[[#This Row],[VSS (mg L-1)]]/Influent[[#This Row],[TSS (mg L-1)]]</f>
        <v>0</v>
      </c>
    </row>
    <row r="55" spans="1:22" x14ac:dyDescent="0.3">
      <c r="A55" s="128">
        <v>43378</v>
      </c>
      <c r="B55" s="29">
        <v>52</v>
      </c>
      <c r="C55" s="19">
        <v>22.446016066689246</v>
      </c>
      <c r="D55" s="19"/>
      <c r="E55">
        <v>1815</v>
      </c>
      <c r="F55" s="29">
        <f>Influent[[#This Row],[COD (mg L-1)]]*Information!$AK$40</f>
        <v>1633.5</v>
      </c>
      <c r="G55" s="22">
        <v>3907</v>
      </c>
      <c r="H55">
        <v>8.4</v>
      </c>
      <c r="I55">
        <v>340</v>
      </c>
      <c r="J55">
        <v>300</v>
      </c>
      <c r="K55" s="6">
        <v>13.34</v>
      </c>
      <c r="L55" s="19">
        <v>0.2</v>
      </c>
      <c r="M55" s="6">
        <f>Influent[[#This Row],[NH4-N (mg L-1)]]*1.288</f>
        <v>1311.5704000000001</v>
      </c>
      <c r="N55" s="6">
        <f>(Influent[[#This Row],[TON (mg L-1)]]-Influent[[#This Row],[NO2- (mg L-1)]])*4.426</f>
        <v>-129.20290679999999</v>
      </c>
      <c r="O55" s="6">
        <f>Influent[[#This Row],[NO2-N (mg L-1)]]*3.284</f>
        <v>29.391799999999996</v>
      </c>
      <c r="P55" s="6">
        <v>1018.3</v>
      </c>
      <c r="Q55" s="20">
        <v>8.9499999999999993</v>
      </c>
      <c r="R55" s="19">
        <f>IF(Influent[[#This Row],[TON (mg L-1)]]-Influent[[#This Row],[NO2-N (mg L-1)]]&lt;0,0.2,Influent[[#This Row],[TON (mg L-1)]]-Influent[[#This Row],[NO2-N (mg L-1)]])</f>
        <v>0.2</v>
      </c>
      <c r="S55" s="6">
        <f>SUM(Influent[[#This Row],[NO3-N (mg L-1)]],Influent[[#This Row],[NO2-N (mg L-1)]],Influent[[#This Row],[NH4-N (mg L-1)]])</f>
        <v>1027.45</v>
      </c>
      <c r="T55" s="19">
        <f>IFERROR(Influent[[#This Row],[sCOD (mg L-1)]]/Influent[[#This Row],[TN (mg L-1)]], 0)</f>
        <v>1.5898583872694534</v>
      </c>
      <c r="U55" s="19">
        <f>Influent[[#This Row],[Alkalinity (mg CaCO3 L-1) ]]/Influent[[#This Row],[TN (mg L-1)]]</f>
        <v>3.8026181322692101</v>
      </c>
      <c r="V55" s="19">
        <f>Influent[[#This Row],[VSS (mg L-1)]]/Influent[[#This Row],[TSS (mg L-1)]]</f>
        <v>0.88235294117647056</v>
      </c>
    </row>
    <row r="56" spans="1:22" x14ac:dyDescent="0.3">
      <c r="A56" s="128">
        <v>43379</v>
      </c>
      <c r="B56" s="29">
        <v>53</v>
      </c>
      <c r="C56" s="19">
        <v>22.893406175151959</v>
      </c>
      <c r="D56" s="19"/>
      <c r="E56">
        <v>2225</v>
      </c>
      <c r="F56" s="29">
        <f>Influent[[#This Row],[COD (mg L-1)]]*Information!$AK$40</f>
        <v>2002.5</v>
      </c>
      <c r="G56" s="22">
        <v>4556</v>
      </c>
      <c r="H56">
        <v>8.4</v>
      </c>
      <c r="I56">
        <v>320</v>
      </c>
      <c r="J56">
        <v>360</v>
      </c>
      <c r="K56" s="6">
        <v>13.83</v>
      </c>
      <c r="L56" s="19">
        <v>0.2</v>
      </c>
      <c r="M56" s="6">
        <f>Influent[[#This Row],[NH4-N (mg L-1)]]*1.288</f>
        <v>1547.5320000000002</v>
      </c>
      <c r="N56" s="6">
        <f>(Influent[[#This Row],[TON (mg L-1)]]-Influent[[#This Row],[NO2- (mg L-1)]])*4.426</f>
        <v>0.76892012800000009</v>
      </c>
      <c r="O56" s="6">
        <f>Influent[[#This Row],[NO2-N (mg L-1)]]*3.284</f>
        <v>2.6272E-2</v>
      </c>
      <c r="P56" s="6">
        <v>1201.5</v>
      </c>
      <c r="Q56" s="20">
        <v>8.0000000000000002E-3</v>
      </c>
      <c r="R56" s="19">
        <f>IF(Influent[[#This Row],[TON (mg L-1)]]-Influent[[#This Row],[NO2-N (mg L-1)]]&lt;0,0.2,Influent[[#This Row],[TON (mg L-1)]]-Influent[[#This Row],[NO2-N (mg L-1)]])</f>
        <v>0.192</v>
      </c>
      <c r="S56" s="6">
        <f>SUM(Influent[[#This Row],[NO3-N (mg L-1)]],Influent[[#This Row],[NO2-N (mg L-1)]],Influent[[#This Row],[NH4-N (mg L-1)]])</f>
        <v>1201.7</v>
      </c>
      <c r="T56" s="19">
        <f>IFERROR(Influent[[#This Row],[sCOD (mg L-1)]]/Influent[[#This Row],[TN (mg L-1)]], 0)</f>
        <v>1.6663892818507113</v>
      </c>
      <c r="U56" s="19">
        <f>Influent[[#This Row],[Alkalinity (mg CaCO3 L-1) ]]/Influent[[#This Row],[TN (mg L-1)]]</f>
        <v>3.7912956644753266</v>
      </c>
      <c r="V56" s="19">
        <f>Influent[[#This Row],[VSS (mg L-1)]]/Influent[[#This Row],[TSS (mg L-1)]]</f>
        <v>1.125</v>
      </c>
    </row>
    <row r="57" spans="1:22" x14ac:dyDescent="0.3">
      <c r="A57" s="128">
        <v>43380</v>
      </c>
      <c r="B57" s="29">
        <v>54</v>
      </c>
      <c r="C57" s="19">
        <v>21.586830765453737</v>
      </c>
      <c r="D57" s="19"/>
      <c r="E57">
        <v>2235</v>
      </c>
      <c r="F57" s="29">
        <f>Influent[[#This Row],[COD (mg L-1)]]*Information!$AK$40</f>
        <v>2011.5</v>
      </c>
      <c r="G57" s="22">
        <v>4630</v>
      </c>
      <c r="H57">
        <v>8.4</v>
      </c>
      <c r="I57">
        <v>400</v>
      </c>
      <c r="J57">
        <v>280</v>
      </c>
      <c r="K57" s="6">
        <v>13.1</v>
      </c>
      <c r="L57" s="19">
        <v>1.5</v>
      </c>
      <c r="M57" s="6">
        <f>Influent[[#This Row],[NH4-N (mg L-1)]]*1.288</f>
        <v>1645.0336000000002</v>
      </c>
      <c r="N57" s="6">
        <f>(Influent[[#This Row],[TON (mg L-1)]]-Influent[[#This Row],[NO2- (mg L-1)]])*4.426</f>
        <v>6.5227201279999996</v>
      </c>
      <c r="O57" s="6">
        <f>Influent[[#This Row],[NO2-N (mg L-1)]]*3.284</f>
        <v>2.6272E-2</v>
      </c>
      <c r="P57" s="6">
        <v>1277.2</v>
      </c>
      <c r="Q57" s="20">
        <v>8.0000000000000002E-3</v>
      </c>
      <c r="R57" s="19">
        <f>IF(Influent[[#This Row],[TON (mg L-1)]]-Influent[[#This Row],[NO2-N (mg L-1)]]&lt;0,0.2,Influent[[#This Row],[TON (mg L-1)]]-Influent[[#This Row],[NO2-N (mg L-1)]])</f>
        <v>1.492</v>
      </c>
      <c r="S57" s="6">
        <f>SUM(Influent[[#This Row],[NO3-N (mg L-1)]],Influent[[#This Row],[NO2-N (mg L-1)]],Influent[[#This Row],[NH4-N (mg L-1)]])</f>
        <v>1278.7</v>
      </c>
      <c r="T57" s="19">
        <f>IFERROR(Influent[[#This Row],[sCOD (mg L-1)]]/Influent[[#This Row],[TN (mg L-1)]], 0)</f>
        <v>1.5730820364432627</v>
      </c>
      <c r="U57" s="19">
        <f>Influent[[#This Row],[Alkalinity (mg CaCO3 L-1) ]]/Influent[[#This Row],[TN (mg L-1)]]</f>
        <v>3.6208649409556579</v>
      </c>
      <c r="V57" s="19">
        <f>Influent[[#This Row],[VSS (mg L-1)]]/Influent[[#This Row],[TSS (mg L-1)]]</f>
        <v>0.7</v>
      </c>
    </row>
    <row r="58" spans="1:22" x14ac:dyDescent="0.3">
      <c r="A58" s="128">
        <v>43381</v>
      </c>
      <c r="B58" s="29">
        <v>55</v>
      </c>
      <c r="C58" s="19">
        <v>20.871553973827211</v>
      </c>
      <c r="D58" s="19"/>
      <c r="E58">
        <v>2415</v>
      </c>
      <c r="F58" s="29">
        <f>Influent[[#This Row],[COD (mg L-1)]]*Information!$AK$40</f>
        <v>2173.5</v>
      </c>
      <c r="G58" s="22">
        <v>4598</v>
      </c>
      <c r="H58">
        <v>8.4</v>
      </c>
      <c r="I58">
        <v>280</v>
      </c>
      <c r="K58" s="6">
        <v>14.63</v>
      </c>
      <c r="L58" s="19">
        <v>0.2</v>
      </c>
      <c r="M58" s="6">
        <f>Influent[[#This Row],[NH4-N (mg L-1)]]*1.288</f>
        <v>1636.404</v>
      </c>
      <c r="N58" s="6">
        <f>(Influent[[#This Row],[TON (mg L-1)]]-Influent[[#This Row],[NO2- (mg L-1)]])*4.426</f>
        <v>-246.13685307999998</v>
      </c>
      <c r="O58" s="6">
        <f>Influent[[#This Row],[NO2-N (mg L-1)]]*3.284</f>
        <v>55.811579999999999</v>
      </c>
      <c r="P58" s="6">
        <v>1270.5</v>
      </c>
      <c r="Q58" s="20">
        <v>16.995000000000001</v>
      </c>
      <c r="R58" s="19">
        <f>IF(Influent[[#This Row],[TON (mg L-1)]]-Influent[[#This Row],[NO2-N (mg L-1)]]&lt;0,0.2,Influent[[#This Row],[TON (mg L-1)]]-Influent[[#This Row],[NO2-N (mg L-1)]])</f>
        <v>0.2</v>
      </c>
      <c r="S58" s="6">
        <f>SUM(Influent[[#This Row],[NO3-N (mg L-1)]],Influent[[#This Row],[NO2-N (mg L-1)]],Influent[[#This Row],[NH4-N (mg L-1)]])</f>
        <v>1287.6949999999999</v>
      </c>
      <c r="T58" s="19">
        <f>IFERROR(Influent[[#This Row],[sCOD (mg L-1)]]/Influent[[#This Row],[TN (mg L-1)]], 0)</f>
        <v>1.6878996967449591</v>
      </c>
      <c r="U58" s="19">
        <f>Influent[[#This Row],[Alkalinity (mg CaCO3 L-1) ]]/Influent[[#This Row],[TN (mg L-1)]]</f>
        <v>3.5707213276435805</v>
      </c>
      <c r="V58" s="19">
        <f>Influent[[#This Row],[VSS (mg L-1)]]/Influent[[#This Row],[TSS (mg L-1)]]</f>
        <v>0</v>
      </c>
    </row>
    <row r="59" spans="1:22" x14ac:dyDescent="0.3">
      <c r="A59" s="128">
        <v>43382</v>
      </c>
      <c r="B59" s="29">
        <v>56</v>
      </c>
      <c r="C59" s="19">
        <v>23.214277783850338</v>
      </c>
      <c r="D59" s="19"/>
      <c r="E59">
        <v>2425</v>
      </c>
      <c r="F59" s="29">
        <f>Influent[[#This Row],[COD (mg L-1)]]*Information!$AK$40</f>
        <v>2182.5</v>
      </c>
      <c r="G59" s="22">
        <v>4763</v>
      </c>
      <c r="H59">
        <v>8.6</v>
      </c>
      <c r="I59">
        <v>224</v>
      </c>
      <c r="J59">
        <v>74</v>
      </c>
      <c r="K59" s="6">
        <v>19.89</v>
      </c>
      <c r="L59" s="19">
        <v>0.2</v>
      </c>
      <c r="M59" s="6">
        <f>Influent[[#This Row],[NH4-N (mg L-1)]]*1.288</f>
        <v>1694.8792000000001</v>
      </c>
      <c r="N59" s="6">
        <f>(Influent[[#This Row],[TON (mg L-1)]]-Influent[[#This Row],[NO2- (mg L-1)]])*4.426</f>
        <v>0.76892012800000009</v>
      </c>
      <c r="O59" s="6">
        <f>Influent[[#This Row],[NO2-N (mg L-1)]]*3.284</f>
        <v>2.6272E-2</v>
      </c>
      <c r="P59" s="6">
        <v>1315.9</v>
      </c>
      <c r="Q59" s="20">
        <v>8.0000000000000002E-3</v>
      </c>
      <c r="R59" s="19">
        <f>IF(Influent[[#This Row],[TON (mg L-1)]]-Influent[[#This Row],[NO2-N (mg L-1)]]&lt;0,0.2,Influent[[#This Row],[TON (mg L-1)]]-Influent[[#This Row],[NO2-N (mg L-1)]])</f>
        <v>0.192</v>
      </c>
      <c r="S59" s="6">
        <f>SUM(Influent[[#This Row],[NO3-N (mg L-1)]],Influent[[#This Row],[NO2-N (mg L-1)]],Influent[[#This Row],[NH4-N (mg L-1)]])</f>
        <v>1316.1000000000001</v>
      </c>
      <c r="T59" s="19">
        <f>IFERROR(Influent[[#This Row],[sCOD (mg L-1)]]/Influent[[#This Row],[TN (mg L-1)]], 0)</f>
        <v>1.6583086391611579</v>
      </c>
      <c r="U59" s="19">
        <f>Influent[[#This Row],[Alkalinity (mg CaCO3 L-1) ]]/Influent[[#This Row],[TN (mg L-1)]]</f>
        <v>3.6190259098852668</v>
      </c>
      <c r="V59" s="19">
        <f>Influent[[#This Row],[VSS (mg L-1)]]/Influent[[#This Row],[TSS (mg L-1)]]</f>
        <v>0.33035714285714285</v>
      </c>
    </row>
    <row r="60" spans="1:22" x14ac:dyDescent="0.3">
      <c r="A60" s="128">
        <v>43383</v>
      </c>
      <c r="B60" s="29">
        <v>57</v>
      </c>
      <c r="C60" s="19">
        <v>24.013450182961407</v>
      </c>
      <c r="D60" s="19"/>
      <c r="E60">
        <v>2445</v>
      </c>
      <c r="F60" s="29">
        <f>Influent[[#This Row],[COD (mg L-1)]]*Information!$AK$40</f>
        <v>2200.5</v>
      </c>
      <c r="G60" s="22">
        <v>4818</v>
      </c>
      <c r="H60">
        <v>8.5</v>
      </c>
      <c r="I60">
        <v>250</v>
      </c>
      <c r="J60">
        <v>86</v>
      </c>
      <c r="K60" s="6">
        <v>16.91</v>
      </c>
      <c r="L60" s="19">
        <v>0.2</v>
      </c>
      <c r="M60" s="6">
        <f>Influent[[#This Row],[NH4-N (mg L-1)]]*1.288</f>
        <v>1690.8864000000001</v>
      </c>
      <c r="N60" s="6">
        <f>(Influent[[#This Row],[TON (mg L-1)]]-Influent[[#This Row],[NO2- (mg L-1)]])*4.426</f>
        <v>0.76892012800000009</v>
      </c>
      <c r="O60" s="6">
        <f>Influent[[#This Row],[NO2-N (mg L-1)]]*3.284</f>
        <v>2.6272E-2</v>
      </c>
      <c r="P60" s="6">
        <v>1312.8</v>
      </c>
      <c r="Q60" s="20">
        <v>8.0000000000000002E-3</v>
      </c>
      <c r="R60" s="19">
        <f>IF(Influent[[#This Row],[TON (mg L-1)]]-Influent[[#This Row],[NO2-N (mg L-1)]]&lt;0,0.2,Influent[[#This Row],[TON (mg L-1)]]-Influent[[#This Row],[NO2-N (mg L-1)]])</f>
        <v>0.192</v>
      </c>
      <c r="S60" s="6">
        <f>SUM(Influent[[#This Row],[NO3-N (mg L-1)]],Influent[[#This Row],[NO2-N (mg L-1)]],Influent[[#This Row],[NH4-N (mg L-1)]])</f>
        <v>1313</v>
      </c>
      <c r="T60" s="19">
        <f>IFERROR(Influent[[#This Row],[sCOD (mg L-1)]]/Influent[[#This Row],[TN (mg L-1)]], 0)</f>
        <v>1.675932977913176</v>
      </c>
      <c r="U60" s="19">
        <f>Influent[[#This Row],[Alkalinity (mg CaCO3 L-1) ]]/Influent[[#This Row],[TN (mg L-1)]]</f>
        <v>3.6694592536176693</v>
      </c>
      <c r="V60" s="19">
        <f>Influent[[#This Row],[VSS (mg L-1)]]/Influent[[#This Row],[TSS (mg L-1)]]</f>
        <v>0.34399999999999997</v>
      </c>
    </row>
    <row r="61" spans="1:22" x14ac:dyDescent="0.3">
      <c r="A61" s="128">
        <v>43384</v>
      </c>
      <c r="B61" s="29">
        <v>58</v>
      </c>
      <c r="C61" s="19">
        <v>24.692081802299313</v>
      </c>
      <c r="D61" s="19"/>
      <c r="E61">
        <v>2440</v>
      </c>
      <c r="F61" s="29">
        <f>Influent[[#This Row],[COD (mg L-1)]]*Information!$AK$40</f>
        <v>2196</v>
      </c>
      <c r="G61" s="22">
        <v>4778</v>
      </c>
      <c r="H61">
        <v>8.5</v>
      </c>
      <c r="I61">
        <v>164</v>
      </c>
      <c r="J61">
        <v>54</v>
      </c>
      <c r="K61" s="6">
        <v>16.88</v>
      </c>
      <c r="L61" s="19">
        <v>9.4</v>
      </c>
      <c r="M61" s="6">
        <f>Influent[[#This Row],[NH4-N (mg L-1)]]*1.288</f>
        <v>1707.8880000000001</v>
      </c>
      <c r="N61" s="6">
        <f>(Influent[[#This Row],[TON (mg L-1)]]-Influent[[#This Row],[NO2- (mg L-1)]])*4.426</f>
        <v>41.488120127999998</v>
      </c>
      <c r="O61" s="6">
        <f>Influent[[#This Row],[NO2-N (mg L-1)]]*3.284</f>
        <v>2.6272E-2</v>
      </c>
      <c r="P61" s="6">
        <v>1326</v>
      </c>
      <c r="Q61" s="20">
        <v>8.0000000000000002E-3</v>
      </c>
      <c r="R61" s="19">
        <f>IF(Influent[[#This Row],[TON (mg L-1)]]-Influent[[#This Row],[NO2-N (mg L-1)]]&lt;0,0.2,Influent[[#This Row],[TON (mg L-1)]]-Influent[[#This Row],[NO2-N (mg L-1)]])</f>
        <v>9.3920000000000012</v>
      </c>
      <c r="S61" s="6">
        <f>SUM(Influent[[#This Row],[NO3-N (mg L-1)]],Influent[[#This Row],[NO2-N (mg L-1)]],Influent[[#This Row],[NH4-N (mg L-1)]])</f>
        <v>1335.4</v>
      </c>
      <c r="T61" s="19">
        <f>IFERROR(Influent[[#This Row],[sCOD (mg L-1)]]/Influent[[#This Row],[TN (mg L-1)]], 0)</f>
        <v>1.6444511007937694</v>
      </c>
      <c r="U61" s="19">
        <f>Influent[[#This Row],[Alkalinity (mg CaCO3 L-1) ]]/Influent[[#This Row],[TN (mg L-1)]]</f>
        <v>3.5779541710348957</v>
      </c>
      <c r="V61" s="19">
        <f>Influent[[#This Row],[VSS (mg L-1)]]/Influent[[#This Row],[TSS (mg L-1)]]</f>
        <v>0.32926829268292684</v>
      </c>
    </row>
    <row r="62" spans="1:22" x14ac:dyDescent="0.3">
      <c r="A62" s="128">
        <v>43385</v>
      </c>
      <c r="B62" s="29">
        <v>59</v>
      </c>
      <c r="C62" s="19">
        <v>24.450520611107248</v>
      </c>
      <c r="D62" s="19"/>
      <c r="E62">
        <v>2495</v>
      </c>
      <c r="F62" s="29">
        <f>Influent[[#This Row],[COD (mg L-1)]]*Information!$AK$40</f>
        <v>2245.5</v>
      </c>
      <c r="G62" s="22">
        <v>4701</v>
      </c>
      <c r="H62">
        <v>8.4</v>
      </c>
      <c r="I62">
        <v>200</v>
      </c>
      <c r="J62">
        <v>122</v>
      </c>
      <c r="K62" s="6">
        <v>19.3</v>
      </c>
      <c r="L62" s="19">
        <v>0.2</v>
      </c>
      <c r="M62" s="6">
        <f>Influent[[#This Row],[NH4-N (mg L-1)]]*1.288</f>
        <v>1804.3592000000001</v>
      </c>
      <c r="N62" s="6">
        <f>(Influent[[#This Row],[TON (mg L-1)]]-Influent[[#This Row],[NO2- (mg L-1)]])*4.426</f>
        <v>-117.92375921599999</v>
      </c>
      <c r="O62" s="6">
        <f>Influent[[#This Row],[NO2-N (mg L-1)]]*3.284</f>
        <v>26.843415999999998</v>
      </c>
      <c r="P62" s="6">
        <v>1400.9</v>
      </c>
      <c r="Q62" s="20">
        <v>8.1739999999999995</v>
      </c>
      <c r="R62" s="19">
        <f>IF(Influent[[#This Row],[TON (mg L-1)]]-Influent[[#This Row],[NO2-N (mg L-1)]]&lt;0,0.2,Influent[[#This Row],[TON (mg L-1)]]-Influent[[#This Row],[NO2-N (mg L-1)]])</f>
        <v>0.2</v>
      </c>
      <c r="S62" s="6">
        <f>SUM(Influent[[#This Row],[NO3-N (mg L-1)]],Influent[[#This Row],[NO2-N (mg L-1)]],Influent[[#This Row],[NH4-N (mg L-1)]])</f>
        <v>1409.2740000000001</v>
      </c>
      <c r="T62" s="19">
        <f>IFERROR(Influent[[#This Row],[sCOD (mg L-1)]]/Influent[[#This Row],[TN (mg L-1)]], 0)</f>
        <v>1.5933736093903668</v>
      </c>
      <c r="U62" s="19">
        <f>Influent[[#This Row],[Alkalinity (mg CaCO3 L-1) ]]/Influent[[#This Row],[TN (mg L-1)]]</f>
        <v>3.3357601147825049</v>
      </c>
      <c r="V62" s="19">
        <f>Influent[[#This Row],[VSS (mg L-1)]]/Influent[[#This Row],[TSS (mg L-1)]]</f>
        <v>0.61</v>
      </c>
    </row>
    <row r="63" spans="1:22" x14ac:dyDescent="0.3">
      <c r="A63" s="128">
        <v>43386</v>
      </c>
      <c r="B63" s="29">
        <v>60</v>
      </c>
      <c r="C63" s="19">
        <v>25.151143185590051</v>
      </c>
      <c r="D63" s="19"/>
      <c r="E63">
        <v>2445</v>
      </c>
      <c r="F63" s="29">
        <f>Influent[[#This Row],[COD (mg L-1)]]*Information!$AK$40</f>
        <v>2200.5</v>
      </c>
      <c r="G63" s="22">
        <v>4773</v>
      </c>
      <c r="H63">
        <v>8.5</v>
      </c>
      <c r="I63">
        <v>216</v>
      </c>
      <c r="J63">
        <v>86</v>
      </c>
      <c r="K63" s="6">
        <v>15.65</v>
      </c>
      <c r="L63" s="19">
        <v>0.2</v>
      </c>
      <c r="M63" s="6">
        <f>Influent[[#This Row],[NH4-N (mg L-1)]]*1.288</f>
        <v>1786.3272000000002</v>
      </c>
      <c r="N63" s="6">
        <f>(Influent[[#This Row],[TON (mg L-1)]]-Influent[[#This Row],[NO2- (mg L-1)]])*4.426</f>
        <v>-0.56829840000000009</v>
      </c>
      <c r="O63" s="6">
        <f>Influent[[#This Row],[NO2-N (mg L-1)]]*3.284</f>
        <v>0.32840000000000003</v>
      </c>
      <c r="P63" s="6">
        <v>1386.9</v>
      </c>
      <c r="Q63" s="20">
        <v>0.1</v>
      </c>
      <c r="R63" s="19">
        <f>IF(Influent[[#This Row],[TON (mg L-1)]]-Influent[[#This Row],[NO2-N (mg L-1)]]&lt;0,0.2,Influent[[#This Row],[TON (mg L-1)]]-Influent[[#This Row],[NO2-N (mg L-1)]])</f>
        <v>0.1</v>
      </c>
      <c r="S63" s="6">
        <f>SUM(Influent[[#This Row],[NO3-N (mg L-1)]],Influent[[#This Row],[NO2-N (mg L-1)]],Influent[[#This Row],[NH4-N (mg L-1)]])</f>
        <v>1387.1000000000001</v>
      </c>
      <c r="T63" s="19">
        <f>IFERROR(Influent[[#This Row],[sCOD (mg L-1)]]/Influent[[#This Row],[TN (mg L-1)]], 0)</f>
        <v>1.5864032874342151</v>
      </c>
      <c r="U63" s="19">
        <f>Influent[[#This Row],[Alkalinity (mg CaCO3 L-1) ]]/Influent[[#This Row],[TN (mg L-1)]]</f>
        <v>3.4409919976930281</v>
      </c>
      <c r="V63" s="19">
        <f>Influent[[#This Row],[VSS (mg L-1)]]/Influent[[#This Row],[TSS (mg L-1)]]</f>
        <v>0.39814814814814814</v>
      </c>
    </row>
    <row r="64" spans="1:22" x14ac:dyDescent="0.3">
      <c r="A64" s="128">
        <v>43387</v>
      </c>
      <c r="B64" s="29">
        <v>61</v>
      </c>
      <c r="C64" s="19">
        <v>25.146088593869273</v>
      </c>
      <c r="D64" s="19"/>
      <c r="E64">
        <v>2550</v>
      </c>
      <c r="F64" s="29">
        <f>Influent[[#This Row],[COD (mg L-1)]]*Information!$AK$40</f>
        <v>2295</v>
      </c>
      <c r="G64" s="22">
        <v>4517</v>
      </c>
      <c r="H64">
        <v>8.4</v>
      </c>
      <c r="I64">
        <v>220</v>
      </c>
      <c r="J64">
        <v>78</v>
      </c>
      <c r="K64" s="6">
        <v>14.54</v>
      </c>
      <c r="L64" s="19">
        <v>0.2</v>
      </c>
      <c r="M64" s="6">
        <f>Influent[[#This Row],[NH4-N (mg L-1)]]*1.288</f>
        <v>1670.1496000000002</v>
      </c>
      <c r="N64" s="6">
        <f>(Influent[[#This Row],[TON (mg L-1)]]-Influent[[#This Row],[NO2- (mg L-1)]])*4.426</f>
        <v>-6.0043824159999994</v>
      </c>
      <c r="O64" s="6">
        <f>Influent[[#This Row],[NO2-N (mg L-1)]]*3.284</f>
        <v>1.5566159999999998</v>
      </c>
      <c r="P64" s="6">
        <v>1296.7</v>
      </c>
      <c r="Q64" s="20">
        <v>0.47399999999999998</v>
      </c>
      <c r="R64" s="19">
        <f>IF(Influent[[#This Row],[TON (mg L-1)]]-Influent[[#This Row],[NO2-N (mg L-1)]]&lt;0,0.2,Influent[[#This Row],[TON (mg L-1)]]-Influent[[#This Row],[NO2-N (mg L-1)]])</f>
        <v>0.2</v>
      </c>
      <c r="S64" s="6">
        <f>SUM(Influent[[#This Row],[NO3-N (mg L-1)]],Influent[[#This Row],[NO2-N (mg L-1)]],Influent[[#This Row],[NH4-N (mg L-1)]])</f>
        <v>1297.374</v>
      </c>
      <c r="T64" s="19">
        <f>IFERROR(Influent[[#This Row],[sCOD (mg L-1)]]/Influent[[#This Row],[TN (mg L-1)]], 0)</f>
        <v>1.7689579103635498</v>
      </c>
      <c r="U64" s="19">
        <f>Influent[[#This Row],[Alkalinity (mg CaCO3 L-1) ]]/Influent[[#This Row],[TN (mg L-1)]]</f>
        <v>3.4816483142100889</v>
      </c>
      <c r="V64" s="19">
        <f>Influent[[#This Row],[VSS (mg L-1)]]/Influent[[#This Row],[TSS (mg L-1)]]</f>
        <v>0.35454545454545455</v>
      </c>
    </row>
    <row r="65" spans="1:23" x14ac:dyDescent="0.3">
      <c r="A65" s="128">
        <v>43388</v>
      </c>
      <c r="B65" s="29">
        <v>62</v>
      </c>
      <c r="C65" s="19">
        <v>25.152221362568447</v>
      </c>
      <c r="D65" s="19"/>
      <c r="E65">
        <v>2820</v>
      </c>
      <c r="F65" s="29">
        <f>Influent[[#This Row],[COD (mg L-1)]]*Information!$AK$40</f>
        <v>2538</v>
      </c>
      <c r="G65" s="22">
        <v>4521</v>
      </c>
      <c r="H65">
        <v>8.3000000000000007</v>
      </c>
      <c r="I65">
        <v>168</v>
      </c>
      <c r="J65">
        <v>62</v>
      </c>
      <c r="K65" s="6">
        <v>16.82</v>
      </c>
      <c r="L65" s="19">
        <v>0.2</v>
      </c>
      <c r="M65" s="6">
        <f>Influent[[#This Row],[NH4-N (mg L-1)]]*1.288</f>
        <v>1699.2583999999999</v>
      </c>
      <c r="N65" s="6">
        <f>(Influent[[#This Row],[TON (mg L-1)]]-Influent[[#This Row],[NO2- (mg L-1)]])*4.426</f>
        <v>0.76892012800000009</v>
      </c>
      <c r="O65" s="6">
        <f>Influent[[#This Row],[NO2-N (mg L-1)]]*3.284</f>
        <v>2.6272E-2</v>
      </c>
      <c r="P65" s="6">
        <v>1319.3</v>
      </c>
      <c r="Q65" s="20">
        <v>8.0000000000000002E-3</v>
      </c>
      <c r="R65" s="19">
        <f>IF(Influent[[#This Row],[TON (mg L-1)]]-Influent[[#This Row],[NO2-N (mg L-1)]]&lt;0,0.2,Influent[[#This Row],[TON (mg L-1)]]-Influent[[#This Row],[NO2-N (mg L-1)]])</f>
        <v>0.192</v>
      </c>
      <c r="S65" s="6">
        <f>SUM(Influent[[#This Row],[NO3-N (mg L-1)]],Influent[[#This Row],[NO2-N (mg L-1)]],Influent[[#This Row],[NH4-N (mg L-1)]])</f>
        <v>1319.5</v>
      </c>
      <c r="T65" s="19">
        <f>IFERROR(Influent[[#This Row],[sCOD (mg L-1)]]/Influent[[#This Row],[TN (mg L-1)]], 0)</f>
        <v>1.9234558544903373</v>
      </c>
      <c r="U65" s="19">
        <f>Influent[[#This Row],[Alkalinity (mg CaCO3 L-1) ]]/Influent[[#This Row],[TN (mg L-1)]]</f>
        <v>3.4262978400909434</v>
      </c>
      <c r="V65" s="19">
        <f>Influent[[#This Row],[VSS (mg L-1)]]/Influent[[#This Row],[TSS (mg L-1)]]</f>
        <v>0.36904761904761907</v>
      </c>
    </row>
    <row r="66" spans="1:23" x14ac:dyDescent="0.3">
      <c r="A66" s="128">
        <v>43389</v>
      </c>
      <c r="B66" s="29">
        <v>63</v>
      </c>
      <c r="C66" s="19">
        <v>23.011407718770993</v>
      </c>
      <c r="D66" s="19"/>
      <c r="E66">
        <v>2725</v>
      </c>
      <c r="F66" s="29">
        <f>Influent[[#This Row],[COD (mg L-1)]]*Information!$AK$40</f>
        <v>2452.5</v>
      </c>
      <c r="G66" s="22">
        <v>4615</v>
      </c>
      <c r="H66">
        <v>8.4</v>
      </c>
      <c r="I66">
        <v>288</v>
      </c>
      <c r="J66">
        <v>107</v>
      </c>
      <c r="K66" s="6">
        <v>12.79</v>
      </c>
      <c r="L66" s="19">
        <v>0.2</v>
      </c>
      <c r="M66" s="6">
        <f>Influent[[#This Row],[NH4-N (mg L-1)]]*1.288</f>
        <v>1557.192</v>
      </c>
      <c r="N66" s="6">
        <f>(Influent[[#This Row],[TON (mg L-1)]]-Influent[[#This Row],[NO2- (mg L-1)]])*4.426</f>
        <v>-1.7020271519999999</v>
      </c>
      <c r="O66" s="6">
        <f>Influent[[#This Row],[NO2-N (mg L-1)]]*3.284</f>
        <v>0.58455199999999996</v>
      </c>
      <c r="P66" s="6">
        <v>1209</v>
      </c>
      <c r="Q66" s="20">
        <v>0.17799999999999999</v>
      </c>
      <c r="R66" s="19">
        <f>IF(Influent[[#This Row],[TON (mg L-1)]]-Influent[[#This Row],[NO2-N (mg L-1)]]&lt;0,0.2,Influent[[#This Row],[TON (mg L-1)]]-Influent[[#This Row],[NO2-N (mg L-1)]])</f>
        <v>2.200000000000002E-2</v>
      </c>
      <c r="S66" s="6">
        <f>SUM(Influent[[#This Row],[NO3-N (mg L-1)]],Influent[[#This Row],[NO2-N (mg L-1)]],Influent[[#This Row],[NH4-N (mg L-1)]])</f>
        <v>1209.2</v>
      </c>
      <c r="T66" s="19">
        <f>IFERROR(Influent[[#This Row],[sCOD (mg L-1)]]/Influent[[#This Row],[TN (mg L-1)]], 0)</f>
        <v>2.0282004631161099</v>
      </c>
      <c r="U66" s="19">
        <f>Influent[[#This Row],[Alkalinity (mg CaCO3 L-1) ]]/Influent[[#This Row],[TN (mg L-1)]]</f>
        <v>3.8165729407872973</v>
      </c>
      <c r="V66" s="19">
        <f>Influent[[#This Row],[VSS (mg L-1)]]/Influent[[#This Row],[TSS (mg L-1)]]</f>
        <v>0.37152777777777779</v>
      </c>
    </row>
    <row r="67" spans="1:23" x14ac:dyDescent="0.3">
      <c r="A67" s="128">
        <v>43390</v>
      </c>
      <c r="B67" s="29">
        <v>64</v>
      </c>
      <c r="C67" s="19">
        <v>23.313547807036073</v>
      </c>
      <c r="D67" s="19"/>
      <c r="E67">
        <v>2820</v>
      </c>
      <c r="F67" s="29">
        <f>Influent[[#This Row],[COD (mg L-1)]]*Information!$AK$40</f>
        <v>2538</v>
      </c>
      <c r="G67" s="22">
        <v>4534</v>
      </c>
      <c r="H67">
        <v>8.3000000000000007</v>
      </c>
      <c r="I67">
        <v>204</v>
      </c>
      <c r="J67">
        <v>65</v>
      </c>
      <c r="K67" s="6">
        <v>13.18</v>
      </c>
      <c r="L67" s="19">
        <v>0.2</v>
      </c>
      <c r="M67" s="6">
        <f>Influent[[#This Row],[NH4-N (mg L-1)]]*1.288</f>
        <v>1581.02</v>
      </c>
      <c r="N67" s="6">
        <f>(Influent[[#This Row],[TON (mg L-1)]]-Influent[[#This Row],[NO2- (mg L-1)]])*4.426</f>
        <v>-2.7049410480000002</v>
      </c>
      <c r="O67" s="6">
        <f>Influent[[#This Row],[NO2-N (mg L-1)]]*3.284</f>
        <v>0.81114799999999998</v>
      </c>
      <c r="P67" s="6">
        <v>1227.5</v>
      </c>
      <c r="Q67" s="20">
        <v>0.247</v>
      </c>
      <c r="R67" s="19">
        <f>IF(Influent[[#This Row],[TON (mg L-1)]]-Influent[[#This Row],[NO2-N (mg L-1)]]&lt;0,0.2,Influent[[#This Row],[TON (mg L-1)]]-Influent[[#This Row],[NO2-N (mg L-1)]])</f>
        <v>0.2</v>
      </c>
      <c r="S67" s="6">
        <f>SUM(Influent[[#This Row],[NO3-N (mg L-1)]],Influent[[#This Row],[NO2-N (mg L-1)]],Influent[[#This Row],[NH4-N (mg L-1)]])</f>
        <v>1227.9469999999999</v>
      </c>
      <c r="T67" s="19">
        <f>IFERROR(Influent[[#This Row],[sCOD (mg L-1)]]/Influent[[#This Row],[TN (mg L-1)]], 0)</f>
        <v>2.0668644493614141</v>
      </c>
      <c r="U67" s="19">
        <f>Influent[[#This Row],[Alkalinity (mg CaCO3 L-1) ]]/Influent[[#This Row],[TN (mg L-1)]]</f>
        <v>3.6923417704510051</v>
      </c>
      <c r="V67" s="19">
        <f>Influent[[#This Row],[VSS (mg L-1)]]/Influent[[#This Row],[TSS (mg L-1)]]</f>
        <v>0.31862745098039214</v>
      </c>
    </row>
    <row r="68" spans="1:23" x14ac:dyDescent="0.3">
      <c r="A68" s="128">
        <v>43391</v>
      </c>
      <c r="B68" s="29">
        <v>65</v>
      </c>
      <c r="C68" s="19">
        <v>24.416641357167649</v>
      </c>
      <c r="D68" s="19"/>
      <c r="E68">
        <v>2895</v>
      </c>
      <c r="F68" s="29">
        <f>Influent[[#This Row],[COD (mg L-1)]]*Information!$AK$40</f>
        <v>2605.5</v>
      </c>
      <c r="G68" s="22">
        <v>4629</v>
      </c>
      <c r="H68">
        <v>8.4</v>
      </c>
      <c r="I68">
        <v>166</v>
      </c>
      <c r="J68">
        <v>41</v>
      </c>
      <c r="K68" s="6">
        <v>14.08</v>
      </c>
      <c r="L68" s="19">
        <v>0.2</v>
      </c>
      <c r="M68" s="6">
        <f>Influent[[#This Row],[NH4-N (mg L-1)]]*1.288</f>
        <v>1579.2167999999999</v>
      </c>
      <c r="N68" s="6">
        <f>(Influent[[#This Row],[TON (mg L-1)]]-Influent[[#This Row],[NO2- (mg L-1)]])*4.426</f>
        <v>-0.42294855999999992</v>
      </c>
      <c r="O68" s="6">
        <f>Influent[[#This Row],[NO2-N (mg L-1)]]*3.284</f>
        <v>0.29555999999999999</v>
      </c>
      <c r="P68" s="6">
        <v>1226.0999999999999</v>
      </c>
      <c r="Q68" s="20">
        <v>0.09</v>
      </c>
      <c r="R68" s="19">
        <f>IF(Influent[[#This Row],[TON (mg L-1)]]-Influent[[#This Row],[NO2-N (mg L-1)]]&lt;0,0.2,Influent[[#This Row],[TON (mg L-1)]]-Influent[[#This Row],[NO2-N (mg L-1)]])</f>
        <v>0.11000000000000001</v>
      </c>
      <c r="S68" s="6">
        <f>SUM(Influent[[#This Row],[NO3-N (mg L-1)]],Influent[[#This Row],[NO2-N (mg L-1)]],Influent[[#This Row],[NH4-N (mg L-1)]])</f>
        <v>1226.3</v>
      </c>
      <c r="T68" s="19">
        <f>IFERROR(Influent[[#This Row],[sCOD (mg L-1)]]/Influent[[#This Row],[TN (mg L-1)]], 0)</f>
        <v>2.1246840088069803</v>
      </c>
      <c r="U68" s="19">
        <f>Influent[[#This Row],[Alkalinity (mg CaCO3 L-1) ]]/Influent[[#This Row],[TN (mg L-1)]]</f>
        <v>3.7747696322270246</v>
      </c>
      <c r="V68" s="19">
        <f>Influent[[#This Row],[VSS (mg L-1)]]/Influent[[#This Row],[TSS (mg L-1)]]</f>
        <v>0.24698795180722891</v>
      </c>
      <c r="W68" t="s">
        <v>558</v>
      </c>
    </row>
    <row r="69" spans="1:23" x14ac:dyDescent="0.3">
      <c r="A69" s="128">
        <v>43392</v>
      </c>
      <c r="B69" s="29">
        <v>66</v>
      </c>
      <c r="C69" s="19">
        <v>23.318502649256274</v>
      </c>
      <c r="D69" s="19"/>
      <c r="E69">
        <v>2760</v>
      </c>
      <c r="F69" s="29">
        <f>Influent[[#This Row],[COD (mg L-1)]]*Information!$AK$40</f>
        <v>2484</v>
      </c>
      <c r="G69" s="22">
        <v>4512</v>
      </c>
      <c r="H69">
        <v>8.3000000000000007</v>
      </c>
      <c r="I69">
        <v>193.3</v>
      </c>
      <c r="J69">
        <v>13</v>
      </c>
      <c r="K69" s="6">
        <v>23.16</v>
      </c>
      <c r="L69" s="19">
        <v>0.2</v>
      </c>
      <c r="M69" s="6">
        <f>Influent[[#This Row],[NH4-N (mg L-1)]]*1.288</f>
        <v>1572.3904</v>
      </c>
      <c r="N69" s="6">
        <f>(Influent[[#This Row],[TON (mg L-1)]]-Influent[[#This Row],[NO2- (mg L-1)]])*4.426</f>
        <v>0.76892012800000009</v>
      </c>
      <c r="O69" s="6">
        <f>Influent[[#This Row],[NO2-N (mg L-1)]]*3.284</f>
        <v>2.6272E-2</v>
      </c>
      <c r="P69" s="6">
        <v>1220.8</v>
      </c>
      <c r="Q69" s="20">
        <v>8.0000000000000002E-3</v>
      </c>
      <c r="R69" s="19">
        <f>IF(Influent[[#This Row],[TON (mg L-1)]]-Influent[[#This Row],[NO2-N (mg L-1)]]&lt;0,0.2,Influent[[#This Row],[TON (mg L-1)]]-Influent[[#This Row],[NO2-N (mg L-1)]])</f>
        <v>0.192</v>
      </c>
      <c r="S69" s="6">
        <f>SUM(Influent[[#This Row],[NO3-N (mg L-1)]],Influent[[#This Row],[NO2-N (mg L-1)]],Influent[[#This Row],[NH4-N (mg L-1)]])</f>
        <v>1221</v>
      </c>
      <c r="T69" s="19">
        <f>IFERROR(Influent[[#This Row],[sCOD (mg L-1)]]/Influent[[#This Row],[TN (mg L-1)]], 0)</f>
        <v>2.0343980343980346</v>
      </c>
      <c r="U69" s="19">
        <f>Influent[[#This Row],[Alkalinity (mg CaCO3 L-1) ]]/Influent[[#This Row],[TN (mg L-1)]]</f>
        <v>3.6953316953316953</v>
      </c>
      <c r="V69" s="19">
        <f>Influent[[#This Row],[VSS (mg L-1)]]/Influent[[#This Row],[TSS (mg L-1)]]</f>
        <v>6.7252974650801864E-2</v>
      </c>
    </row>
    <row r="70" spans="1:23" x14ac:dyDescent="0.3">
      <c r="A70" s="128">
        <v>43393</v>
      </c>
      <c r="B70" s="29">
        <v>67</v>
      </c>
      <c r="C70" s="19">
        <v>23.08850773536923</v>
      </c>
      <c r="D70" s="19"/>
      <c r="E70">
        <v>2860</v>
      </c>
      <c r="F70" s="29">
        <f>Influent[[#This Row],[COD (mg L-1)]]*Information!$AK$40</f>
        <v>2574</v>
      </c>
      <c r="G70" s="22">
        <v>4491</v>
      </c>
      <c r="H70">
        <v>8.1999999999999993</v>
      </c>
      <c r="I70">
        <v>203.3</v>
      </c>
      <c r="J70">
        <v>60</v>
      </c>
      <c r="K70" s="6">
        <v>22.7</v>
      </c>
      <c r="L70" s="19">
        <v>0.2</v>
      </c>
      <c r="M70" s="6">
        <f>Influent[[#This Row],[NH4-N (mg L-1)]]*1.288</f>
        <v>1585.6568</v>
      </c>
      <c r="N70" s="6">
        <f>(Influent[[#This Row],[TON (mg L-1)]]-Influent[[#This Row],[NO2- (mg L-1)]])*4.426</f>
        <v>-120.69994116000001</v>
      </c>
      <c r="O70" s="6">
        <f>Influent[[#This Row],[NO2-N (mg L-1)]]*3.284</f>
        <v>27.470659999999999</v>
      </c>
      <c r="P70" s="6">
        <v>1231.0999999999999</v>
      </c>
      <c r="Q70" s="20">
        <v>8.3650000000000002</v>
      </c>
      <c r="R70" s="19">
        <f>IF(Influent[[#This Row],[TON (mg L-1)]]-Influent[[#This Row],[NO2-N (mg L-1)]]&lt;0,0.2,Influent[[#This Row],[TON (mg L-1)]]-Influent[[#This Row],[NO2-N (mg L-1)]])</f>
        <v>0.2</v>
      </c>
      <c r="S70" s="6">
        <f>SUM(Influent[[#This Row],[NO3-N (mg L-1)]],Influent[[#This Row],[NO2-N (mg L-1)]],Influent[[#This Row],[NH4-N (mg L-1)]])</f>
        <v>1239.665</v>
      </c>
      <c r="T70" s="19">
        <f>IFERROR(Influent[[#This Row],[sCOD (mg L-1)]]/Influent[[#This Row],[TN (mg L-1)]], 0)</f>
        <v>2.0763674057104136</v>
      </c>
      <c r="U70" s="19">
        <f>Influent[[#This Row],[Alkalinity (mg CaCO3 L-1) ]]/Influent[[#This Row],[TN (mg L-1)]]</f>
        <v>3.6227529211520855</v>
      </c>
      <c r="V70" s="19">
        <f>Influent[[#This Row],[VSS (mg L-1)]]/Influent[[#This Row],[TSS (mg L-1)]]</f>
        <v>0.29513034923757991</v>
      </c>
    </row>
    <row r="71" spans="1:23" x14ac:dyDescent="0.3">
      <c r="A71" s="128">
        <v>43394</v>
      </c>
      <c r="B71" s="29">
        <v>68</v>
      </c>
      <c r="C71" s="19">
        <v>23.831062398325937</v>
      </c>
      <c r="D71" s="19"/>
      <c r="E71">
        <v>2705</v>
      </c>
      <c r="F71" s="29">
        <f>Influent[[#This Row],[COD (mg L-1)]]*Information!$AK$40</f>
        <v>2434.5</v>
      </c>
      <c r="G71" s="22">
        <v>4466</v>
      </c>
      <c r="H71">
        <v>8.3000000000000007</v>
      </c>
      <c r="I71">
        <v>173.3</v>
      </c>
      <c r="J71">
        <v>13</v>
      </c>
      <c r="K71" s="6">
        <v>21.96</v>
      </c>
      <c r="L71" s="19">
        <v>0.2</v>
      </c>
      <c r="M71" s="6">
        <f>Influent[[#This Row],[NH4-N (mg L-1)]]*1.288</f>
        <v>1573.2920000000001</v>
      </c>
      <c r="N71" s="6">
        <f>(Influent[[#This Row],[TON (mg L-1)]]-Influent[[#This Row],[NO2- (mg L-1)]])*4.426</f>
        <v>0.76892012800000009</v>
      </c>
      <c r="O71" s="6">
        <f>Influent[[#This Row],[NO2-N (mg L-1)]]*3.284</f>
        <v>2.6272E-2</v>
      </c>
      <c r="P71" s="6">
        <v>1221.5</v>
      </c>
      <c r="Q71" s="20">
        <v>8.0000000000000002E-3</v>
      </c>
      <c r="R71" s="19">
        <f>IF(Influent[[#This Row],[TON (mg L-1)]]-Influent[[#This Row],[NO2-N (mg L-1)]]&lt;0,0.2,Influent[[#This Row],[TON (mg L-1)]]-Influent[[#This Row],[NO2-N (mg L-1)]])</f>
        <v>0.192</v>
      </c>
      <c r="S71" s="6">
        <f>SUM(Influent[[#This Row],[NO3-N (mg L-1)]],Influent[[#This Row],[NO2-N (mg L-1)]],Influent[[#This Row],[NH4-N (mg L-1)]])</f>
        <v>1221.7</v>
      </c>
      <c r="T71" s="19">
        <f>IFERROR(Influent[[#This Row],[sCOD (mg L-1)]]/Influent[[#This Row],[TN (mg L-1)]], 0)</f>
        <v>1.9927150691659163</v>
      </c>
      <c r="U71" s="19">
        <f>Influent[[#This Row],[Alkalinity (mg CaCO3 L-1) ]]/Influent[[#This Row],[TN (mg L-1)]]</f>
        <v>3.6555619219120894</v>
      </c>
      <c r="V71" s="19">
        <f>Influent[[#This Row],[VSS (mg L-1)]]/Influent[[#This Row],[TSS (mg L-1)]]</f>
        <v>7.5014425851125208E-2</v>
      </c>
    </row>
    <row r="72" spans="1:23" x14ac:dyDescent="0.3">
      <c r="A72" s="128">
        <v>43395</v>
      </c>
      <c r="B72" s="29">
        <v>69</v>
      </c>
      <c r="C72" s="19">
        <v>24.02365066689859</v>
      </c>
      <c r="D72" s="19"/>
      <c r="E72">
        <v>2270</v>
      </c>
      <c r="F72" s="29">
        <f>Influent[[#This Row],[COD (mg L-1)]]*Information!$AK$40</f>
        <v>2043</v>
      </c>
      <c r="G72" s="22">
        <v>4524</v>
      </c>
      <c r="H72">
        <v>8.3000000000000007</v>
      </c>
      <c r="I72">
        <v>163.30000000000001</v>
      </c>
      <c r="J72">
        <v>27</v>
      </c>
      <c r="K72" s="6">
        <v>19.63</v>
      </c>
      <c r="L72" s="19">
        <v>0.2</v>
      </c>
      <c r="M72" s="6">
        <f>Influent[[#This Row],[NH4-N (mg L-1)]]*1.288</f>
        <v>1611.288</v>
      </c>
      <c r="N72" s="6">
        <f>(Influent[[#This Row],[TON (mg L-1)]]-Influent[[#This Row],[NO2- (mg L-1)]])*4.426</f>
        <v>0.76892012800000009</v>
      </c>
      <c r="O72" s="6">
        <f>Influent[[#This Row],[NO2-N (mg L-1)]]*3.284</f>
        <v>2.6272E-2</v>
      </c>
      <c r="P72" s="6">
        <v>1251</v>
      </c>
      <c r="Q72" s="20">
        <v>8.0000000000000002E-3</v>
      </c>
      <c r="R72" s="19">
        <f>IF(Influent[[#This Row],[TON (mg L-1)]]-Influent[[#This Row],[NO2-N (mg L-1)]]&lt;0,0.2,Influent[[#This Row],[TON (mg L-1)]]-Influent[[#This Row],[NO2-N (mg L-1)]])</f>
        <v>0.192</v>
      </c>
      <c r="S72" s="6">
        <f>SUM(Influent[[#This Row],[NO3-N (mg L-1)]],Influent[[#This Row],[NO2-N (mg L-1)]],Influent[[#This Row],[NH4-N (mg L-1)]])</f>
        <v>1251.2</v>
      </c>
      <c r="T72" s="19">
        <f>IFERROR(Influent[[#This Row],[sCOD (mg L-1)]]/Influent[[#This Row],[TN (mg L-1)]], 0)</f>
        <v>1.6328324808184143</v>
      </c>
      <c r="U72" s="19">
        <f>Influent[[#This Row],[Alkalinity (mg CaCO3 L-1) ]]/Influent[[#This Row],[TN (mg L-1)]]</f>
        <v>3.6157289002557542</v>
      </c>
      <c r="V72" s="19">
        <f>Influent[[#This Row],[VSS (mg L-1)]]/Influent[[#This Row],[TSS (mg L-1)]]</f>
        <v>0.16533986527862829</v>
      </c>
      <c r="W72" t="s">
        <v>560</v>
      </c>
    </row>
    <row r="73" spans="1:23" x14ac:dyDescent="0.3">
      <c r="A73" s="128">
        <v>43396</v>
      </c>
      <c r="B73" s="29">
        <v>70</v>
      </c>
      <c r="C73" s="19">
        <v>22.414409030356865</v>
      </c>
      <c r="D73" s="19"/>
      <c r="E73">
        <v>2195</v>
      </c>
      <c r="F73" s="29">
        <f>Influent[[#This Row],[COD (mg L-1)]]*Information!$AK$40</f>
        <v>1975.5</v>
      </c>
      <c r="G73" s="22">
        <v>4524</v>
      </c>
      <c r="H73">
        <v>8.3000000000000007</v>
      </c>
      <c r="I73">
        <v>193.3</v>
      </c>
      <c r="J73">
        <v>45</v>
      </c>
      <c r="K73" s="6">
        <v>18.71</v>
      </c>
      <c r="L73" s="19">
        <v>0.2</v>
      </c>
      <c r="M73" s="6">
        <f>Influent[[#This Row],[NH4-N (mg L-1)]]*1.288</f>
        <v>1590.68</v>
      </c>
      <c r="N73" s="6">
        <f>(Influent[[#This Row],[TON (mg L-1)]]-Influent[[#This Row],[NO2- (mg L-1)]])*4.426</f>
        <v>0.76892012800000009</v>
      </c>
      <c r="O73" s="6">
        <f>Influent[[#This Row],[NO2-N (mg L-1)]]*3.284</f>
        <v>2.6272E-2</v>
      </c>
      <c r="P73" s="6">
        <v>1235</v>
      </c>
      <c r="Q73" s="20">
        <v>8.0000000000000002E-3</v>
      </c>
      <c r="R73" s="19">
        <f>IF(Influent[[#This Row],[TON (mg L-1)]]-Influent[[#This Row],[NO2-N (mg L-1)]]&lt;0,0.2,Influent[[#This Row],[TON (mg L-1)]]-Influent[[#This Row],[NO2-N (mg L-1)]])</f>
        <v>0.192</v>
      </c>
      <c r="S73" s="6">
        <f>SUM(Influent[[#This Row],[NO3-N (mg L-1)]],Influent[[#This Row],[NO2-N (mg L-1)]],Influent[[#This Row],[NH4-N (mg L-1)]])</f>
        <v>1235.2</v>
      </c>
      <c r="T73" s="19">
        <f>IFERROR(Influent[[#This Row],[sCOD (mg L-1)]]/Influent[[#This Row],[TN (mg L-1)]], 0)</f>
        <v>1.599336139896373</v>
      </c>
      <c r="U73" s="19">
        <f>Influent[[#This Row],[Alkalinity (mg CaCO3 L-1) ]]/Influent[[#This Row],[TN (mg L-1)]]</f>
        <v>3.6625647668393779</v>
      </c>
      <c r="V73" s="19">
        <f>Influent[[#This Row],[VSS (mg L-1)]]/Influent[[#This Row],[TSS (mg L-1)]]</f>
        <v>0.23279875840662181</v>
      </c>
    </row>
    <row r="74" spans="1:23" x14ac:dyDescent="0.3">
      <c r="A74" s="128">
        <v>43397</v>
      </c>
      <c r="B74" s="29">
        <v>71</v>
      </c>
      <c r="C74" s="19">
        <v>22.067876716489305</v>
      </c>
      <c r="D74" s="19"/>
      <c r="E74">
        <v>2040</v>
      </c>
      <c r="F74" s="29">
        <f>Influent[[#This Row],[COD (mg L-1)]]*Information!$AK$40</f>
        <v>1836</v>
      </c>
      <c r="G74" s="22">
        <v>4383</v>
      </c>
      <c r="H74">
        <v>8.4</v>
      </c>
      <c r="I74">
        <v>148</v>
      </c>
      <c r="J74">
        <v>25</v>
      </c>
      <c r="K74" s="6">
        <v>15.63</v>
      </c>
      <c r="L74" s="19">
        <v>20.8</v>
      </c>
      <c r="M74" s="6">
        <f>Influent[[#This Row],[NH4-N (mg L-1)]]*1.288</f>
        <v>1604.848</v>
      </c>
      <c r="N74" s="6">
        <f>(Influent[[#This Row],[TON (mg L-1)]]-Influent[[#This Row],[NO2- (mg L-1)]])*4.426</f>
        <v>-151.50192688800004</v>
      </c>
      <c r="O74" s="6">
        <f>Influent[[#This Row],[NO2-N (mg L-1)]]*3.284</f>
        <v>55.029988000000003</v>
      </c>
      <c r="P74" s="6">
        <v>1246</v>
      </c>
      <c r="Q74" s="20">
        <v>16.757000000000001</v>
      </c>
      <c r="R74" s="19">
        <f>IF(Influent[[#This Row],[TON (mg L-1)]]-Influent[[#This Row],[NO2-N (mg L-1)]]&lt;0,0.2,Influent[[#This Row],[TON (mg L-1)]]-Influent[[#This Row],[NO2-N (mg L-1)]])</f>
        <v>4.0429999999999993</v>
      </c>
      <c r="S74" s="6">
        <f>SUM(Influent[[#This Row],[NO3-N (mg L-1)]],Influent[[#This Row],[NO2-N (mg L-1)]],Influent[[#This Row],[NH4-N (mg L-1)]])</f>
        <v>1266.8</v>
      </c>
      <c r="T74" s="19">
        <f>IFERROR(Influent[[#This Row],[sCOD (mg L-1)]]/Influent[[#This Row],[TN (mg L-1)]], 0)</f>
        <v>1.4493211240922008</v>
      </c>
      <c r="U74" s="19">
        <f>Influent[[#This Row],[Alkalinity (mg CaCO3 L-1) ]]/Influent[[#This Row],[TN (mg L-1)]]</f>
        <v>3.4598989580044206</v>
      </c>
      <c r="V74" s="19">
        <f>Influent[[#This Row],[VSS (mg L-1)]]/Influent[[#This Row],[TSS (mg L-1)]]</f>
        <v>0.16891891891891891</v>
      </c>
    </row>
    <row r="75" spans="1:23" x14ac:dyDescent="0.3">
      <c r="A75" s="128">
        <v>43398</v>
      </c>
      <c r="B75" s="29">
        <v>72</v>
      </c>
      <c r="C75" s="19">
        <v>22.066981901190669</v>
      </c>
      <c r="D75" s="19"/>
      <c r="E75">
        <v>1060</v>
      </c>
      <c r="F75" s="29">
        <f>Influent[[#This Row],[COD (mg L-1)]]*Information!$AK$40</f>
        <v>954</v>
      </c>
      <c r="G75" s="22">
        <v>4365</v>
      </c>
      <c r="H75">
        <v>8.4</v>
      </c>
      <c r="I75">
        <v>400</v>
      </c>
      <c r="J75">
        <v>148</v>
      </c>
      <c r="K75" s="6">
        <v>17.68</v>
      </c>
      <c r="L75" s="19">
        <v>0.2</v>
      </c>
      <c r="M75" s="6">
        <f>Influent[[#This Row],[NH4-N (mg L-1)]]*1.288</f>
        <v>1485.4503999999999</v>
      </c>
      <c r="N75" s="6">
        <f>(Influent[[#This Row],[TON (mg L-1)]]-Influent[[#This Row],[NO2- (mg L-1)]])*4.426</f>
        <v>-57.545435679999997</v>
      </c>
      <c r="O75" s="6">
        <f>Influent[[#This Row],[NO2-N (mg L-1)]]*3.284</f>
        <v>13.201679999999998</v>
      </c>
      <c r="P75" s="6">
        <v>1153.3</v>
      </c>
      <c r="Q75" s="20">
        <v>4.0199999999999996</v>
      </c>
      <c r="R75" s="19">
        <f>IF(Influent[[#This Row],[TON (mg L-1)]]-Influent[[#This Row],[NO2-N (mg L-1)]]&lt;0,0.2,Influent[[#This Row],[TON (mg L-1)]]-Influent[[#This Row],[NO2-N (mg L-1)]])</f>
        <v>0.2</v>
      </c>
      <c r="S75" s="6">
        <f>SUM(Influent[[#This Row],[NO3-N (mg L-1)]],Influent[[#This Row],[NO2-N (mg L-1)]],Influent[[#This Row],[NH4-N (mg L-1)]])</f>
        <v>1157.52</v>
      </c>
      <c r="T75" s="19">
        <f>IFERROR(Influent[[#This Row],[sCOD (mg L-1)]]/Influent[[#This Row],[TN (mg L-1)]], 0)</f>
        <v>0.82417582417582413</v>
      </c>
      <c r="U75" s="19">
        <f>Influent[[#This Row],[Alkalinity (mg CaCO3 L-1) ]]/Influent[[#This Row],[TN (mg L-1)]]</f>
        <v>3.7709931577856106</v>
      </c>
      <c r="V75" s="19">
        <f>Influent[[#This Row],[VSS (mg L-1)]]/Influent[[#This Row],[TSS (mg L-1)]]</f>
        <v>0.37</v>
      </c>
    </row>
    <row r="76" spans="1:23" x14ac:dyDescent="0.3">
      <c r="A76" s="128">
        <v>43399</v>
      </c>
      <c r="B76" s="29">
        <v>73</v>
      </c>
      <c r="C76" s="19">
        <v>22.070931153593691</v>
      </c>
      <c r="D76" s="19"/>
      <c r="E76">
        <v>1130</v>
      </c>
      <c r="F76" s="29">
        <f>Influent[[#This Row],[COD (mg L-1)]]*Information!$AK$40</f>
        <v>1017</v>
      </c>
      <c r="G76" s="22">
        <v>4601</v>
      </c>
      <c r="H76">
        <v>8.4</v>
      </c>
      <c r="I76">
        <v>228</v>
      </c>
      <c r="J76">
        <v>80</v>
      </c>
      <c r="K76" s="6">
        <v>16.84</v>
      </c>
      <c r="L76" s="19">
        <v>0.2</v>
      </c>
      <c r="M76" s="6">
        <f>Influent[[#This Row],[NH4-N (mg L-1)]]*1.288</f>
        <v>1635.2447999999999</v>
      </c>
      <c r="N76" s="6">
        <f>(Influent[[#This Row],[TON (mg L-1)]]-Influent[[#This Row],[NO2- (mg L-1)]])*4.426</f>
        <v>-212.67731991199997</v>
      </c>
      <c r="O76" s="6">
        <f>Influent[[#This Row],[NO2-N (mg L-1)]]*3.284</f>
        <v>48.251811999999994</v>
      </c>
      <c r="P76" s="6">
        <v>1269.5999999999999</v>
      </c>
      <c r="Q76" s="20">
        <v>14.693</v>
      </c>
      <c r="R76" s="19">
        <f>IF(Influent[[#This Row],[TON (mg L-1)]]-Influent[[#This Row],[NO2-N (mg L-1)]]&lt;0,0.2,Influent[[#This Row],[TON (mg L-1)]]-Influent[[#This Row],[NO2-N (mg L-1)]])</f>
        <v>0.2</v>
      </c>
      <c r="S76" s="6">
        <f>SUM(Influent[[#This Row],[NO3-N (mg L-1)]],Influent[[#This Row],[NO2-N (mg L-1)]],Influent[[#This Row],[NH4-N (mg L-1)]])</f>
        <v>1284.4929999999999</v>
      </c>
      <c r="T76" s="19">
        <f>IFERROR(Influent[[#This Row],[sCOD (mg L-1)]]/Influent[[#This Row],[TN (mg L-1)]], 0)</f>
        <v>0.79175207650022228</v>
      </c>
      <c r="U76" s="19">
        <f>Influent[[#This Row],[Alkalinity (mg CaCO3 L-1) ]]/Influent[[#This Row],[TN (mg L-1)]]</f>
        <v>3.5819580176770134</v>
      </c>
      <c r="V76" s="19">
        <f>Influent[[#This Row],[VSS (mg L-1)]]/Influent[[#This Row],[TSS (mg L-1)]]</f>
        <v>0.35087719298245612</v>
      </c>
    </row>
    <row r="77" spans="1:23" x14ac:dyDescent="0.3">
      <c r="A77" s="128">
        <v>43400</v>
      </c>
      <c r="B77" s="29">
        <v>74</v>
      </c>
      <c r="C77" s="19">
        <v>20.416551277481073</v>
      </c>
      <c r="D77" s="19"/>
      <c r="E77">
        <v>2230</v>
      </c>
      <c r="F77" s="29">
        <f>Influent[[#This Row],[COD (mg L-1)]]*Information!$AK$40</f>
        <v>2007</v>
      </c>
      <c r="G77" s="22">
        <v>4350</v>
      </c>
      <c r="H77">
        <v>8.5</v>
      </c>
      <c r="I77">
        <v>246</v>
      </c>
      <c r="J77">
        <v>79</v>
      </c>
      <c r="K77" s="6">
        <v>17.010000000000002</v>
      </c>
      <c r="L77" s="19">
        <v>0.2</v>
      </c>
      <c r="M77" s="6">
        <f>Influent[[#This Row],[NH4-N (mg L-1)]]*1.288</f>
        <v>1546.1152000000002</v>
      </c>
      <c r="N77" s="6">
        <f>(Influent[[#This Row],[TON (mg L-1)]]-Influent[[#This Row],[NO2- (mg L-1)]])*4.426</f>
        <v>0.76892012800000009</v>
      </c>
      <c r="O77" s="6">
        <f>Influent[[#This Row],[NO2-N (mg L-1)]]*3.284</f>
        <v>2.6272E-2</v>
      </c>
      <c r="P77" s="6">
        <v>1200.4000000000001</v>
      </c>
      <c r="Q77" s="20">
        <v>8.0000000000000002E-3</v>
      </c>
      <c r="R77" s="19">
        <f>IF(Influent[[#This Row],[TON (mg L-1)]]-Influent[[#This Row],[NO2-N (mg L-1)]]&lt;0,0.2,Influent[[#This Row],[TON (mg L-1)]]-Influent[[#This Row],[NO2-N (mg L-1)]])</f>
        <v>0.192</v>
      </c>
      <c r="S77" s="6">
        <f>SUM(Influent[[#This Row],[NO3-N (mg L-1)]],Influent[[#This Row],[NO2-N (mg L-1)]],Influent[[#This Row],[NH4-N (mg L-1)]])</f>
        <v>1200.6000000000001</v>
      </c>
      <c r="T77" s="19">
        <f>IFERROR(Influent[[#This Row],[sCOD (mg L-1)]]/Influent[[#This Row],[TN (mg L-1)]], 0)</f>
        <v>1.6716641679160418</v>
      </c>
      <c r="U77" s="19">
        <f>Influent[[#This Row],[Alkalinity (mg CaCO3 L-1) ]]/Influent[[#This Row],[TN (mg L-1)]]</f>
        <v>3.6231884057971011</v>
      </c>
      <c r="V77" s="19">
        <f>Influent[[#This Row],[VSS (mg L-1)]]/Influent[[#This Row],[TSS (mg L-1)]]</f>
        <v>0.32113821138211385</v>
      </c>
    </row>
    <row r="78" spans="1:23" x14ac:dyDescent="0.3">
      <c r="A78" s="128">
        <v>43401</v>
      </c>
      <c r="B78" s="29">
        <v>75</v>
      </c>
      <c r="C78" s="19">
        <v>20.58372953309652</v>
      </c>
      <c r="D78" s="19"/>
      <c r="E78">
        <v>2320</v>
      </c>
      <c r="F78" s="29">
        <f>Influent[[#This Row],[COD (mg L-1)]]*Information!$AK$40</f>
        <v>2088</v>
      </c>
      <c r="G78" s="22">
        <v>4425</v>
      </c>
      <c r="H78">
        <v>8.6</v>
      </c>
      <c r="I78">
        <v>242</v>
      </c>
      <c r="J78">
        <v>77</v>
      </c>
      <c r="K78" s="6">
        <v>19.88</v>
      </c>
      <c r="L78" s="19">
        <v>6.6</v>
      </c>
      <c r="M78" s="6">
        <f>Influent[[#This Row],[NH4-N (mg L-1)]]*1.288</f>
        <v>1569.1704</v>
      </c>
      <c r="N78" s="6">
        <f>(Influent[[#This Row],[TON (mg L-1)]]-Influent[[#This Row],[NO2- (mg L-1)]])*4.426</f>
        <v>-228.55180625599999</v>
      </c>
      <c r="O78" s="6">
        <f>Influent[[#This Row],[NO2-N (mg L-1)]]*3.284</f>
        <v>58.238455999999999</v>
      </c>
      <c r="P78" s="6">
        <v>1218.3</v>
      </c>
      <c r="Q78" s="20">
        <v>17.734000000000002</v>
      </c>
      <c r="R78" s="19">
        <f>IF(Influent[[#This Row],[TON (mg L-1)]]-Influent[[#This Row],[NO2-N (mg L-1)]]&lt;0,0.2,Influent[[#This Row],[TON (mg L-1)]]-Influent[[#This Row],[NO2-N (mg L-1)]])</f>
        <v>0.2</v>
      </c>
      <c r="S78" s="6">
        <f>SUM(Influent[[#This Row],[NO3-N (mg L-1)]],Influent[[#This Row],[NO2-N (mg L-1)]],Influent[[#This Row],[NH4-N (mg L-1)]])</f>
        <v>1236.2339999999999</v>
      </c>
      <c r="T78" s="19">
        <f>IFERROR(Influent[[#This Row],[sCOD (mg L-1)]]/Influent[[#This Row],[TN (mg L-1)]], 0)</f>
        <v>1.6890006260950599</v>
      </c>
      <c r="U78" s="19">
        <f>Influent[[#This Row],[Alkalinity (mg CaCO3 L-1) ]]/Influent[[#This Row],[TN (mg L-1)]]</f>
        <v>3.5794194303020306</v>
      </c>
      <c r="V78" s="19">
        <f>Influent[[#This Row],[VSS (mg L-1)]]/Influent[[#This Row],[TSS (mg L-1)]]</f>
        <v>0.31818181818181818</v>
      </c>
    </row>
    <row r="79" spans="1:23" x14ac:dyDescent="0.3">
      <c r="A79" s="128">
        <v>43402</v>
      </c>
      <c r="B79" s="29">
        <v>76</v>
      </c>
      <c r="C79" s="19">
        <v>20.590429833679305</v>
      </c>
      <c r="D79" s="19"/>
      <c r="E79">
        <v>2240</v>
      </c>
      <c r="F79" s="29">
        <f>Influent[[#This Row],[COD (mg L-1)]]*Information!$AK$40</f>
        <v>2016</v>
      </c>
      <c r="G79" s="22">
        <v>4701</v>
      </c>
      <c r="H79">
        <v>8.6</v>
      </c>
      <c r="I79">
        <v>216</v>
      </c>
      <c r="J79">
        <v>57</v>
      </c>
      <c r="K79" s="6">
        <v>17.190000000000001</v>
      </c>
      <c r="L79" s="19">
        <v>12.7</v>
      </c>
      <c r="M79" s="6">
        <f>Influent[[#This Row],[NH4-N (mg L-1)]]*1.288</f>
        <v>1609.0984000000001</v>
      </c>
      <c r="N79" s="6">
        <f>(Influent[[#This Row],[TON (mg L-1)]]-Influent[[#This Row],[NO2- (mg L-1)]])*4.426</f>
        <v>-98.849009311999978</v>
      </c>
      <c r="O79" s="6">
        <f>Influent[[#This Row],[NO2-N (mg L-1)]]*3.284</f>
        <v>35.033711999999994</v>
      </c>
      <c r="P79" s="6">
        <v>1249.3</v>
      </c>
      <c r="Q79" s="20">
        <v>10.667999999999999</v>
      </c>
      <c r="R79" s="19">
        <f>IF(Influent[[#This Row],[TON (mg L-1)]]-Influent[[#This Row],[NO2-N (mg L-1)]]&lt;0,0.2,Influent[[#This Row],[TON (mg L-1)]]-Influent[[#This Row],[NO2-N (mg L-1)]])</f>
        <v>2.032</v>
      </c>
      <c r="S79" s="6">
        <f>SUM(Influent[[#This Row],[NO3-N (mg L-1)]],Influent[[#This Row],[NO2-N (mg L-1)]],Influent[[#This Row],[NH4-N (mg L-1)]])</f>
        <v>1262</v>
      </c>
      <c r="T79" s="19">
        <f>IFERROR(Influent[[#This Row],[sCOD (mg L-1)]]/Influent[[#This Row],[TN (mg L-1)]], 0)</f>
        <v>1.5974643423137875</v>
      </c>
      <c r="U79" s="19">
        <f>Influent[[#This Row],[Alkalinity (mg CaCO3 L-1) ]]/Influent[[#This Row],[TN (mg L-1)]]</f>
        <v>3.7250396196513469</v>
      </c>
      <c r="V79" s="19">
        <f>Influent[[#This Row],[VSS (mg L-1)]]/Influent[[#This Row],[TSS (mg L-1)]]</f>
        <v>0.2638888888888889</v>
      </c>
    </row>
    <row r="80" spans="1:23" x14ac:dyDescent="0.3">
      <c r="A80" s="128">
        <v>43403</v>
      </c>
      <c r="B80" s="29">
        <v>77</v>
      </c>
      <c r="C80" s="19">
        <v>15.039105337885095</v>
      </c>
      <c r="D80" s="19"/>
      <c r="E80">
        <v>2575</v>
      </c>
      <c r="F80" s="29">
        <f>Influent[[#This Row],[COD (mg L-1)]]*Information!$AK$40</f>
        <v>2317.5</v>
      </c>
      <c r="G80">
        <v>4751</v>
      </c>
      <c r="H80">
        <v>8.5</v>
      </c>
      <c r="I80">
        <v>416</v>
      </c>
      <c r="J80">
        <v>140</v>
      </c>
      <c r="K80">
        <v>12.45</v>
      </c>
      <c r="L80">
        <v>0.2</v>
      </c>
      <c r="M80" s="6"/>
      <c r="N80" s="20"/>
      <c r="O80" s="6"/>
      <c r="P80" s="6">
        <v>1305.3</v>
      </c>
      <c r="Q80" s="20">
        <v>8.0000000000000002E-3</v>
      </c>
      <c r="R80" s="19">
        <f>IF(Influent[[#This Row],[TON (mg L-1)]]-Influent[[#This Row],[NO2-N (mg L-1)]]&lt;0,0.2,Influent[[#This Row],[TON (mg L-1)]]-Influent[[#This Row],[NO2-N (mg L-1)]])</f>
        <v>0.192</v>
      </c>
      <c r="S80" s="6">
        <f>SUM(Influent[[#This Row],[NO3-N (mg L-1)]],Influent[[#This Row],[NO2-N (mg L-1)]],Influent[[#This Row],[NH4-N (mg L-1)]])</f>
        <v>1305.5</v>
      </c>
      <c r="T80" s="19">
        <f>IFERROR(Influent[[#This Row],[sCOD (mg L-1)]]/Influent[[#This Row],[TN (mg L-1)]], 0)</f>
        <v>1.7751819226350058</v>
      </c>
      <c r="U80" s="19">
        <f>Influent[[#This Row],[Alkalinity (mg CaCO3 L-1) ]]/Influent[[#This Row],[TN (mg L-1)]]</f>
        <v>3.639218690157028</v>
      </c>
      <c r="V80" s="19">
        <f>Influent[[#This Row],[VSS (mg L-1)]]/Influent[[#This Row],[TSS (mg L-1)]]</f>
        <v>0.33653846153846156</v>
      </c>
    </row>
    <row r="81" spans="1:22" x14ac:dyDescent="0.3">
      <c r="A81" s="128">
        <v>43404</v>
      </c>
      <c r="B81" s="29">
        <v>78</v>
      </c>
      <c r="C81" s="19">
        <v>15.29852049171159</v>
      </c>
      <c r="D81" s="19"/>
      <c r="E81">
        <v>2440</v>
      </c>
      <c r="F81" s="29">
        <f>Influent[[#This Row],[COD (mg L-1)]]*Information!$AK$40</f>
        <v>2196</v>
      </c>
      <c r="G81">
        <v>4719</v>
      </c>
      <c r="H81">
        <v>8.5</v>
      </c>
      <c r="I81">
        <v>554</v>
      </c>
      <c r="J81">
        <v>200</v>
      </c>
      <c r="K81">
        <v>12.2</v>
      </c>
      <c r="L81" s="29">
        <v>0.2</v>
      </c>
      <c r="M81" s="6"/>
      <c r="N81" s="20"/>
      <c r="O81" s="6"/>
      <c r="P81" s="6">
        <v>1289.3</v>
      </c>
      <c r="Q81" s="20">
        <v>8.0000000000000002E-3</v>
      </c>
      <c r="R81" s="19">
        <f>IF(Influent[[#This Row],[TON (mg L-1)]]-Influent[[#This Row],[NO2-N (mg L-1)]]&lt;0,0.2,Influent[[#This Row],[TON (mg L-1)]]-Influent[[#This Row],[NO2-N (mg L-1)]])</f>
        <v>0.192</v>
      </c>
      <c r="S81" s="6">
        <f>SUM(Influent[[#This Row],[NO3-N (mg L-1)]],Influent[[#This Row],[NO2-N (mg L-1)]],Influent[[#This Row],[NH4-N (mg L-1)]])</f>
        <v>1289.5</v>
      </c>
      <c r="T81" s="19">
        <f>IFERROR(Influent[[#This Row],[sCOD (mg L-1)]]/Influent[[#This Row],[TN (mg L-1)]], 0)</f>
        <v>1.7029856533540131</v>
      </c>
      <c r="U81" s="19">
        <f>Influent[[#This Row],[Alkalinity (mg CaCO3 L-1) ]]/Influent[[#This Row],[TN (mg L-1)]]</f>
        <v>3.6595579682047306</v>
      </c>
      <c r="V81" s="19">
        <f>Influent[[#This Row],[VSS (mg L-1)]]/Influent[[#This Row],[TSS (mg L-1)]]</f>
        <v>0.36101083032490977</v>
      </c>
    </row>
    <row r="82" spans="1:22" x14ac:dyDescent="0.3">
      <c r="A82" s="128">
        <v>43405</v>
      </c>
      <c r="B82" s="29">
        <v>79</v>
      </c>
      <c r="C82" s="19">
        <v>18.136163661232512</v>
      </c>
      <c r="D82" s="19"/>
      <c r="E82">
        <v>2950</v>
      </c>
      <c r="F82" s="29">
        <f>Influent[[#This Row],[COD (mg L-1)]]*Information!$AK$40</f>
        <v>2655</v>
      </c>
      <c r="G82">
        <v>4893</v>
      </c>
      <c r="H82">
        <v>8.1999999999999993</v>
      </c>
      <c r="I82">
        <v>88</v>
      </c>
      <c r="K82">
        <v>18.850000000000001</v>
      </c>
      <c r="L82" s="29">
        <v>0.2</v>
      </c>
      <c r="M82" s="6"/>
      <c r="N82" s="20"/>
      <c r="O82" s="6"/>
      <c r="P82" s="6">
        <v>1412.31</v>
      </c>
      <c r="Q82" s="20">
        <v>8.0000000000000002E-3</v>
      </c>
      <c r="R82" s="19">
        <f>IF(Influent[[#This Row],[TON (mg L-1)]]-Influent[[#This Row],[NO2-N (mg L-1)]]&lt;0,0.2,Influent[[#This Row],[TON (mg L-1)]]-Influent[[#This Row],[NO2-N (mg L-1)]])</f>
        <v>0.192</v>
      </c>
      <c r="S82" s="6">
        <f>SUM(Influent[[#This Row],[NO3-N (mg L-1)]],Influent[[#This Row],[NO2-N (mg L-1)]],Influent[[#This Row],[NH4-N (mg L-1)]])</f>
        <v>1412.51</v>
      </c>
      <c r="T82" s="19">
        <f>IFERROR(Influent[[#This Row],[sCOD (mg L-1)]]/Influent[[#This Row],[TN (mg L-1)]], 0)</f>
        <v>1.8796327105648809</v>
      </c>
      <c r="U82" s="19">
        <f>Influent[[#This Row],[Alkalinity (mg CaCO3 L-1) ]]/Influent[[#This Row],[TN (mg L-1)]]</f>
        <v>3.4640462722387806</v>
      </c>
      <c r="V82" s="19">
        <f>Influent[[#This Row],[VSS (mg L-1)]]/Influent[[#This Row],[TSS (mg L-1)]]</f>
        <v>0</v>
      </c>
    </row>
    <row r="83" spans="1:22" x14ac:dyDescent="0.3">
      <c r="A83" s="128">
        <v>43406</v>
      </c>
      <c r="B83" s="29">
        <v>80</v>
      </c>
      <c r="C83" s="19">
        <v>19.4319876062088</v>
      </c>
      <c r="D83" s="19"/>
      <c r="E83">
        <v>2955</v>
      </c>
      <c r="F83" s="29">
        <f>Influent[[#This Row],[COD (mg L-1)]]*Information!$AK$40</f>
        <v>2659.5</v>
      </c>
      <c r="G83">
        <v>4853</v>
      </c>
      <c r="H83">
        <v>8.1999999999999993</v>
      </c>
      <c r="I83">
        <v>92</v>
      </c>
      <c r="K83">
        <v>16.97</v>
      </c>
      <c r="L83" s="29">
        <v>0.2</v>
      </c>
      <c r="M83" s="6"/>
      <c r="N83" s="20"/>
      <c r="O83" s="6"/>
      <c r="P83" s="6">
        <v>1442.7</v>
      </c>
      <c r="Q83" s="20">
        <v>8.0000000000000002E-3</v>
      </c>
      <c r="R83" s="19">
        <f>IF(Influent[[#This Row],[TON (mg L-1)]]-Influent[[#This Row],[NO2-N (mg L-1)]]&lt;0,0.2,Influent[[#This Row],[TON (mg L-1)]]-Influent[[#This Row],[NO2-N (mg L-1)]])</f>
        <v>0.192</v>
      </c>
      <c r="S83" s="6">
        <f>SUM(Influent[[#This Row],[NO3-N (mg L-1)]],Influent[[#This Row],[NO2-N (mg L-1)]],Influent[[#This Row],[NH4-N (mg L-1)]])</f>
        <v>1442.9</v>
      </c>
      <c r="T83" s="19">
        <f>IFERROR(Influent[[#This Row],[sCOD (mg L-1)]]/Influent[[#This Row],[TN (mg L-1)]], 0)</f>
        <v>1.8431630743641276</v>
      </c>
      <c r="U83" s="19">
        <f>Influent[[#This Row],[Alkalinity (mg CaCO3 L-1) ]]/Influent[[#This Row],[TN (mg L-1)]]</f>
        <v>3.3633654445907544</v>
      </c>
      <c r="V83" s="19">
        <f>Influent[[#This Row],[VSS (mg L-1)]]/Influent[[#This Row],[TSS (mg L-1)]]</f>
        <v>0</v>
      </c>
    </row>
    <row r="84" spans="1:22" x14ac:dyDescent="0.3">
      <c r="A84" s="128">
        <v>43407</v>
      </c>
      <c r="B84" s="29">
        <v>81</v>
      </c>
      <c r="C84" s="19">
        <v>19.433236060230239</v>
      </c>
      <c r="D84" s="19"/>
      <c r="E84">
        <v>3005</v>
      </c>
      <c r="F84" s="29">
        <f>Influent[[#This Row],[COD (mg L-1)]]*Information!$AK$40</f>
        <v>2704.5</v>
      </c>
      <c r="G84">
        <v>4875</v>
      </c>
      <c r="H84">
        <v>8.1999999999999993</v>
      </c>
      <c r="I84">
        <v>96</v>
      </c>
      <c r="K84">
        <v>16.28</v>
      </c>
      <c r="L84" s="29">
        <v>0.2</v>
      </c>
      <c r="M84" s="6"/>
      <c r="N84" s="20"/>
      <c r="O84" s="6"/>
      <c r="P84" s="6">
        <v>1407.1</v>
      </c>
      <c r="Q84" s="20">
        <v>8.0000000000000002E-3</v>
      </c>
      <c r="R84" s="19">
        <f>IF(Influent[[#This Row],[TON (mg L-1)]]-Influent[[#This Row],[NO2-N (mg L-1)]]&lt;0,0.2,Influent[[#This Row],[TON (mg L-1)]]-Influent[[#This Row],[NO2-N (mg L-1)]])</f>
        <v>0.192</v>
      </c>
      <c r="S84" s="6">
        <f>SUM(Influent[[#This Row],[NO3-N (mg L-1)]],Influent[[#This Row],[NO2-N (mg L-1)]],Influent[[#This Row],[NH4-N (mg L-1)]])</f>
        <v>1407.3</v>
      </c>
      <c r="T84" s="19">
        <f>IFERROR(Influent[[#This Row],[sCOD (mg L-1)]]/Influent[[#This Row],[TN (mg L-1)]], 0)</f>
        <v>1.9217650820720529</v>
      </c>
      <c r="U84" s="19">
        <f>Influent[[#This Row],[Alkalinity (mg CaCO3 L-1) ]]/Influent[[#This Row],[TN (mg L-1)]]</f>
        <v>3.4640801534853978</v>
      </c>
      <c r="V84" s="19">
        <f>Influent[[#This Row],[VSS (mg L-1)]]/Influent[[#This Row],[TSS (mg L-1)]]</f>
        <v>0</v>
      </c>
    </row>
    <row r="85" spans="1:22" x14ac:dyDescent="0.3">
      <c r="A85" s="128">
        <v>43408</v>
      </c>
      <c r="B85" s="29">
        <v>82</v>
      </c>
      <c r="C85" s="19">
        <v>19.429165224117025</v>
      </c>
      <c r="D85" s="19"/>
      <c r="E85">
        <v>2995</v>
      </c>
      <c r="F85" s="29">
        <f>Influent[[#This Row],[COD (mg L-1)]]*Information!$AK$40</f>
        <v>2695.5</v>
      </c>
      <c r="G85">
        <v>4858</v>
      </c>
      <c r="H85">
        <v>8.1999999999999993</v>
      </c>
      <c r="I85">
        <v>133.30000000000001</v>
      </c>
      <c r="K85">
        <v>16.13</v>
      </c>
      <c r="L85" s="29">
        <v>0.2</v>
      </c>
      <c r="M85" s="6"/>
      <c r="N85" s="20"/>
      <c r="O85" s="6"/>
      <c r="P85" s="6">
        <v>1410.35</v>
      </c>
      <c r="Q85" s="20">
        <v>8.0000000000000002E-3</v>
      </c>
      <c r="R85" s="19">
        <f>IF(Influent[[#This Row],[TON (mg L-1)]]-Influent[[#This Row],[NO2-N (mg L-1)]]&lt;0,0.2,Influent[[#This Row],[TON (mg L-1)]]-Influent[[#This Row],[NO2-N (mg L-1)]])</f>
        <v>0.192</v>
      </c>
      <c r="S85" s="6">
        <f>SUM(Influent[[#This Row],[NO3-N (mg L-1)]],Influent[[#This Row],[NO2-N (mg L-1)]],Influent[[#This Row],[NH4-N (mg L-1)]])</f>
        <v>1410.55</v>
      </c>
      <c r="T85" s="19">
        <f>IFERROR(Influent[[#This Row],[sCOD (mg L-1)]]/Influent[[#This Row],[TN (mg L-1)]], 0)</f>
        <v>1.9109567190103152</v>
      </c>
      <c r="U85" s="19">
        <f>Influent[[#This Row],[Alkalinity (mg CaCO3 L-1) ]]/Influent[[#This Row],[TN (mg L-1)]]</f>
        <v>3.4440466484704548</v>
      </c>
      <c r="V85" s="19">
        <f>Influent[[#This Row],[VSS (mg L-1)]]/Influent[[#This Row],[TSS (mg L-1)]]</f>
        <v>0</v>
      </c>
    </row>
    <row r="86" spans="1:22" x14ac:dyDescent="0.3">
      <c r="A86" s="128">
        <v>43409</v>
      </c>
      <c r="B86" s="29">
        <v>83</v>
      </c>
      <c r="C86" s="19">
        <v>19.431469352904891</v>
      </c>
      <c r="D86" s="19"/>
      <c r="E86">
        <v>2560</v>
      </c>
      <c r="F86" s="29">
        <f>Influent[[#This Row],[COD (mg L-1)]]*Information!$AK$40</f>
        <v>2304</v>
      </c>
      <c r="G86">
        <v>4522</v>
      </c>
      <c r="H86">
        <v>8.4</v>
      </c>
      <c r="I86">
        <v>214</v>
      </c>
      <c r="K86">
        <v>13.47</v>
      </c>
      <c r="L86" s="29">
        <v>0.2</v>
      </c>
      <c r="M86" s="6"/>
      <c r="N86" s="20"/>
      <c r="O86" s="6"/>
      <c r="P86" s="6">
        <v>1278.9000000000001</v>
      </c>
      <c r="Q86" s="20">
        <v>8.0000000000000002E-3</v>
      </c>
      <c r="R86" s="19">
        <f>IF(Influent[[#This Row],[TON (mg L-1)]]-Influent[[#This Row],[NO2-N (mg L-1)]]&lt;0,0.2,Influent[[#This Row],[TON (mg L-1)]]-Influent[[#This Row],[NO2-N (mg L-1)]])</f>
        <v>0.192</v>
      </c>
      <c r="S86" s="6">
        <f>SUM(Influent[[#This Row],[NO3-N (mg L-1)]],Influent[[#This Row],[NO2-N (mg L-1)]],Influent[[#This Row],[NH4-N (mg L-1)]])</f>
        <v>1279.1000000000001</v>
      </c>
      <c r="T86" s="19">
        <f>IFERROR(Influent[[#This Row],[sCOD (mg L-1)]]/Influent[[#This Row],[TN (mg L-1)]], 0)</f>
        <v>1.801266515518724</v>
      </c>
      <c r="U86" s="19">
        <f>Influent[[#This Row],[Alkalinity (mg CaCO3 L-1) ]]/Influent[[#This Row],[TN (mg L-1)]]</f>
        <v>3.5352982565866622</v>
      </c>
      <c r="V86" s="19">
        <f>Influent[[#This Row],[VSS (mg L-1)]]/Influent[[#This Row],[TSS (mg L-1)]]</f>
        <v>0</v>
      </c>
    </row>
    <row r="87" spans="1:22" x14ac:dyDescent="0.3">
      <c r="A87" s="128">
        <v>43410</v>
      </c>
      <c r="B87" s="29">
        <v>84</v>
      </c>
      <c r="C87" s="19">
        <v>19.434223358435002</v>
      </c>
      <c r="D87" s="19"/>
      <c r="E87">
        <v>2480</v>
      </c>
      <c r="F87" s="29">
        <f>Influent[[#This Row],[COD (mg L-1)]]*Information!$AK$40</f>
        <v>2232</v>
      </c>
      <c r="G87">
        <v>4426</v>
      </c>
      <c r="H87">
        <v>8.4</v>
      </c>
      <c r="I87">
        <v>126</v>
      </c>
      <c r="K87">
        <v>13</v>
      </c>
      <c r="L87" s="29">
        <v>0.2</v>
      </c>
      <c r="M87" s="6"/>
      <c r="N87" s="20"/>
      <c r="O87" s="6"/>
      <c r="P87" s="6">
        <v>1229.3</v>
      </c>
      <c r="Q87" s="20">
        <v>8.0000000000000002E-3</v>
      </c>
      <c r="R87" s="19">
        <f>IF(Influent[[#This Row],[TON (mg L-1)]]-Influent[[#This Row],[NO2-N (mg L-1)]]&lt;0,0.2,Influent[[#This Row],[TON (mg L-1)]]-Influent[[#This Row],[NO2-N (mg L-1)]])</f>
        <v>0.192</v>
      </c>
      <c r="S87" s="6">
        <f>SUM(Influent[[#This Row],[NO3-N (mg L-1)]],Influent[[#This Row],[NO2-N (mg L-1)]],Influent[[#This Row],[NH4-N (mg L-1)]])</f>
        <v>1229.5</v>
      </c>
      <c r="T87" s="19">
        <f>IFERROR(Influent[[#This Row],[sCOD (mg L-1)]]/Influent[[#This Row],[TN (mg L-1)]], 0)</f>
        <v>1.8153721024806833</v>
      </c>
      <c r="U87" s="19">
        <f>Influent[[#This Row],[Alkalinity (mg CaCO3 L-1) ]]/Influent[[#This Row],[TN (mg L-1)]]</f>
        <v>3.5998373322488817</v>
      </c>
      <c r="V87" s="19">
        <f>Influent[[#This Row],[VSS (mg L-1)]]/Influent[[#This Row],[TSS (mg L-1)]]</f>
        <v>0</v>
      </c>
    </row>
    <row r="88" spans="1:22" x14ac:dyDescent="0.3">
      <c r="A88" s="128">
        <v>43411</v>
      </c>
      <c r="B88" s="29">
        <v>85</v>
      </c>
      <c r="D88" s="19"/>
      <c r="E88">
        <v>2340</v>
      </c>
      <c r="F88" s="29">
        <f>Influent[[#This Row],[COD (mg L-1)]]*Information!$AK$40</f>
        <v>2106</v>
      </c>
      <c r="G88">
        <v>4438</v>
      </c>
      <c r="H88">
        <v>8.4</v>
      </c>
      <c r="I88">
        <v>152</v>
      </c>
      <c r="K88">
        <v>14.81</v>
      </c>
      <c r="L88" s="29">
        <v>0.2</v>
      </c>
      <c r="M88" s="6"/>
      <c r="N88" s="20"/>
      <c r="O88" s="6"/>
      <c r="P88" s="6">
        <v>1248.2</v>
      </c>
      <c r="Q88" s="20">
        <v>8.0000000000000002E-3</v>
      </c>
      <c r="R88" s="19">
        <f>IF(Influent[[#This Row],[TON (mg L-1)]]-Influent[[#This Row],[NO2-N (mg L-1)]]&lt;0,0.2,Influent[[#This Row],[TON (mg L-1)]]-Influent[[#This Row],[NO2-N (mg L-1)]])</f>
        <v>0.192</v>
      </c>
      <c r="S88" s="6">
        <f>SUM(Influent[[#This Row],[NO3-N (mg L-1)]],Influent[[#This Row],[NO2-N (mg L-1)]],Influent[[#This Row],[NH4-N (mg L-1)]])</f>
        <v>1248.4000000000001</v>
      </c>
      <c r="T88" s="19">
        <f>IFERROR(Influent[[#This Row],[sCOD (mg L-1)]]/Influent[[#This Row],[TN (mg L-1)]], 0)</f>
        <v>1.6869593079141301</v>
      </c>
      <c r="U88" s="19">
        <f>Influent[[#This Row],[Alkalinity (mg CaCO3 L-1) ]]/Influent[[#This Row],[TN (mg L-1)]]</f>
        <v>3.5549503364306307</v>
      </c>
      <c r="V88" s="19">
        <f>Influent[[#This Row],[VSS (mg L-1)]]/Influent[[#This Row],[TSS (mg L-1)]]</f>
        <v>0</v>
      </c>
    </row>
    <row r="89" spans="1:22" x14ac:dyDescent="0.3">
      <c r="A89" s="128">
        <v>43412</v>
      </c>
      <c r="B89" s="29">
        <v>86</v>
      </c>
      <c r="D89" s="19"/>
      <c r="E89">
        <v>2115</v>
      </c>
      <c r="F89" s="29">
        <f>Influent[[#This Row],[COD (mg L-1)]]*Information!$AK$40</f>
        <v>1903.5</v>
      </c>
      <c r="G89" s="22">
        <v>4409</v>
      </c>
      <c r="H89">
        <v>8.6</v>
      </c>
      <c r="K89" s="6">
        <v>14.95</v>
      </c>
      <c r="L89" s="19">
        <v>1.9</v>
      </c>
      <c r="M89" s="6">
        <f>Influent[[#This Row],[NH4-N (mg L-1)]]*1.288</f>
        <v>1489.1856</v>
      </c>
      <c r="N89" s="6">
        <f>(Influent[[#This Row],[TON (mg L-1)]]-Influent[[#This Row],[NO2- (mg L-1)]])*4.426</f>
        <v>8.293120128</v>
      </c>
      <c r="O89" s="6">
        <f>Influent[[#This Row],[NO2-N (mg L-1)]]*3.284</f>
        <v>2.6272E-2</v>
      </c>
      <c r="P89" s="6">
        <v>1156.2</v>
      </c>
      <c r="Q89" s="20">
        <v>8.0000000000000002E-3</v>
      </c>
      <c r="R89" s="19">
        <f>IF(Influent[[#This Row],[TON (mg L-1)]]-Influent[[#This Row],[NO2-N (mg L-1)]]&lt;0,0.2,Influent[[#This Row],[TON (mg L-1)]]-Influent[[#This Row],[NO2-N (mg L-1)]])</f>
        <v>1.8919999999999999</v>
      </c>
      <c r="S89" s="6">
        <f>SUM(Influent[[#This Row],[NO3-N (mg L-1)]],Influent[[#This Row],[NO2-N (mg L-1)]],Influent[[#This Row],[NH4-N (mg L-1)]])</f>
        <v>1158.1000000000001</v>
      </c>
      <c r="T89" s="19">
        <f>IFERROR(Influent[[#This Row],[sCOD (mg L-1)]]/Influent[[#This Row],[TN (mg L-1)]], 0)</f>
        <v>1.6436404455573783</v>
      </c>
      <c r="U89" s="19">
        <f>Influent[[#This Row],[Alkalinity (mg CaCO3 L-1) ]]/Influent[[#This Row],[TN (mg L-1)]]</f>
        <v>3.8070978326569378</v>
      </c>
      <c r="V89" s="19"/>
    </row>
    <row r="90" spans="1:22" x14ac:dyDescent="0.3">
      <c r="A90" s="128">
        <v>43413</v>
      </c>
      <c r="B90" s="29">
        <v>87</v>
      </c>
      <c r="D90" s="19"/>
      <c r="E90">
        <v>2155</v>
      </c>
      <c r="F90" s="29">
        <f>Influent[[#This Row],[COD (mg L-1)]]*Information!$AK$40</f>
        <v>1939.5</v>
      </c>
      <c r="G90" s="22">
        <v>4299</v>
      </c>
      <c r="H90">
        <v>8.6</v>
      </c>
      <c r="K90" s="6">
        <v>14.84</v>
      </c>
      <c r="L90" s="19">
        <v>40.200000000000003</v>
      </c>
      <c r="M90" s="6">
        <f>Influent[[#This Row],[NH4-N (mg L-1)]]*1.288</f>
        <v>1660.6184000000001</v>
      </c>
      <c r="N90" s="6">
        <f>(Influent[[#This Row],[TON (mg L-1)]]-Influent[[#This Row],[NO2- (mg L-1)]])*4.426</f>
        <v>26.586946592000018</v>
      </c>
      <c r="O90" s="6">
        <f>Influent[[#This Row],[NO2-N (mg L-1)]]*3.284</f>
        <v>34.193007999999999</v>
      </c>
      <c r="P90" s="6">
        <v>1289.3</v>
      </c>
      <c r="Q90" s="20">
        <v>10.412000000000001</v>
      </c>
      <c r="R90" s="19">
        <f>IF(Influent[[#This Row],[TON (mg L-1)]]-Influent[[#This Row],[NO2-N (mg L-1)]]&lt;0,0.2,Influent[[#This Row],[TON (mg L-1)]]-Influent[[#This Row],[NO2-N (mg L-1)]])</f>
        <v>29.788000000000004</v>
      </c>
      <c r="S90" s="6">
        <f>SUM(Influent[[#This Row],[NO3-N (mg L-1)]],Influent[[#This Row],[NO2-N (mg L-1)]],Influent[[#This Row],[NH4-N (mg L-1)]])</f>
        <v>1329.5</v>
      </c>
      <c r="T90" s="19">
        <f>IFERROR(Influent[[#This Row],[sCOD (mg L-1)]]/Influent[[#This Row],[TN (mg L-1)]], 0)</f>
        <v>1.4588191049266641</v>
      </c>
      <c r="U90" s="19">
        <f>Influent[[#This Row],[Alkalinity (mg CaCO3 L-1) ]]/Influent[[#This Row],[TN (mg L-1)]]</f>
        <v>3.2335464460323431</v>
      </c>
      <c r="V90" s="19"/>
    </row>
    <row r="91" spans="1:22" x14ac:dyDescent="0.3">
      <c r="A91" s="128">
        <v>43414</v>
      </c>
      <c r="B91" s="29">
        <v>88</v>
      </c>
      <c r="D91" s="19"/>
      <c r="E91">
        <v>2015</v>
      </c>
      <c r="F91" s="29">
        <f>Influent[[#This Row],[COD (mg L-1)]]*Information!$AK$40</f>
        <v>1813.5</v>
      </c>
      <c r="G91" s="22">
        <v>4215</v>
      </c>
      <c r="H91">
        <v>8.5</v>
      </c>
      <c r="K91" s="6">
        <v>16.41</v>
      </c>
      <c r="L91" s="19">
        <v>10.5</v>
      </c>
      <c r="M91" s="6">
        <f>Influent[[#This Row],[NH4-N (mg L-1)]]*1.288</f>
        <v>1647.2232000000001</v>
      </c>
      <c r="N91" s="6">
        <f>(Influent[[#This Row],[TON (mg L-1)]]-Influent[[#This Row],[NO2- (mg L-1)]])*4.426</f>
        <v>-64.385322967999997</v>
      </c>
      <c r="O91" s="6">
        <f>Influent[[#This Row],[NO2-N (mg L-1)]]*3.284</f>
        <v>25.047067999999999</v>
      </c>
      <c r="P91" s="6">
        <v>1278.9000000000001</v>
      </c>
      <c r="Q91" s="20">
        <v>7.6269999999999998</v>
      </c>
      <c r="R91" s="19">
        <f>IF(Influent[[#This Row],[TON (mg L-1)]]-Influent[[#This Row],[NO2-N (mg L-1)]]&lt;0,0.2,Influent[[#This Row],[TON (mg L-1)]]-Influent[[#This Row],[NO2-N (mg L-1)]])</f>
        <v>2.8730000000000002</v>
      </c>
      <c r="S91" s="6">
        <f>SUM(Influent[[#This Row],[NO3-N (mg L-1)]],Influent[[#This Row],[NO2-N (mg L-1)]],Influent[[#This Row],[NH4-N (mg L-1)]])</f>
        <v>1289.4000000000001</v>
      </c>
      <c r="T91" s="19">
        <f>IFERROR(Influent[[#This Row],[sCOD (mg L-1)]]/Influent[[#This Row],[TN (mg L-1)]], 0)</f>
        <v>1.406468124709167</v>
      </c>
      <c r="U91" s="19">
        <f>Influent[[#This Row],[Alkalinity (mg CaCO3 L-1) ]]/Influent[[#This Row],[TN (mg L-1)]]</f>
        <v>3.2689623080502557</v>
      </c>
      <c r="V91" s="19"/>
    </row>
    <row r="92" spans="1:22" x14ac:dyDescent="0.3">
      <c r="A92" s="128">
        <v>43415</v>
      </c>
      <c r="B92" s="29">
        <v>89</v>
      </c>
      <c r="D92" s="19"/>
      <c r="E92">
        <v>2045</v>
      </c>
      <c r="F92" s="29">
        <f>Influent[[#This Row],[COD (mg L-1)]]*Information!$AK$40</f>
        <v>1840.5</v>
      </c>
      <c r="G92" s="22">
        <v>4148</v>
      </c>
      <c r="H92">
        <v>8.5</v>
      </c>
      <c r="K92" s="6">
        <v>16.21</v>
      </c>
      <c r="L92" s="19">
        <v>27.1</v>
      </c>
      <c r="M92" s="6">
        <f>Influent[[#This Row],[NH4-N (mg L-1)]]*1.288</f>
        <v>1607.6816000000001</v>
      </c>
      <c r="N92" s="6">
        <f>(Influent[[#This Row],[TON (mg L-1)]]-Influent[[#This Row],[NO2- (mg L-1)]])*4.426</f>
        <v>-160.11547171199999</v>
      </c>
      <c r="O92" s="6">
        <f>Influent[[#This Row],[NO2-N (mg L-1)]]*3.284</f>
        <v>63.276111999999998</v>
      </c>
      <c r="P92" s="6">
        <v>1248.2</v>
      </c>
      <c r="Q92" s="20">
        <v>19.268000000000001</v>
      </c>
      <c r="R92" s="19">
        <f>IF(Influent[[#This Row],[TON (mg L-1)]]-Influent[[#This Row],[NO2-N (mg L-1)]]&lt;0,0.2,Influent[[#This Row],[TON (mg L-1)]]-Influent[[#This Row],[NO2-N (mg L-1)]])</f>
        <v>7.8320000000000007</v>
      </c>
      <c r="S92" s="6">
        <f>SUM(Influent[[#This Row],[NO3-N (mg L-1)]],Influent[[#This Row],[NO2-N (mg L-1)]],Influent[[#This Row],[NH4-N (mg L-1)]])</f>
        <v>1275.3</v>
      </c>
      <c r="T92" s="19">
        <f>IFERROR(Influent[[#This Row],[sCOD (mg L-1)]]/Influent[[#This Row],[TN (mg L-1)]], 0)</f>
        <v>1.4431898376852506</v>
      </c>
      <c r="U92" s="19">
        <f>Influent[[#This Row],[Alkalinity (mg CaCO3 L-1) ]]/Influent[[#This Row],[TN (mg L-1)]]</f>
        <v>3.252568023210225</v>
      </c>
      <c r="V92" s="19"/>
    </row>
    <row r="93" spans="1:22" x14ac:dyDescent="0.3">
      <c r="A93" s="128">
        <v>43416</v>
      </c>
      <c r="B93" s="29">
        <v>90</v>
      </c>
      <c r="D93" s="19"/>
      <c r="E93">
        <v>2020</v>
      </c>
      <c r="F93" s="29">
        <f>Influent[[#This Row],[COD (mg L-1)]]*Information!$AK$40</f>
        <v>1818</v>
      </c>
      <c r="G93" s="22">
        <v>4174</v>
      </c>
      <c r="H93">
        <v>8.5</v>
      </c>
      <c r="K93" s="6">
        <v>16.260000000000002</v>
      </c>
      <c r="L93" s="19">
        <v>29.8</v>
      </c>
      <c r="M93" s="6">
        <f>Influent[[#This Row],[NH4-N (mg L-1)]]*1.288</f>
        <v>1512.8847999999998</v>
      </c>
      <c r="N93" s="6">
        <f>(Influent[[#This Row],[TON (mg L-1)]]-Influent[[#This Row],[NO2- (mg L-1)]])*4.426</f>
        <v>-168.514249312</v>
      </c>
      <c r="O93" s="6">
        <f>Influent[[#This Row],[NO2-N (mg L-1)]]*3.284</f>
        <v>67.873711999999998</v>
      </c>
      <c r="P93" s="6">
        <v>1174.5999999999999</v>
      </c>
      <c r="Q93" s="20">
        <v>20.667999999999999</v>
      </c>
      <c r="R93" s="19">
        <f>IF(Influent[[#This Row],[TON (mg L-1)]]-Influent[[#This Row],[NO2-N (mg L-1)]]&lt;0,0.2,Influent[[#This Row],[TON (mg L-1)]]-Influent[[#This Row],[NO2-N (mg L-1)]])</f>
        <v>9.1320000000000014</v>
      </c>
      <c r="S93" s="6">
        <f>SUM(Influent[[#This Row],[NO3-N (mg L-1)]],Influent[[#This Row],[NO2-N (mg L-1)]],Influent[[#This Row],[NH4-N (mg L-1)]])</f>
        <v>1204.3999999999999</v>
      </c>
      <c r="T93" s="19">
        <f>IFERROR(Influent[[#This Row],[sCOD (mg L-1)]]/Influent[[#This Row],[TN (mg L-1)]], 0)</f>
        <v>1.5094652939222852</v>
      </c>
      <c r="U93" s="19">
        <f>Influent[[#This Row],[Alkalinity (mg CaCO3 L-1) ]]/Influent[[#This Row],[TN (mg L-1)]]</f>
        <v>3.4656260378611763</v>
      </c>
      <c r="V93" s="19"/>
    </row>
  </sheetData>
  <mergeCells count="2">
    <mergeCell ref="C2:D2"/>
    <mergeCell ref="E2:S2"/>
  </mergeCells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30A0"/>
  </sheetPr>
  <dimension ref="A2:AM57"/>
  <sheetViews>
    <sheetView topLeftCell="W13" zoomScale="85" zoomScaleNormal="85" workbookViewId="0">
      <selection activeCell="AP37" sqref="AP37"/>
    </sheetView>
  </sheetViews>
  <sheetFormatPr defaultRowHeight="14.4" x14ac:dyDescent="0.3"/>
  <cols>
    <col min="5" max="5" width="9.33203125" bestFit="1" customWidth="1"/>
    <col min="9" max="9" width="12.77734375" customWidth="1"/>
  </cols>
  <sheetData>
    <row r="2" spans="1:11" x14ac:dyDescent="0.3">
      <c r="A2" s="67"/>
      <c r="B2" s="261" t="s">
        <v>48</v>
      </c>
      <c r="C2" s="261" t="s">
        <v>202</v>
      </c>
      <c r="D2" s="261" t="s">
        <v>46</v>
      </c>
      <c r="E2" s="261" t="s">
        <v>600</v>
      </c>
      <c r="H2" s="271" t="s">
        <v>48</v>
      </c>
      <c r="I2" s="271" t="s">
        <v>202</v>
      </c>
      <c r="J2" s="271" t="s">
        <v>46</v>
      </c>
      <c r="K2" s="271" t="s">
        <v>600</v>
      </c>
    </row>
    <row r="3" spans="1:11" x14ac:dyDescent="0.3">
      <c r="A3" s="261" t="s">
        <v>562</v>
      </c>
      <c r="B3" s="260">
        <f>QUARTILE(stableGSBR[NRR 
(kg N m-3 d-1)],0)</f>
        <v>8.8860000000000106E-2</v>
      </c>
      <c r="C3" s="260">
        <f>QUARTILE(stableMED[NRR 
(kg N m-3 d-1)],0)</f>
        <v>9.7368897742817484E-3</v>
      </c>
      <c r="D3" s="260">
        <f>QUARTILE(stableSSBR[NRR 
(kg N m-3 d-1)],0)</f>
        <v>1.8415870000000004E-2</v>
      </c>
      <c r="E3" s="260">
        <f>QUARTILE(stableLTP[NRR 
(kg N m-3 d-1)],0)</f>
        <v>3.1585488693240578E-3</v>
      </c>
      <c r="G3" s="272" t="s">
        <v>592</v>
      </c>
      <c r="H3" s="260">
        <f>D3</f>
        <v>1.8415870000000004E-2</v>
      </c>
      <c r="I3" s="260">
        <f t="shared" ref="I3" si="0">C3</f>
        <v>9.7368897742817484E-3</v>
      </c>
      <c r="J3" s="260">
        <f>B3</f>
        <v>8.8860000000000106E-2</v>
      </c>
      <c r="K3" s="260">
        <f t="shared" ref="K3" si="1">E3</f>
        <v>3.1585488693240578E-3</v>
      </c>
    </row>
    <row r="4" spans="1:11" x14ac:dyDescent="0.3">
      <c r="A4" s="261" t="s">
        <v>561</v>
      </c>
      <c r="B4" s="260">
        <f>QUARTILE(stableGSBR[NRR 
(kg N m-3 d-1)],1)</f>
        <v>0.23067583159497193</v>
      </c>
      <c r="C4" s="260">
        <f>QUARTILE(stableMED[NRR 
(kg N m-3 d-1)],1)</f>
        <v>6.4797636557811719E-2</v>
      </c>
      <c r="D4" s="260">
        <f>QUARTILE(stableSSBR[NRR 
(kg N m-3 d-1)],1)</f>
        <v>0.39639294062499997</v>
      </c>
      <c r="E4" s="260">
        <f>QUARTILE(stableLTP[NRR 
(kg N m-3 d-1)],1)</f>
        <v>3.7954544262752771E-2</v>
      </c>
      <c r="G4" s="272" t="s">
        <v>593</v>
      </c>
      <c r="H4" s="260">
        <f>D4-D3</f>
        <v>0.37797707062499997</v>
      </c>
      <c r="I4" s="260">
        <f t="shared" ref="I4:I7" si="2">C4-C3</f>
        <v>5.5060746783529971E-2</v>
      </c>
      <c r="J4" s="260">
        <f>B4-B3</f>
        <v>0.14181583159497183</v>
      </c>
      <c r="K4" s="260">
        <f t="shared" ref="K4:K7" si="3">E4-E3</f>
        <v>3.4795995393428716E-2</v>
      </c>
    </row>
    <row r="5" spans="1:11" x14ac:dyDescent="0.3">
      <c r="A5" s="261" t="s">
        <v>563</v>
      </c>
      <c r="B5" s="260">
        <f>QUARTILE(stableGSBR[NRR 
(kg N m-3 d-1)],2)</f>
        <v>0.4961638131564724</v>
      </c>
      <c r="C5" s="260">
        <f>QUARTILE(stableMED[NRR 
(kg N m-3 d-1)],2)</f>
        <v>0.12754894067836889</v>
      </c>
      <c r="D5" s="260">
        <f>QUARTILE(stableSSBR[NRR 
(kg N m-3 d-1)],2)</f>
        <v>0.53991079769999994</v>
      </c>
      <c r="E5" s="260">
        <f>QUARTILE(stableLTP[NRR 
(kg N m-3 d-1)],2)</f>
        <v>4.9185632085794101E-2</v>
      </c>
      <c r="G5" s="272" t="s">
        <v>594</v>
      </c>
      <c r="H5" s="260">
        <f>D5-D4</f>
        <v>0.14351785707499998</v>
      </c>
      <c r="I5" s="260">
        <f t="shared" si="2"/>
        <v>6.2751304120557169E-2</v>
      </c>
      <c r="J5" s="260">
        <f>B5-B4</f>
        <v>0.26548798156150044</v>
      </c>
      <c r="K5" s="260">
        <f t="shared" si="3"/>
        <v>1.123108782304133E-2</v>
      </c>
    </row>
    <row r="6" spans="1:11" x14ac:dyDescent="0.3">
      <c r="A6" s="261" t="s">
        <v>564</v>
      </c>
      <c r="B6" s="260">
        <f>QUARTILE(stableGSBR[NRR 
(kg N m-3 d-1)],3)</f>
        <v>0.81326777557417951</v>
      </c>
      <c r="C6" s="260">
        <f>QUARTILE(stableMED[NRR 
(kg N m-3 d-1)],3)</f>
        <v>0.25510905460877908</v>
      </c>
      <c r="D6" s="260">
        <f>QUARTILE(stableSSBR[NRR 
(kg N m-3 d-1)],3)</f>
        <v>0.79766859705000015</v>
      </c>
      <c r="E6" s="260">
        <f>QUARTILE(stableLTP[NRR 
(kg N m-3 d-1)],3)</f>
        <v>7.0909723059712132E-2</v>
      </c>
      <c r="G6" s="272" t="s">
        <v>595</v>
      </c>
      <c r="H6" s="260">
        <f>D6-D5</f>
        <v>0.25775779935000021</v>
      </c>
      <c r="I6" s="260">
        <f t="shared" si="2"/>
        <v>0.1275601139304102</v>
      </c>
      <c r="J6" s="260">
        <f>B6-B5</f>
        <v>0.31710396241770711</v>
      </c>
      <c r="K6" s="260">
        <f t="shared" si="3"/>
        <v>2.1724090973918031E-2</v>
      </c>
    </row>
    <row r="7" spans="1:11" x14ac:dyDescent="0.3">
      <c r="A7" s="261" t="s">
        <v>565</v>
      </c>
      <c r="B7" s="260">
        <f>QUARTILE(stableGSBR[NRR 
(kg N m-3 d-1)],4)</f>
        <v>1.4832898461538457</v>
      </c>
      <c r="C7" s="260">
        <f>QUARTILE(stableMED[NRR 
(kg N m-3 d-1)],4)</f>
        <v>0.47486084158016739</v>
      </c>
      <c r="D7" s="260">
        <f>QUARTILE(stableSSBR[NRR 
(kg N m-3 d-1)],4)</f>
        <v>0.96334056000000001</v>
      </c>
      <c r="E7" s="260">
        <f>QUARTILE(stableLTP[NRR 
(kg N m-3 d-1)],4)</f>
        <v>0.227293960324077</v>
      </c>
      <c r="G7" s="272" t="s">
        <v>596</v>
      </c>
      <c r="H7" s="260">
        <f>D7-D6</f>
        <v>0.16567196294999986</v>
      </c>
      <c r="I7" s="260">
        <f t="shared" si="2"/>
        <v>0.21975178697138831</v>
      </c>
      <c r="J7" s="260">
        <f>B7-B6</f>
        <v>0.67002207057966623</v>
      </c>
      <c r="K7" s="260">
        <f t="shared" si="3"/>
        <v>0.15638423726436487</v>
      </c>
    </row>
    <row r="8" spans="1:11" x14ac:dyDescent="0.3">
      <c r="A8" s="364" t="s">
        <v>581</v>
      </c>
      <c r="B8" s="364"/>
      <c r="C8" s="364"/>
      <c r="D8" s="364"/>
      <c r="E8" s="364"/>
      <c r="G8" s="272" t="s">
        <v>168</v>
      </c>
      <c r="H8" s="260">
        <f>AVERAGE(stableSSBR[NRR 
(kg N m-3 d-1)])</f>
        <v>0.58021223408750011</v>
      </c>
      <c r="I8" s="260">
        <f>AVERAGE(stableMED[NRR 
(kg N m-3 d-1)])</f>
        <v>0.17148299998996946</v>
      </c>
      <c r="J8" s="260">
        <f>AVERAGE(stableGSBR[NRR 
(kg N m-3 d-1)])</f>
        <v>0.58387119141082489</v>
      </c>
      <c r="K8" s="260">
        <f>AVERAGE(stableLTP[NRR 
(kg N m-3 d-1)])</f>
        <v>6.1279370934701934E-2</v>
      </c>
    </row>
    <row r="9" spans="1:11" x14ac:dyDescent="0.3">
      <c r="A9" s="261" t="s">
        <v>389</v>
      </c>
      <c r="B9" s="260">
        <f>STDEV(stableGSBR[ARR 
(kg NH4-N m-3 d-1)])</f>
        <v>0.39678371505723775</v>
      </c>
      <c r="C9" s="260">
        <f>STDEV(stableMED[ARR 
(kg NH4-N m-3 d-1)])</f>
        <v>0.13637431951435039</v>
      </c>
      <c r="D9" s="260">
        <f>STDEV(stableSSBR[ARR
(kg NH4-N m-3 d-1)])</f>
        <v>0.24019656831061839</v>
      </c>
      <c r="E9" s="260">
        <f>STDEV(stableLTP[ARR 
(kg NH4-N m-3 d-1)])</f>
        <v>0.11594650335897601</v>
      </c>
    </row>
    <row r="10" spans="1:11" x14ac:dyDescent="0.3">
      <c r="A10" s="261" t="s">
        <v>388</v>
      </c>
      <c r="B10" s="260">
        <f>AVERAGE(stableGSBR[ARR 
(kg NH4-N m-3 d-1)])</f>
        <v>0.51159674559713142</v>
      </c>
      <c r="C10" s="260">
        <f>AVERAGE(stableMED[ARR 
(kg NH4-N m-3 d-1)])</f>
        <v>0.18975361836468013</v>
      </c>
      <c r="D10" s="260">
        <f>AVERAGE(stableSSBR[ARR
(kg NH4-N m-3 d-1)])</f>
        <v>0.59518272957954566</v>
      </c>
      <c r="E10" s="260">
        <f>AVERAGE(stableLTP[ARR 
(kg NH4-N m-3 d-1)])</f>
        <v>0.26388229008516839</v>
      </c>
    </row>
    <row r="11" spans="1:11" x14ac:dyDescent="0.3">
      <c r="A11" s="365" t="s">
        <v>25</v>
      </c>
      <c r="B11" s="365"/>
      <c r="C11" s="365"/>
      <c r="D11" s="365"/>
      <c r="E11" s="365"/>
    </row>
    <row r="12" spans="1:11" x14ac:dyDescent="0.3">
      <c r="A12" s="261" t="s">
        <v>389</v>
      </c>
      <c r="B12" s="260">
        <f>STDEV(stableGSBR[NRR 
(kg N m-3 d-1)])</f>
        <v>0.46291323319749883</v>
      </c>
      <c r="C12" s="260">
        <f>STDEV(stableMED[NRR 
(kg N m-3 d-1)])</f>
        <v>0.12934805526137749</v>
      </c>
      <c r="D12" s="260">
        <f>STDEV(stableSSBR[NRR 
(kg N m-3 d-1)])</f>
        <v>0.2387754974321451</v>
      </c>
      <c r="E12" s="260">
        <f>STDEV(stableLTP[NRR 
(kg N m-3 d-1)])</f>
        <v>4.6077929977697003E-2</v>
      </c>
    </row>
    <row r="13" spans="1:11" x14ac:dyDescent="0.3">
      <c r="A13" s="261" t="s">
        <v>388</v>
      </c>
      <c r="B13" s="260">
        <f>AVERAGE(stableGSBR[NRR 
(kg N m-3 d-1)])</f>
        <v>0.58387119141082489</v>
      </c>
      <c r="C13" s="260">
        <f>AVERAGE(stableMED[NRR 
(kg N m-3 d-1)])</f>
        <v>0.17148299998996946</v>
      </c>
      <c r="D13" s="260">
        <f>AVERAGE(stableSSBR[NRR 
(kg N m-3 d-1)])</f>
        <v>0.58021223408750011</v>
      </c>
      <c r="E13" s="260">
        <f>AVERAGE(stableLTP[NRR 
(kg N m-3 d-1)])</f>
        <v>6.1279370934701934E-2</v>
      </c>
    </row>
    <row r="14" spans="1:11" x14ac:dyDescent="0.3">
      <c r="A14" s="364" t="s">
        <v>27</v>
      </c>
      <c r="B14" s="364"/>
      <c r="C14" s="364"/>
      <c r="D14" s="364"/>
      <c r="E14" s="364"/>
    </row>
    <row r="15" spans="1:11" x14ac:dyDescent="0.3">
      <c r="A15" s="261" t="s">
        <v>389</v>
      </c>
      <c r="B15" s="260">
        <f>STDEV(stableGSBR[NRE 
(%)])</f>
        <v>0.29871649765432673</v>
      </c>
      <c r="C15" s="260">
        <f>STDEV(stableMED[NRE 
(%)])</f>
        <v>0.2148799127462013</v>
      </c>
      <c r="D15" s="260">
        <f>STDEV(stableSSBR[NRE 
(%)])</f>
        <v>6.1323655044059393E-2</v>
      </c>
      <c r="E15" s="260">
        <f>STDEV(stableLTP[NRE 
(%)])</f>
        <v>0.15558867127365503</v>
      </c>
    </row>
    <row r="16" spans="1:11" x14ac:dyDescent="0.3">
      <c r="A16" s="261" t="s">
        <v>388</v>
      </c>
      <c r="B16" s="260">
        <f>AVERAGE(stableGSBR[NRE 
(%)])</f>
        <v>0.69902490565868447</v>
      </c>
      <c r="C16" s="260">
        <f>AVERAGE(stableMED[NRE 
(%)])</f>
        <v>0.58639445918401156</v>
      </c>
      <c r="D16" s="260">
        <f>AVERAGE(stableSSBR[NRE 
(%)])</f>
        <v>0.8453314880335242</v>
      </c>
      <c r="E16" s="260">
        <f>AVERAGE(stableLTP[NRE 
(%)])</f>
        <v>0.21195029883788899</v>
      </c>
    </row>
    <row r="17" spans="1:39" x14ac:dyDescent="0.3">
      <c r="A17" s="364" t="s">
        <v>26</v>
      </c>
      <c r="B17" s="364"/>
      <c r="C17" s="364"/>
      <c r="D17" s="364"/>
      <c r="E17" s="364"/>
    </row>
    <row r="18" spans="1:39" x14ac:dyDescent="0.3">
      <c r="A18" s="261" t="s">
        <v>389</v>
      </c>
      <c r="B18" s="260">
        <f>STDEV(stableGSBR[ARE 
(%)])</f>
        <v>0.24590116663185035</v>
      </c>
      <c r="C18" s="260">
        <f>STDEV(stableMED[ARE 
(%)])</f>
        <v>0.21886325395700637</v>
      </c>
      <c r="D18" s="260">
        <f>STDEV(stableSSBR[ARE 
(%)])</f>
        <v>6.3236643510872131E-2</v>
      </c>
      <c r="E18" s="260">
        <f>STDEV(stableLTP[ARE 
(%)])</f>
        <v>5.2366224836488624E-2</v>
      </c>
    </row>
    <row r="19" spans="1:39" x14ac:dyDescent="0.3">
      <c r="A19" s="261" t="s">
        <v>388</v>
      </c>
      <c r="B19" s="260">
        <f>AVERAGE(stableGSBR[ARE 
(%)])</f>
        <v>0.72885744960899101</v>
      </c>
      <c r="C19" s="260">
        <f>AVERAGE(stableMED[ARE 
(%)])</f>
        <v>0.60567773837361438</v>
      </c>
      <c r="D19" s="260">
        <f>AVERAGE(stableSSBR[ARE 
(%)])</f>
        <v>0.87266191228428058</v>
      </c>
      <c r="E19" s="260">
        <f>AVERAGE(stableLTP[ARE 
(%)])</f>
        <v>0.91235096667657256</v>
      </c>
    </row>
    <row r="20" spans="1:39" x14ac:dyDescent="0.3">
      <c r="A20" s="364" t="s">
        <v>40</v>
      </c>
      <c r="B20" s="364"/>
      <c r="C20" s="364"/>
      <c r="D20" s="364"/>
      <c r="E20" s="364"/>
    </row>
    <row r="21" spans="1:39" s="29" customFormat="1" x14ac:dyDescent="0.3">
      <c r="A21" s="268" t="s">
        <v>389</v>
      </c>
      <c r="B21" s="260">
        <f>STDEV(stableGSBR[NLR 
(kg N m-3 d-1)])</f>
        <v>0.46096829598774042</v>
      </c>
      <c r="C21" s="260">
        <f>STDEV(stableMED[NLR 
(kg N m-3 d-1)])</f>
        <v>0.26541580542750592</v>
      </c>
      <c r="D21" s="260">
        <f>STDEV(stableSSBR[NLR 
(kg N m-3 d-1)])</f>
        <v>0.2668022417698121</v>
      </c>
      <c r="E21" s="260">
        <f>STDEV(stableLTP[NLR 
(kg N m-3 d-1)])</f>
        <v>0.12892655070648329</v>
      </c>
    </row>
    <row r="22" spans="1:39" s="29" customFormat="1" x14ac:dyDescent="0.3">
      <c r="A22" s="268" t="s">
        <v>388</v>
      </c>
      <c r="B22" s="260">
        <f>AVERAGE(stableGSBR[NLR 
(kg N m-3 d-1)])</f>
        <v>0.72054379721969974</v>
      </c>
      <c r="C22" s="260">
        <f>AVERAGE(stableMED[NLR 
(kg N m-3 d-1)])</f>
        <v>0.32567754363631463</v>
      </c>
      <c r="D22" s="260">
        <f>AVERAGE(stableSSBR[NLR 
(kg N m-3 d-1)])</f>
        <v>0.68310635935568176</v>
      </c>
      <c r="E22" s="260">
        <f>AVERAGE(stableLTP[NLR 
(kg N m-3 d-1)])</f>
        <v>0.29173725784342908</v>
      </c>
      <c r="AM22" s="29" t="s">
        <v>628</v>
      </c>
    </row>
    <row r="24" spans="1:39" x14ac:dyDescent="0.3">
      <c r="A24" s="366" t="s">
        <v>581</v>
      </c>
      <c r="B24" s="366"/>
      <c r="C24" s="366"/>
      <c r="D24" s="366"/>
      <c r="E24" s="366"/>
    </row>
    <row r="25" spans="1:39" x14ac:dyDescent="0.3">
      <c r="A25" s="67"/>
      <c r="B25" s="267" t="s">
        <v>46</v>
      </c>
      <c r="C25" s="267" t="s">
        <v>202</v>
      </c>
      <c r="D25" s="267" t="s">
        <v>48</v>
      </c>
      <c r="E25" s="267" t="s">
        <v>600</v>
      </c>
      <c r="H25" s="268" t="s">
        <v>608</v>
      </c>
      <c r="I25" s="268" t="s">
        <v>609</v>
      </c>
      <c r="J25" s="268" t="s">
        <v>611</v>
      </c>
      <c r="K25" s="268" t="s">
        <v>612</v>
      </c>
    </row>
    <row r="26" spans="1:39" x14ac:dyDescent="0.3">
      <c r="A26" s="267" t="s">
        <v>562</v>
      </c>
      <c r="B26" s="260">
        <f>QUARTILE(stableSSBR[ARR
(kg NH4-N m-3 d-1)],0)</f>
        <v>1.871022E-2</v>
      </c>
      <c r="C26" s="260">
        <f>QUARTILE(stableMED[ARR 
(kg NH4-N m-3 d-1)],0)</f>
        <v>9.9137059839450765E-3</v>
      </c>
      <c r="D26" s="260">
        <f>QUARTILE(stableGSBR[ARR 
(kg NH4-N m-3 d-1)],0)</f>
        <v>8.4479999999999958E-2</v>
      </c>
      <c r="E26" s="260">
        <f>QUARTILE(stableLTP[ARR 
(kg NH4-N m-3 d-1)],0)</f>
        <v>1.8140140140140138E-2</v>
      </c>
      <c r="G26" s="248" t="s">
        <v>592</v>
      </c>
      <c r="H26" s="6">
        <f>B26</f>
        <v>1.871022E-2</v>
      </c>
      <c r="I26" s="6">
        <f t="shared" ref="I26" si="4">C26</f>
        <v>9.9137059839450765E-3</v>
      </c>
      <c r="J26" s="6">
        <f>D26</f>
        <v>8.4479999999999958E-2</v>
      </c>
      <c r="K26" s="6">
        <f>E26</f>
        <v>1.8140140140140138E-2</v>
      </c>
    </row>
    <row r="27" spans="1:39" x14ac:dyDescent="0.3">
      <c r="A27" s="267" t="s">
        <v>561</v>
      </c>
      <c r="B27" s="260">
        <f>QUARTILE(stableSSBR[ARR
(kg NH4-N m-3 d-1)],1)</f>
        <v>0.41731777775000001</v>
      </c>
      <c r="C27" s="260">
        <f>QUARTILE(stableMED[ARR 
(kg NH4-N m-3 d-1)],1)</f>
        <v>8.3611159342720759E-2</v>
      </c>
      <c r="D27" s="260">
        <f>QUARTILE(stableGSBR[ARR 
(kg NH4-N m-3 d-1)],1)</f>
        <v>0.22673358749147465</v>
      </c>
      <c r="E27" s="260">
        <f>QUARTILE(stableLTP[ARR 
(kg NH4-N m-3 d-1)],1)</f>
        <v>0.20305128213799384</v>
      </c>
      <c r="G27" s="248" t="s">
        <v>593</v>
      </c>
      <c r="H27" s="6">
        <f>B27-B26</f>
        <v>0.39860755775000001</v>
      </c>
      <c r="I27" s="6">
        <f t="shared" ref="I27:I30" si="5">C27-C26</f>
        <v>7.3697453358775686E-2</v>
      </c>
      <c r="J27" s="6">
        <f t="shared" ref="J27:K30" si="6">D27-D26</f>
        <v>0.14225358749147471</v>
      </c>
      <c r="K27" s="6">
        <f t="shared" si="6"/>
        <v>0.18491114199785369</v>
      </c>
      <c r="AB27" t="s">
        <v>202</v>
      </c>
    </row>
    <row r="28" spans="1:39" x14ac:dyDescent="0.3">
      <c r="A28" s="267" t="s">
        <v>563</v>
      </c>
      <c r="B28" s="260">
        <f>QUARTILE(stableSSBR[ARR
(kg NH4-N m-3 d-1)],2)</f>
        <v>0.56068956674999992</v>
      </c>
      <c r="C28" s="260">
        <f>QUARTILE(stableMED[ARR 
(kg NH4-N m-3 d-1)],2)</f>
        <v>0.14850840050827419</v>
      </c>
      <c r="D28" s="260">
        <f>QUARTILE(stableGSBR[ARR 
(kg NH4-N m-3 d-1)],2)</f>
        <v>0.35520111742707383</v>
      </c>
      <c r="E28" s="260">
        <f>QUARTILE(stableLTP[ARR 
(kg NH4-N m-3 d-1)],2)</f>
        <v>0.25495203401599797</v>
      </c>
      <c r="G28" s="248" t="s">
        <v>594</v>
      </c>
      <c r="H28" s="6">
        <f>B28-B27</f>
        <v>0.14337178899999992</v>
      </c>
      <c r="I28" s="6">
        <f t="shared" si="5"/>
        <v>6.4897241165553426E-2</v>
      </c>
      <c r="J28" s="6">
        <f t="shared" si="6"/>
        <v>0.12846752993559918</v>
      </c>
      <c r="K28" s="6">
        <f t="shared" si="6"/>
        <v>5.1900751878004137E-2</v>
      </c>
    </row>
    <row r="29" spans="1:39" x14ac:dyDescent="0.3">
      <c r="A29" s="267" t="s">
        <v>564</v>
      </c>
      <c r="B29" s="260">
        <f>QUARTILE(stableSSBR[ARR
(kg NH4-N m-3 d-1)],3)</f>
        <v>0.80174927174999999</v>
      </c>
      <c r="C29" s="260">
        <f>QUARTILE(stableMED[ARR 
(kg NH4-N m-3 d-1)],3)</f>
        <v>0.27187767515343025</v>
      </c>
      <c r="D29" s="260">
        <f>QUARTILE(stableGSBR[ARR 
(kg NH4-N m-3 d-1)],3)</f>
        <v>0.63897077922077927</v>
      </c>
      <c r="E29" s="260">
        <f>QUARTILE(stableLTP[ARR 
(kg NH4-N m-3 d-1)],3)</f>
        <v>0.33697513121229333</v>
      </c>
      <c r="G29" s="248" t="s">
        <v>595</v>
      </c>
      <c r="H29" s="6">
        <f>B29-B28</f>
        <v>0.24105970500000007</v>
      </c>
      <c r="I29" s="6">
        <f t="shared" si="5"/>
        <v>0.12336927464515607</v>
      </c>
      <c r="J29" s="6">
        <f t="shared" si="6"/>
        <v>0.28376966179370544</v>
      </c>
      <c r="K29" s="6">
        <f t="shared" si="6"/>
        <v>8.2023097196295358E-2</v>
      </c>
    </row>
    <row r="30" spans="1:39" x14ac:dyDescent="0.3">
      <c r="A30" s="267" t="s">
        <v>565</v>
      </c>
      <c r="B30" s="260">
        <f>QUARTILE(stableSSBR[ARR
(kg NH4-N m-3 d-1)],4)</f>
        <v>0.98027496000000003</v>
      </c>
      <c r="C30" s="260">
        <f>QUARTILE(stableMED[ARR 
(kg NH4-N m-3 d-1)],4)</f>
        <v>0.50768868276079993</v>
      </c>
      <c r="D30" s="260">
        <f>QUARTILE(stableGSBR[ARR 
(kg NH4-N m-3 d-1)],4)</f>
        <v>1.4996676923076924</v>
      </c>
      <c r="E30" s="260">
        <f>QUARTILE(stableLTP[ARR 
(kg NH4-N m-3 d-1)],4)</f>
        <v>0.7275478938397858</v>
      </c>
      <c r="G30" s="248" t="s">
        <v>596</v>
      </c>
      <c r="H30" s="6">
        <f>B30-B29</f>
        <v>0.17852568825000004</v>
      </c>
      <c r="I30" s="6">
        <f t="shared" si="5"/>
        <v>0.23581100760736967</v>
      </c>
      <c r="J30" s="6">
        <f t="shared" si="6"/>
        <v>0.8606969130869131</v>
      </c>
      <c r="K30" s="6">
        <f t="shared" si="6"/>
        <v>0.39057276262749246</v>
      </c>
    </row>
    <row r="31" spans="1:39" x14ac:dyDescent="0.3">
      <c r="A31" s="367" t="s">
        <v>27</v>
      </c>
      <c r="B31" s="367"/>
      <c r="C31" s="367"/>
      <c r="D31" s="367"/>
      <c r="E31" s="367"/>
      <c r="G31" s="248" t="s">
        <v>168</v>
      </c>
      <c r="H31" s="260">
        <f>AVERAGE(stableSSBR[ARR
(kg NH4-N m-3 d-1)])</f>
        <v>0.59518272957954566</v>
      </c>
      <c r="I31" s="260">
        <f>AVERAGE(stableMED[ARR 
(kg NH4-N m-3 d-1)])</f>
        <v>0.18975361836468013</v>
      </c>
      <c r="J31" s="260">
        <f>AVERAGE(stableGSBR[ARR 
(kg NH4-N m-3 d-1)])</f>
        <v>0.51159674559713142</v>
      </c>
      <c r="K31" s="260">
        <f>AVERAGE(stableLTP[ARR 
(kg NH4-N m-3 d-1)])</f>
        <v>0.26388229008516839</v>
      </c>
    </row>
    <row r="32" spans="1:39" x14ac:dyDescent="0.3">
      <c r="A32" s="268" t="s">
        <v>562</v>
      </c>
      <c r="B32" s="260">
        <f>QUARTILE(stableSSBR[NRE 
(%)],0)</f>
        <v>0.48073542686113357</v>
      </c>
      <c r="C32" s="260">
        <f>QUARTILE(stableMED[NRE 
(%)],0)</f>
        <v>0.25673955369177776</v>
      </c>
      <c r="D32" s="260">
        <f>QUARTILE(stableGSBR[NRE 
(%)],0)</f>
        <v>0.11090310019469832</v>
      </c>
      <c r="E32" s="260">
        <f>QUARTILE(stableLTP[NRE 
(%)],0)</f>
        <v>4.7379168354259371E-2</v>
      </c>
      <c r="G32" s="248" t="s">
        <v>592</v>
      </c>
      <c r="H32" s="6">
        <f>B32</f>
        <v>0.48073542686113357</v>
      </c>
      <c r="I32" s="6">
        <f>C32</f>
        <v>0.25673955369177776</v>
      </c>
      <c r="J32" s="6">
        <f>D32</f>
        <v>0.11090310019469832</v>
      </c>
      <c r="K32" s="6">
        <f>E32</f>
        <v>4.7379168354259371E-2</v>
      </c>
    </row>
    <row r="33" spans="1:11" x14ac:dyDescent="0.3">
      <c r="A33" s="268" t="s">
        <v>561</v>
      </c>
      <c r="B33" s="260">
        <f>QUARTILE(stableSSBR[NRE 
(%)],1)</f>
        <v>0.83403389676401474</v>
      </c>
      <c r="C33" s="260">
        <f>QUARTILE(stableMED[NRE 
(%)],1)</f>
        <v>0.41331157859569473</v>
      </c>
      <c r="D33" s="260">
        <f>QUARTILE(stableGSBR[NRE 
(%)],1)</f>
        <v>0.57905687986532439</v>
      </c>
      <c r="E33" s="260">
        <f>QUARTILE(stableLTP[NRE 
(%)],1)</f>
        <v>0.13357845725768813</v>
      </c>
      <c r="G33" s="248" t="s">
        <v>593</v>
      </c>
      <c r="H33" s="6">
        <f>B33-B32</f>
        <v>0.35329846990288116</v>
      </c>
      <c r="I33" s="6">
        <f t="shared" ref="H33:I36" si="7">C33-C32</f>
        <v>0.15657202490391697</v>
      </c>
      <c r="J33" s="6">
        <f>D33-D32</f>
        <v>0.4681537796706261</v>
      </c>
      <c r="K33" s="6">
        <f t="shared" ref="K33:K36" si="8">E33-E32</f>
        <v>8.6199288903428761E-2</v>
      </c>
    </row>
    <row r="34" spans="1:11" x14ac:dyDescent="0.3">
      <c r="A34" s="268" t="s">
        <v>563</v>
      </c>
      <c r="B34" s="260">
        <f>QUARTILE(stableSSBR[NRE 
(%)],2)</f>
        <v>0.85169162019846845</v>
      </c>
      <c r="C34" s="260">
        <f>QUARTILE(stableMED[NRE 
(%)],2)</f>
        <v>0.52658496954606271</v>
      </c>
      <c r="D34" s="260">
        <f>QUARTILE(stableGSBR[NRE 
(%)],2)</f>
        <v>0.85618643897606472</v>
      </c>
      <c r="E34" s="260">
        <f>QUARTILE(stableLTP[NRE 
(%)],2)</f>
        <v>0.17502480979159774</v>
      </c>
      <c r="G34" s="248" t="s">
        <v>594</v>
      </c>
      <c r="H34" s="6">
        <f t="shared" si="7"/>
        <v>1.7657723434453709E-2</v>
      </c>
      <c r="I34" s="6">
        <f t="shared" si="7"/>
        <v>0.11327339095036798</v>
      </c>
      <c r="J34" s="6">
        <f>D34-D33</f>
        <v>0.27712955911074033</v>
      </c>
      <c r="K34" s="6">
        <f t="shared" si="8"/>
        <v>4.1446352533909603E-2</v>
      </c>
    </row>
    <row r="35" spans="1:11" x14ac:dyDescent="0.3">
      <c r="A35" s="268" t="s">
        <v>564</v>
      </c>
      <c r="B35" s="260">
        <f>QUARTILE(stableSSBR[NRE 
(%)],3)</f>
        <v>0.86312509985565655</v>
      </c>
      <c r="C35" s="260">
        <f>QUARTILE(stableMED[NRE 
(%)],3)</f>
        <v>0.79458200392890777</v>
      </c>
      <c r="D35" s="260">
        <f>QUARTILE(stableGSBR[NRE 
(%)],3)</f>
        <v>0.88505560607403322</v>
      </c>
      <c r="E35" s="260">
        <f>QUARTILE(stableLTP[NRE 
(%)],3)</f>
        <v>0.24488037505400123</v>
      </c>
      <c r="G35" s="248" t="s">
        <v>595</v>
      </c>
      <c r="H35" s="6">
        <f t="shared" si="7"/>
        <v>1.1433479657188106E-2</v>
      </c>
      <c r="I35" s="6">
        <f t="shared" si="7"/>
        <v>0.26799703438284506</v>
      </c>
      <c r="J35" s="6">
        <f>D35-D34</f>
        <v>2.8869167097968496E-2</v>
      </c>
      <c r="K35" s="6">
        <f t="shared" si="8"/>
        <v>6.9855565262403496E-2</v>
      </c>
    </row>
    <row r="36" spans="1:11" x14ac:dyDescent="0.3">
      <c r="A36" s="268" t="s">
        <v>565</v>
      </c>
      <c r="B36" s="260">
        <f>QUARTILE(stableSSBR[NRE 
(%)],4)</f>
        <v>0.90772829509671626</v>
      </c>
      <c r="C36" s="260">
        <f>QUARTILE(stableMED[NRE 
(%)],4)</f>
        <v>0.96376424933300997</v>
      </c>
      <c r="D36" s="260">
        <f>QUARTILE(stableGSBR[NRE 
(%)],4)</f>
        <v>0.93824800913667883</v>
      </c>
      <c r="E36" s="260">
        <f>QUARTILE(stableLTP[NRE 
(%)],4)</f>
        <v>0.86217409088433605</v>
      </c>
      <c r="G36" s="248" t="s">
        <v>596</v>
      </c>
      <c r="H36" s="6">
        <f t="shared" si="7"/>
        <v>4.4603195241059712E-2</v>
      </c>
      <c r="I36" s="6">
        <f t="shared" si="7"/>
        <v>0.16918224540410221</v>
      </c>
      <c r="J36" s="6">
        <f>D36-D35</f>
        <v>5.319240306264561E-2</v>
      </c>
      <c r="K36" s="6">
        <f t="shared" si="8"/>
        <v>0.61729371583033488</v>
      </c>
    </row>
    <row r="37" spans="1:11" x14ac:dyDescent="0.3">
      <c r="A37" s="367" t="s">
        <v>597</v>
      </c>
      <c r="B37" s="367"/>
      <c r="C37" s="367"/>
      <c r="D37" s="367"/>
      <c r="E37" s="367"/>
      <c r="G37" s="248" t="s">
        <v>168</v>
      </c>
      <c r="H37" s="260">
        <f>AVERAGE(stableSSBR[NRE 
(%)])</f>
        <v>0.8453314880335242</v>
      </c>
      <c r="I37" s="260">
        <f>AVERAGE(stableMED[NRE 
(%)])</f>
        <v>0.58639445918401156</v>
      </c>
      <c r="J37" s="260">
        <f>AVERAGE(stableGSBR[NRE 
(%)])</f>
        <v>0.69902490565868447</v>
      </c>
      <c r="K37" s="260">
        <f>AVERAGE(stableLTP[NRE 
(%)])</f>
        <v>0.21195029883788899</v>
      </c>
    </row>
    <row r="38" spans="1:11" x14ac:dyDescent="0.3">
      <c r="A38" s="268" t="s">
        <v>562</v>
      </c>
      <c r="B38" s="260">
        <f>QUARTILE(stableSSBR[NH4-N 
(mg L-1)],0)</f>
        <v>88.52</v>
      </c>
      <c r="C38" s="260">
        <f>QUARTILE(stableMED[NH4-N 
(mg L-1)],0)</f>
        <v>19.329999999999998</v>
      </c>
      <c r="D38" s="260">
        <f>QUARTILE(stableGSBR[NH4-N 
(mg L-1)],0)</f>
        <v>51.12</v>
      </c>
      <c r="E38" s="260">
        <f>QUARTILE(stableLTP[NH4-N 
(mg L-1)],0)</f>
        <v>15.11</v>
      </c>
      <c r="G38" s="248" t="s">
        <v>592</v>
      </c>
      <c r="H38" s="6">
        <f>B38</f>
        <v>88.52</v>
      </c>
      <c r="I38" s="6">
        <f>C38</f>
        <v>19.329999999999998</v>
      </c>
      <c r="J38" s="6">
        <f>D38</f>
        <v>51.12</v>
      </c>
      <c r="K38" s="6">
        <f t="shared" ref="K38" si="9">E38</f>
        <v>15.11</v>
      </c>
    </row>
    <row r="39" spans="1:11" x14ac:dyDescent="0.3">
      <c r="A39" s="268" t="s">
        <v>561</v>
      </c>
      <c r="B39" s="260">
        <f>QUARTILE(stableSSBR[NH4-N 
(mg L-1)],1)</f>
        <v>148.71499999999997</v>
      </c>
      <c r="C39" s="260">
        <f>QUARTILE(stableMED[NH4-N 
(mg L-1)],1)</f>
        <v>227.83500000000001</v>
      </c>
      <c r="D39" s="260">
        <f>QUARTILE(stableGSBR[NH4-N 
(mg L-1)],1)</f>
        <v>131.76749999999998</v>
      </c>
      <c r="E39" s="260">
        <f>QUARTILE(stableLTP[NH4-N 
(mg L-1)],1)</f>
        <v>66.365000000000009</v>
      </c>
      <c r="G39" s="248" t="s">
        <v>593</v>
      </c>
      <c r="H39" s="6">
        <f t="shared" ref="H39:I42" si="10">B39-B38</f>
        <v>60.194999999999979</v>
      </c>
      <c r="I39" s="6">
        <f t="shared" si="10"/>
        <v>208.505</v>
      </c>
      <c r="J39" s="6">
        <f>D39-D38</f>
        <v>80.64749999999998</v>
      </c>
      <c r="K39" s="6">
        <f t="shared" ref="K39:K42" si="11">E39-E38</f>
        <v>51.25500000000001</v>
      </c>
    </row>
    <row r="40" spans="1:11" x14ac:dyDescent="0.3">
      <c r="A40" s="268" t="s">
        <v>563</v>
      </c>
      <c r="B40" s="260">
        <f>QUARTILE(stableSSBR[NH4-N 
(mg L-1)],2)</f>
        <v>153.33499999999998</v>
      </c>
      <c r="C40" s="260">
        <f>QUARTILE(stableMED[NH4-N 
(mg L-1)],2)</f>
        <v>564.02</v>
      </c>
      <c r="D40" s="260">
        <f>QUARTILE(stableGSBR[NH4-N 
(mg L-1)],2)</f>
        <v>244.13500000000002</v>
      </c>
      <c r="E40" s="260">
        <f>QUARTILE(stableLTP[NH4-N 
(mg L-1)],2)</f>
        <v>109.66</v>
      </c>
      <c r="G40" s="248" t="s">
        <v>594</v>
      </c>
      <c r="H40" s="6">
        <f t="shared" si="10"/>
        <v>4.6200000000000045</v>
      </c>
      <c r="I40" s="6">
        <f t="shared" si="10"/>
        <v>336.18499999999995</v>
      </c>
      <c r="J40" s="6">
        <f>D40-D39</f>
        <v>112.36750000000004</v>
      </c>
      <c r="K40" s="6">
        <f t="shared" si="11"/>
        <v>43.294999999999987</v>
      </c>
    </row>
    <row r="41" spans="1:11" x14ac:dyDescent="0.3">
      <c r="A41" s="268" t="s">
        <v>564</v>
      </c>
      <c r="B41" s="260">
        <f>QUARTILE(stableSSBR[NH4-N 
(mg L-1)],3)</f>
        <v>162.98250000000002</v>
      </c>
      <c r="C41" s="260">
        <f>QUARTILE(stableMED[NH4-N 
(mg L-1)],3)</f>
        <v>760.24</v>
      </c>
      <c r="D41" s="260">
        <f>QUARTILE(stableGSBR[NH4-N 
(mg L-1)],3)</f>
        <v>458.21750000000003</v>
      </c>
      <c r="E41" s="260">
        <f>QUARTILE(stableLTP[NH4-N 
(mg L-1)],3)</f>
        <v>139.05000000000001</v>
      </c>
      <c r="G41" s="248" t="s">
        <v>595</v>
      </c>
      <c r="H41" s="6">
        <f t="shared" si="10"/>
        <v>9.6475000000000364</v>
      </c>
      <c r="I41" s="6">
        <f t="shared" si="10"/>
        <v>196.22000000000003</v>
      </c>
      <c r="J41" s="6">
        <f>D41-D40</f>
        <v>214.08250000000001</v>
      </c>
      <c r="K41" s="6">
        <f t="shared" si="11"/>
        <v>29.390000000000015</v>
      </c>
    </row>
    <row r="42" spans="1:11" x14ac:dyDescent="0.3">
      <c r="A42" s="268" t="s">
        <v>565</v>
      </c>
      <c r="B42" s="260">
        <f>QUARTILE(stableSSBR[NH4-N 
(mg L-1)],4)</f>
        <v>447.93</v>
      </c>
      <c r="C42" s="260">
        <f>QUARTILE(stableMED[NH4-N 
(mg L-1)],4)</f>
        <v>1063.8</v>
      </c>
      <c r="D42" s="260">
        <f>QUARTILE(stableGSBR[NH4-N 
(mg L-1)],4)</f>
        <v>1187</v>
      </c>
      <c r="E42" s="260">
        <f>QUARTILE(stableLTP[NH4-N 
(mg L-1)],4)</f>
        <v>374.74</v>
      </c>
      <c r="G42" s="248" t="s">
        <v>596</v>
      </c>
      <c r="H42" s="6">
        <f t="shared" si="10"/>
        <v>284.94749999999999</v>
      </c>
      <c r="I42" s="6">
        <f t="shared" si="10"/>
        <v>303.55999999999995</v>
      </c>
      <c r="J42" s="6">
        <f>D42-D41</f>
        <v>728.78250000000003</v>
      </c>
      <c r="K42" s="6">
        <f t="shared" si="11"/>
        <v>235.69</v>
      </c>
    </row>
    <row r="43" spans="1:11" s="29" customFormat="1" x14ac:dyDescent="0.3">
      <c r="A43" s="275"/>
      <c r="B43" s="194"/>
      <c r="C43" s="194"/>
      <c r="D43" s="194"/>
      <c r="E43" s="194"/>
      <c r="G43" s="248" t="s">
        <v>168</v>
      </c>
      <c r="H43" s="260">
        <f>AVERAGE(stableSSBR[NH4-N 
(mg L-1)])</f>
        <v>163.15227272727276</v>
      </c>
      <c r="I43" s="260">
        <f>AVERAGE(stableMED[NH4-N 
(mg L-1)])</f>
        <v>513.34196078431376</v>
      </c>
      <c r="J43" s="260">
        <f>AVERAGE(stableGSBR[NH4-N 
(mg L-1)])</f>
        <v>356.7936666666667</v>
      </c>
      <c r="K43" s="260">
        <f>AVERAGE(stableLTP[NH4-N 
(mg L-1)])</f>
        <v>113.17847457627117</v>
      </c>
    </row>
    <row r="44" spans="1:11" x14ac:dyDescent="0.3">
      <c r="A44" s="367" t="s">
        <v>26</v>
      </c>
      <c r="B44" s="367"/>
      <c r="C44" s="367"/>
      <c r="D44" s="367"/>
      <c r="E44" s="367"/>
      <c r="F44" s="29"/>
      <c r="G44" s="248" t="s">
        <v>610</v>
      </c>
      <c r="H44" s="29">
        <v>20</v>
      </c>
      <c r="I44" s="29">
        <v>20</v>
      </c>
      <c r="J44" s="29">
        <v>20</v>
      </c>
      <c r="K44" s="29">
        <v>20</v>
      </c>
    </row>
    <row r="45" spans="1:11" x14ac:dyDescent="0.3">
      <c r="A45" s="273" t="s">
        <v>562</v>
      </c>
      <c r="B45" s="260">
        <f>QUARTILE(stableSSBR[ARE 
(%)],0)</f>
        <v>0.47978026572516952</v>
      </c>
      <c r="C45" s="260">
        <f>QUARTILE(stableMED[ARE 
(%)],0)</f>
        <v>0.21345656192236603</v>
      </c>
      <c r="D45" s="260">
        <f>QUARTILE(stableGSBR[ARE 
(%)],0)</f>
        <v>9.7955771715175985E-2</v>
      </c>
      <c r="E45" s="260">
        <f>QUARTILE(stableLTP[ARE 
(%)],0)</f>
        <v>0.70698256314019869</v>
      </c>
      <c r="F45" s="29"/>
      <c r="G45" s="248" t="s">
        <v>592</v>
      </c>
      <c r="H45" s="6">
        <f>B45</f>
        <v>0.47978026572516952</v>
      </c>
      <c r="I45" s="6">
        <f>C45</f>
        <v>0.21345656192236603</v>
      </c>
      <c r="J45" s="6">
        <f>D45</f>
        <v>9.7955771715175985E-2</v>
      </c>
      <c r="K45" s="6">
        <f t="shared" ref="K45" si="12">E45</f>
        <v>0.70698256314019869</v>
      </c>
    </row>
    <row r="46" spans="1:11" x14ac:dyDescent="0.3">
      <c r="A46" s="273" t="s">
        <v>561</v>
      </c>
      <c r="B46" s="260">
        <f>QUARTILE(stableSSBR[ARE 
(%)],1)</f>
        <v>0.8737049901472359</v>
      </c>
      <c r="C46" s="260">
        <f>QUARTILE(stableMED[ARE 
(%)],1)</f>
        <v>0.42043969804366443</v>
      </c>
      <c r="D46" s="260">
        <f>QUARTILE(stableGSBR[ARE 
(%)],1)</f>
        <v>0.6198349940751462</v>
      </c>
      <c r="E46" s="260">
        <f>QUARTILE(stableLTP[ARE 
(%)],1)</f>
        <v>0.8899884875902091</v>
      </c>
      <c r="F46" s="29"/>
      <c r="G46" s="248" t="s">
        <v>593</v>
      </c>
      <c r="H46" s="6">
        <f t="shared" ref="H46:H49" si="13">B46-B45</f>
        <v>0.39392472442206639</v>
      </c>
      <c r="I46" s="6">
        <f t="shared" ref="I46:I49" si="14">C46-C45</f>
        <v>0.2069831361212984</v>
      </c>
      <c r="J46" s="6">
        <f>D46-D45</f>
        <v>0.5218792223599702</v>
      </c>
      <c r="K46" s="6">
        <f t="shared" ref="K46:K49" si="15">E46-E45</f>
        <v>0.1830059244500104</v>
      </c>
    </row>
    <row r="47" spans="1:11" x14ac:dyDescent="0.3">
      <c r="A47" s="273" t="s">
        <v>563</v>
      </c>
      <c r="B47" s="260">
        <f>QUARTILE(stableSSBR[ARE 
(%)],2)</f>
        <v>0.88188257146801163</v>
      </c>
      <c r="C47" s="260">
        <f>QUARTILE(stableMED[ARE 
(%)],2)</f>
        <v>0.56589941022280466</v>
      </c>
      <c r="D47" s="260">
        <f>QUARTILE(stableGSBR[ARE 
(%)],2)</f>
        <v>0.82925932033116689</v>
      </c>
      <c r="E47" s="260">
        <f>QUARTILE(stableLTP[ARE 
(%)],2)</f>
        <v>0.91052505010020035</v>
      </c>
      <c r="F47" s="29"/>
      <c r="G47" s="248" t="s">
        <v>594</v>
      </c>
      <c r="H47" s="6">
        <f t="shared" si="13"/>
        <v>8.1775813207757286E-3</v>
      </c>
      <c r="I47" s="6">
        <f t="shared" si="14"/>
        <v>0.14545971217914022</v>
      </c>
      <c r="J47" s="6">
        <f>D47-D46</f>
        <v>0.2094243262560207</v>
      </c>
      <c r="K47" s="6">
        <f t="shared" si="15"/>
        <v>2.0536562509991252E-2</v>
      </c>
    </row>
    <row r="48" spans="1:11" x14ac:dyDescent="0.3">
      <c r="A48" s="273" t="s">
        <v>564</v>
      </c>
      <c r="B48" s="260">
        <f>QUARTILE(stableSSBR[ARE 
(%)],3)</f>
        <v>0.89109916391778476</v>
      </c>
      <c r="C48" s="260">
        <f>QUARTILE(stableMED[ARE 
(%)],3)</f>
        <v>0.81943722427630084</v>
      </c>
      <c r="D48" s="260">
        <f>QUARTILE(stableGSBR[ARE 
(%)],3)</f>
        <v>0.89346531182395383</v>
      </c>
      <c r="E48" s="260">
        <f>QUARTILE(stableLTP[ARE 
(%)],3)</f>
        <v>0.94926668891858601</v>
      </c>
      <c r="F48" s="29"/>
      <c r="G48" s="248" t="s">
        <v>595</v>
      </c>
      <c r="H48" s="6">
        <f t="shared" si="13"/>
        <v>9.2165924497731311E-3</v>
      </c>
      <c r="I48" s="6">
        <f t="shared" si="14"/>
        <v>0.25353781405349618</v>
      </c>
      <c r="J48" s="6">
        <f>D48-D47</f>
        <v>6.420599149278694E-2</v>
      </c>
      <c r="K48" s="6">
        <f t="shared" si="15"/>
        <v>3.874163881838566E-2</v>
      </c>
    </row>
    <row r="49" spans="1:11" x14ac:dyDescent="0.3">
      <c r="A49" s="273" t="s">
        <v>565</v>
      </c>
      <c r="B49" s="260">
        <f>QUARTILE(stableSSBR[ARE 
(%)],4)</f>
        <v>0.91505613664715479</v>
      </c>
      <c r="C49" s="260">
        <f>QUARTILE(stableMED[ARE 
(%)],4)</f>
        <v>0.98561434844087226</v>
      </c>
      <c r="D49" s="260">
        <f>QUARTILE(stableGSBR[ARE 
(%)],4)</f>
        <v>0.95973534971644625</v>
      </c>
      <c r="E49" s="260">
        <f>QUARTILE(stableLTP[ARE 
(%)],4)</f>
        <v>0.98811265832743289</v>
      </c>
      <c r="F49" s="29"/>
      <c r="G49" s="248" t="s">
        <v>596</v>
      </c>
      <c r="H49" s="6">
        <f t="shared" si="13"/>
        <v>2.395697272937003E-2</v>
      </c>
      <c r="I49" s="6">
        <f t="shared" si="14"/>
        <v>0.16617712416457142</v>
      </c>
      <c r="J49" s="6">
        <f>D49-D48</f>
        <v>6.6270037892492417E-2</v>
      </c>
      <c r="K49" s="6">
        <f t="shared" si="15"/>
        <v>3.8845969408846881E-2</v>
      </c>
    </row>
    <row r="50" spans="1:11" x14ac:dyDescent="0.3">
      <c r="G50" s="248" t="s">
        <v>168</v>
      </c>
      <c r="H50" s="260">
        <f>AVERAGE(stableSSBR[ARE 
(%)])</f>
        <v>0.87266191228428058</v>
      </c>
      <c r="I50" s="260">
        <f>AVERAGE(stableMED[ARE 
(%)])</f>
        <v>0.60567773837361438</v>
      </c>
      <c r="J50" s="260">
        <f>AVERAGE(stableGSBR[ARE 
(%)])</f>
        <v>0.72885744960899101</v>
      </c>
      <c r="K50" s="260">
        <f>AVERAGE(stableLTP[ARE 
(%)])</f>
        <v>0.91235096667657256</v>
      </c>
    </row>
    <row r="51" spans="1:11" x14ac:dyDescent="0.3">
      <c r="A51" s="367" t="s">
        <v>50</v>
      </c>
      <c r="B51" s="367"/>
      <c r="C51" s="367"/>
      <c r="D51" s="367"/>
      <c r="E51" s="367"/>
      <c r="F51" s="29"/>
      <c r="G51" s="29"/>
      <c r="H51" s="29"/>
      <c r="I51" s="29"/>
      <c r="J51" s="29"/>
      <c r="K51" s="29"/>
    </row>
    <row r="52" spans="1:11" x14ac:dyDescent="0.3">
      <c r="A52" s="274" t="s">
        <v>562</v>
      </c>
      <c r="B52" s="260">
        <f>QUARTILE(stableSSBR[SAA 
(g N g VSS-1 d-1)],0)</f>
        <v>2.1000000000000001E-2</v>
      </c>
      <c r="C52" s="260">
        <f>QUARTILE(stableMED[SAAcarrier
(g N g VSS-1d-1)],0)</f>
        <v>0.10299999999999999</v>
      </c>
      <c r="D52" s="260">
        <f>QUARTILE(stableGSBR[SAA 
(g N  g VSS-1 d-1)],0)</f>
        <v>2.1000000000000001E-2</v>
      </c>
      <c r="E52" s="260"/>
      <c r="F52" s="29"/>
      <c r="G52" s="248" t="s">
        <v>592</v>
      </c>
      <c r="H52" s="6">
        <f>B52</f>
        <v>2.1000000000000001E-2</v>
      </c>
      <c r="I52" s="6">
        <f>C52</f>
        <v>0.10299999999999999</v>
      </c>
      <c r="J52" s="6">
        <f>D52</f>
        <v>2.1000000000000001E-2</v>
      </c>
      <c r="K52" s="6"/>
    </row>
    <row r="53" spans="1:11" x14ac:dyDescent="0.3">
      <c r="A53" s="274" t="s">
        <v>561</v>
      </c>
      <c r="B53" s="260">
        <f>QUARTILE(stableSSBR[SAA 
(g N g VSS-1 d-1)],1)</f>
        <v>3.2099999999999997E-2</v>
      </c>
      <c r="C53" s="260">
        <f>QUARTILE(stableMED[SAAcarrier
(g N g VSS-1d-1)],1)</f>
        <v>0.432</v>
      </c>
      <c r="D53" s="260">
        <f>QUARTILE(stableGSBR[SAA 
(g N  g VSS-1 d-1)],1)</f>
        <v>3.15E-2</v>
      </c>
      <c r="E53" s="260"/>
      <c r="F53" s="29"/>
      <c r="G53" s="248" t="s">
        <v>593</v>
      </c>
      <c r="H53" s="6">
        <f t="shared" ref="H53:H56" si="16">B53-B52</f>
        <v>1.1099999999999995E-2</v>
      </c>
      <c r="I53" s="6">
        <f t="shared" ref="I53:I56" si="17">C53-C52</f>
        <v>0.32900000000000001</v>
      </c>
      <c r="J53" s="6">
        <f>D53-D52</f>
        <v>1.0499999999999999E-2</v>
      </c>
      <c r="K53" s="6"/>
    </row>
    <row r="54" spans="1:11" x14ac:dyDescent="0.3">
      <c r="A54" s="274" t="s">
        <v>563</v>
      </c>
      <c r="B54" s="260">
        <f>QUARTILE(stableSSBR[SAA 
(g N g VSS-1 d-1)],2)</f>
        <v>4.5999999999999999E-2</v>
      </c>
      <c r="C54" s="260">
        <f>QUARTILE(stableMED[SAAcarrier
(g N g VSS-1d-1)],2)</f>
        <v>0.60499999999999998</v>
      </c>
      <c r="D54" s="260">
        <f>QUARTILE(stableGSBR[SAA 
(g N  g VSS-1 d-1)],2)</f>
        <v>4.2000000000000003E-2</v>
      </c>
      <c r="E54" s="260"/>
      <c r="F54" s="29"/>
      <c r="G54" s="248" t="s">
        <v>594</v>
      </c>
      <c r="H54" s="6">
        <f t="shared" si="16"/>
        <v>1.3900000000000003E-2</v>
      </c>
      <c r="I54" s="6">
        <f t="shared" si="17"/>
        <v>0.17299999999999999</v>
      </c>
      <c r="J54" s="6">
        <f>D54-D53</f>
        <v>1.0500000000000002E-2</v>
      </c>
      <c r="K54" s="6"/>
    </row>
    <row r="55" spans="1:11" x14ac:dyDescent="0.3">
      <c r="A55" s="274" t="s">
        <v>564</v>
      </c>
      <c r="B55" s="260">
        <f>QUARTILE(stableSSBR[SAA 
(g N g VSS-1 d-1)],3)</f>
        <v>5.2500000000000005E-2</v>
      </c>
      <c r="C55" s="260">
        <f>QUARTILE(stableMED[SAAcarrier
(g N g VSS-1d-1)],3)</f>
        <v>0.93899999999999995</v>
      </c>
      <c r="D55" s="260">
        <f>QUARTILE(stableGSBR[SAA 
(g N  g VSS-1 d-1)],3)</f>
        <v>5.9049999999999998E-2</v>
      </c>
      <c r="E55" s="260"/>
      <c r="F55" s="29"/>
      <c r="G55" s="248" t="s">
        <v>595</v>
      </c>
      <c r="H55" s="6">
        <f t="shared" si="16"/>
        <v>6.5000000000000058E-3</v>
      </c>
      <c r="I55" s="6">
        <f t="shared" si="17"/>
        <v>0.33399999999999996</v>
      </c>
      <c r="J55" s="6">
        <f>D55-D54</f>
        <v>1.7049999999999996E-2</v>
      </c>
      <c r="K55" s="6"/>
    </row>
    <row r="56" spans="1:11" x14ac:dyDescent="0.3">
      <c r="A56" s="274" t="s">
        <v>565</v>
      </c>
      <c r="B56" s="260">
        <f>QUARTILE(stableSSBR[SAA 
(g N g VSS-1 d-1)],4)</f>
        <v>6.8000000000000005E-2</v>
      </c>
      <c r="C56" s="260">
        <f>QUARTILE(stableMED[SAAcarrier
(g N g VSS-1d-1)],4)</f>
        <v>1.2609999999999999</v>
      </c>
      <c r="D56" s="260">
        <f>QUARTILE(stableGSBR[SAA 
(g N  g VSS-1 d-1)],4)</f>
        <v>8.8999999999999996E-2</v>
      </c>
      <c r="E56" s="260"/>
      <c r="F56" s="29"/>
      <c r="G56" s="248" t="s">
        <v>596</v>
      </c>
      <c r="H56" s="6">
        <f t="shared" si="16"/>
        <v>1.55E-2</v>
      </c>
      <c r="I56" s="6">
        <f t="shared" si="17"/>
        <v>0.32199999999999995</v>
      </c>
      <c r="J56" s="6">
        <f>D56-D55</f>
        <v>2.9949999999999997E-2</v>
      </c>
      <c r="K56" s="6"/>
    </row>
    <row r="57" spans="1:11" x14ac:dyDescent="0.3">
      <c r="A57" s="29"/>
      <c r="B57" s="29"/>
      <c r="C57" s="29"/>
      <c r="D57" s="29"/>
      <c r="E57" s="29"/>
      <c r="F57" s="29"/>
      <c r="G57" s="248" t="s">
        <v>168</v>
      </c>
      <c r="H57" s="260">
        <f>AVERAGE(stableSSBR[SAA 
(g N g VSS-1 d-1)])</f>
        <v>4.3457142857142861E-2</v>
      </c>
      <c r="I57" s="260">
        <f>AVERAGE(stableMED[SAAcarrier
(g N g VSS-1d-1)])</f>
        <v>0.65966666666666662</v>
      </c>
      <c r="J57" s="260">
        <f>AVERAGE(stableGSBR[SAA 
(g N  g VSS-1 d-1)])</f>
        <v>4.7585714285714294E-2</v>
      </c>
      <c r="K57" s="260"/>
    </row>
  </sheetData>
  <mergeCells count="10">
    <mergeCell ref="A51:E51"/>
    <mergeCell ref="A44:E44"/>
    <mergeCell ref="A31:E31"/>
    <mergeCell ref="A37:E37"/>
    <mergeCell ref="A20:E20"/>
    <mergeCell ref="A8:E8"/>
    <mergeCell ref="A11:E11"/>
    <mergeCell ref="A14:E14"/>
    <mergeCell ref="A17:E17"/>
    <mergeCell ref="A24:E2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60"/>
  <sheetViews>
    <sheetView topLeftCell="A33" workbookViewId="0">
      <selection activeCell="C2" sqref="C2:C60"/>
    </sheetView>
  </sheetViews>
  <sheetFormatPr defaultRowHeight="14.4" x14ac:dyDescent="0.3"/>
  <sheetData>
    <row r="1" spans="1:4" x14ac:dyDescent="0.3">
      <c r="A1" s="29" t="s">
        <v>48</v>
      </c>
      <c r="B1" s="29" t="s">
        <v>202</v>
      </c>
      <c r="C1" s="29" t="s">
        <v>46</v>
      </c>
      <c r="D1" s="29" t="s">
        <v>231</v>
      </c>
    </row>
    <row r="2" spans="1:4" x14ac:dyDescent="0.3">
      <c r="C2">
        <v>0.70698256314019869</v>
      </c>
    </row>
    <row r="3" spans="1:4" x14ac:dyDescent="0.3">
      <c r="C3">
        <v>0.74904417147970381</v>
      </c>
    </row>
    <row r="4" spans="1:4" x14ac:dyDescent="0.3">
      <c r="C4">
        <v>0.81642854610557669</v>
      </c>
    </row>
    <row r="5" spans="1:4" x14ac:dyDescent="0.3">
      <c r="C5">
        <v>0.84787570809730095</v>
      </c>
    </row>
    <row r="6" spans="1:4" x14ac:dyDescent="0.3">
      <c r="C6">
        <v>0.84965761511216054</v>
      </c>
    </row>
    <row r="7" spans="1:4" x14ac:dyDescent="0.3">
      <c r="C7">
        <v>0.85895557655954624</v>
      </c>
    </row>
    <row r="8" spans="1:4" x14ac:dyDescent="0.3">
      <c r="C8">
        <v>0.85942156705656148</v>
      </c>
    </row>
    <row r="9" spans="1:4" x14ac:dyDescent="0.3">
      <c r="C9">
        <v>0.86749256689791876</v>
      </c>
    </row>
    <row r="10" spans="1:4" x14ac:dyDescent="0.3">
      <c r="C10">
        <v>0.8678564240187856</v>
      </c>
    </row>
    <row r="11" spans="1:4" x14ac:dyDescent="0.3">
      <c r="C11">
        <v>0.87625692296626623</v>
      </c>
    </row>
    <row r="12" spans="1:4" x14ac:dyDescent="0.3">
      <c r="C12">
        <v>0.88102999181364883</v>
      </c>
    </row>
    <row r="13" spans="1:4" x14ac:dyDescent="0.3">
      <c r="C13">
        <v>0.88394506866416978</v>
      </c>
    </row>
    <row r="14" spans="1:4" x14ac:dyDescent="0.3">
      <c r="C14">
        <v>0.88613800627301242</v>
      </c>
    </row>
    <row r="15" spans="1:4" x14ac:dyDescent="0.3">
      <c r="C15">
        <v>0.88618009934305397</v>
      </c>
    </row>
    <row r="16" spans="1:4" x14ac:dyDescent="0.3">
      <c r="C16">
        <v>0.88967081085307687</v>
      </c>
    </row>
    <row r="17" spans="3:3" x14ac:dyDescent="0.3">
      <c r="C17">
        <v>0.89030616432734133</v>
      </c>
    </row>
    <row r="18" spans="3:3" x14ac:dyDescent="0.3">
      <c r="C18">
        <v>0.89481540930979131</v>
      </c>
    </row>
    <row r="19" spans="3:3" x14ac:dyDescent="0.3">
      <c r="C19">
        <v>0.89725663044304282</v>
      </c>
    </row>
    <row r="20" spans="3:3" x14ac:dyDescent="0.3">
      <c r="C20">
        <v>0.8984101399369917</v>
      </c>
    </row>
    <row r="21" spans="3:3" x14ac:dyDescent="0.3">
      <c r="C21">
        <v>0.89928768716383201</v>
      </c>
    </row>
    <row r="22" spans="3:3" x14ac:dyDescent="0.3">
      <c r="C22">
        <v>0.90035240940779904</v>
      </c>
    </row>
    <row r="23" spans="3:3" x14ac:dyDescent="0.3">
      <c r="C23">
        <v>0.9010892748324193</v>
      </c>
    </row>
    <row r="24" spans="3:3" x14ac:dyDescent="0.3">
      <c r="C24">
        <v>0.9045295896998371</v>
      </c>
    </row>
    <row r="25" spans="3:3" x14ac:dyDescent="0.3">
      <c r="C25">
        <v>0.90526358541142071</v>
      </c>
    </row>
    <row r="26" spans="3:3" x14ac:dyDescent="0.3">
      <c r="C26">
        <v>0.9072571933614848</v>
      </c>
    </row>
    <row r="27" spans="3:3" x14ac:dyDescent="0.3">
      <c r="C27">
        <v>0.90763197586726996</v>
      </c>
    </row>
    <row r="28" spans="3:3" x14ac:dyDescent="0.3">
      <c r="C28">
        <v>0.91004151530877009</v>
      </c>
    </row>
    <row r="29" spans="3:3" x14ac:dyDescent="0.3">
      <c r="C29">
        <v>0.91010778785066737</v>
      </c>
    </row>
    <row r="30" spans="3:3" x14ac:dyDescent="0.3">
      <c r="C30">
        <v>0.91023159636062867</v>
      </c>
    </row>
    <row r="31" spans="3:3" x14ac:dyDescent="0.3">
      <c r="C31">
        <v>0.91052505010020035</v>
      </c>
    </row>
    <row r="32" spans="3:3" x14ac:dyDescent="0.3">
      <c r="C32">
        <v>0.91474084256489041</v>
      </c>
    </row>
    <row r="33" spans="3:3" x14ac:dyDescent="0.3">
      <c r="C33">
        <v>0.91515522581574582</v>
      </c>
    </row>
    <row r="34" spans="3:3" x14ac:dyDescent="0.3">
      <c r="C34">
        <v>0.91813966966096783</v>
      </c>
    </row>
    <row r="35" spans="3:3" x14ac:dyDescent="0.3">
      <c r="C35">
        <v>0.91885452123723543</v>
      </c>
    </row>
    <row r="36" spans="3:3" x14ac:dyDescent="0.3">
      <c r="C36">
        <v>0.92231423290203329</v>
      </c>
    </row>
    <row r="37" spans="3:3" x14ac:dyDescent="0.3">
      <c r="C37">
        <v>0.92835820895522392</v>
      </c>
    </row>
    <row r="38" spans="3:3" x14ac:dyDescent="0.3">
      <c r="C38">
        <v>0.93383494757063956</v>
      </c>
    </row>
    <row r="39" spans="3:3" x14ac:dyDescent="0.3">
      <c r="C39">
        <v>0.93392712550607282</v>
      </c>
    </row>
    <row r="40" spans="3:3" x14ac:dyDescent="0.3">
      <c r="C40">
        <v>0.93401712038250939</v>
      </c>
    </row>
    <row r="41" spans="3:3" x14ac:dyDescent="0.3">
      <c r="C41">
        <v>0.93464840024278162</v>
      </c>
    </row>
    <row r="42" spans="3:3" x14ac:dyDescent="0.3">
      <c r="C42">
        <v>0.93607251181491147</v>
      </c>
    </row>
    <row r="43" spans="3:3" x14ac:dyDescent="0.3">
      <c r="C43">
        <v>0.93734635991175541</v>
      </c>
    </row>
    <row r="44" spans="3:3" x14ac:dyDescent="0.3">
      <c r="C44">
        <v>0.93814901841885845</v>
      </c>
    </row>
    <row r="45" spans="3:3" x14ac:dyDescent="0.3">
      <c r="C45">
        <v>0.94856052435078408</v>
      </c>
    </row>
    <row r="46" spans="3:3" x14ac:dyDescent="0.3">
      <c r="C46">
        <v>0.94997285348638794</v>
      </c>
    </row>
    <row r="47" spans="3:3" x14ac:dyDescent="0.3">
      <c r="C47">
        <v>0.95008029364533153</v>
      </c>
    </row>
    <row r="48" spans="3:3" x14ac:dyDescent="0.3">
      <c r="C48">
        <v>0.95507526308778479</v>
      </c>
    </row>
    <row r="49" spans="3:3" x14ac:dyDescent="0.3">
      <c r="C49">
        <v>0.95554889022195555</v>
      </c>
    </row>
    <row r="50" spans="3:3" x14ac:dyDescent="0.3">
      <c r="C50">
        <v>0.95953637090327737</v>
      </c>
    </row>
    <row r="51" spans="3:3" x14ac:dyDescent="0.3">
      <c r="C51">
        <v>0.96645642201834858</v>
      </c>
    </row>
    <row r="52" spans="3:3" x14ac:dyDescent="0.3">
      <c r="C52">
        <v>0.97056379821958461</v>
      </c>
    </row>
    <row r="53" spans="3:3" x14ac:dyDescent="0.3">
      <c r="C53">
        <v>0.9738688098113909</v>
      </c>
    </row>
    <row r="54" spans="3:3" x14ac:dyDescent="0.3">
      <c r="C54">
        <v>0.97483926686498412</v>
      </c>
    </row>
    <row r="55" spans="3:3" x14ac:dyDescent="0.3">
      <c r="C55">
        <v>0.97523670166982268</v>
      </c>
    </row>
    <row r="56" spans="3:3" x14ac:dyDescent="0.3">
      <c r="C56">
        <v>0.97673687786648544</v>
      </c>
    </row>
    <row r="57" spans="3:3" x14ac:dyDescent="0.3">
      <c r="C57">
        <v>0.97951605174892187</v>
      </c>
    </row>
    <row r="58" spans="3:3" x14ac:dyDescent="0.3">
      <c r="C58">
        <v>0.98222677036430617</v>
      </c>
    </row>
    <row r="59" spans="3:3" x14ac:dyDescent="0.3">
      <c r="C59">
        <v>0.98277564858490563</v>
      </c>
    </row>
    <row r="60" spans="3:3" x14ac:dyDescent="0.3">
      <c r="C60">
        <v>0.98811265832743289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9AB18-E5EB-4705-8E40-65ADD384402C}">
  <dimension ref="K3:L4"/>
  <sheetViews>
    <sheetView topLeftCell="B1" workbookViewId="0">
      <selection activeCell="R17" sqref="R17"/>
    </sheetView>
  </sheetViews>
  <sheetFormatPr defaultRowHeight="14.4" x14ac:dyDescent="0.3"/>
  <sheetData>
    <row r="3" spans="11:12" x14ac:dyDescent="0.3">
      <c r="K3">
        <v>0</v>
      </c>
      <c r="L3">
        <v>3</v>
      </c>
    </row>
    <row r="4" spans="11:12" x14ac:dyDescent="0.3">
      <c r="K4">
        <v>0</v>
      </c>
      <c r="L4">
        <v>3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7030A0"/>
  </sheetPr>
  <dimension ref="A1:AQ300"/>
  <sheetViews>
    <sheetView topLeftCell="G1" zoomScaleNormal="100" workbookViewId="0">
      <pane ySplit="2" topLeftCell="A104" activePane="bottomLeft" state="frozen"/>
      <selection pane="bottomLeft" activeCell="U220" sqref="U220"/>
    </sheetView>
  </sheetViews>
  <sheetFormatPr defaultRowHeight="14.4" x14ac:dyDescent="0.3"/>
  <cols>
    <col min="1" max="1" width="8.88671875" style="232"/>
    <col min="2" max="2" width="2.77734375" style="29" customWidth="1"/>
    <col min="4" max="7" width="9.5546875" bestFit="1" customWidth="1"/>
    <col min="8" max="8" width="44.21875" bestFit="1" customWidth="1"/>
    <col min="28" max="28" width="2.77734375" customWidth="1"/>
    <col min="29" max="29" width="8.88671875" style="232"/>
    <col min="30" max="30" width="2.77734375" customWidth="1"/>
    <col min="39" max="39" width="2.77734375" customWidth="1"/>
    <col min="40" max="40" width="8.88671875" style="232"/>
    <col min="41" max="41" width="2.77734375" customWidth="1"/>
  </cols>
  <sheetData>
    <row r="1" spans="1:42" s="234" customFormat="1" ht="21" x14ac:dyDescent="0.4">
      <c r="C1" s="368" t="s">
        <v>440</v>
      </c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</row>
    <row r="2" spans="1:42" s="29" customFormat="1" ht="21" x14ac:dyDescent="0.4">
      <c r="A2" s="232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C2" s="232"/>
      <c r="AE2" s="297" t="s">
        <v>579</v>
      </c>
      <c r="AF2" s="297"/>
      <c r="AG2" s="297"/>
      <c r="AH2" s="297"/>
      <c r="AI2" s="297"/>
      <c r="AJ2" s="297"/>
      <c r="AK2" s="297"/>
      <c r="AL2" s="297"/>
      <c r="AN2" s="232"/>
      <c r="AP2" s="29" t="s">
        <v>580</v>
      </c>
    </row>
    <row r="3" spans="1:42" x14ac:dyDescent="0.3">
      <c r="C3" s="295" t="s">
        <v>441</v>
      </c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E3" s="295" t="s">
        <v>566</v>
      </c>
      <c r="AF3" s="295"/>
      <c r="AG3" s="295"/>
      <c r="AH3" s="295"/>
      <c r="AI3" s="295"/>
      <c r="AJ3" s="295"/>
      <c r="AK3" s="295"/>
      <c r="AL3" s="295"/>
    </row>
    <row r="4" spans="1:42" ht="15" thickBot="1" x14ac:dyDescent="0.35">
      <c r="C4" t="s">
        <v>48</v>
      </c>
      <c r="D4" t="s">
        <v>202</v>
      </c>
      <c r="E4" t="s">
        <v>46</v>
      </c>
      <c r="F4" t="s">
        <v>600</v>
      </c>
      <c r="H4" t="s">
        <v>286</v>
      </c>
      <c r="R4" t="s">
        <v>446</v>
      </c>
      <c r="U4" t="s">
        <v>447</v>
      </c>
      <c r="V4">
        <v>0.05</v>
      </c>
      <c r="AE4" t="s">
        <v>48</v>
      </c>
      <c r="AF4" t="s">
        <v>46</v>
      </c>
      <c r="AH4" t="s">
        <v>492</v>
      </c>
    </row>
    <row r="5" spans="1:42" ht="15" thickTop="1" x14ac:dyDescent="0.3">
      <c r="C5" s="6">
        <v>0.26867765836375629</v>
      </c>
      <c r="D5" s="6">
        <v>9.0698168517875738E-2</v>
      </c>
      <c r="E5" s="6">
        <v>2.0565350000000003E-2</v>
      </c>
      <c r="F5" s="6">
        <v>1.8522450378306233E-2</v>
      </c>
      <c r="G5" s="6"/>
      <c r="R5" s="191" t="s">
        <v>448</v>
      </c>
      <c r="S5" s="191" t="s">
        <v>312</v>
      </c>
      <c r="T5" s="191" t="s">
        <v>449</v>
      </c>
      <c r="U5" s="191" t="s">
        <v>450</v>
      </c>
      <c r="V5" s="191" t="s">
        <v>205</v>
      </c>
      <c r="W5" s="191" t="s">
        <v>451</v>
      </c>
      <c r="AE5">
        <v>4.218750000000002E-3</v>
      </c>
      <c r="AF5">
        <v>1.4311970833709965E-4</v>
      </c>
    </row>
    <row r="6" spans="1:42" ht="15" thickBot="1" x14ac:dyDescent="0.35">
      <c r="C6" s="6">
        <v>0.26900168067226887</v>
      </c>
      <c r="D6" s="6">
        <v>9.0804119819262757E-2</v>
      </c>
      <c r="E6" s="6">
        <v>0.33614175000000002</v>
      </c>
      <c r="F6" s="6">
        <v>4.9112333053774507E-2</v>
      </c>
      <c r="G6" s="6"/>
      <c r="H6" t="s">
        <v>287</v>
      </c>
      <c r="M6" t="s">
        <v>288</v>
      </c>
      <c r="N6">
        <v>0.05</v>
      </c>
      <c r="R6" t="str">
        <f>C4</f>
        <v>G-SBR</v>
      </c>
      <c r="S6">
        <f>AVERAGE(C5:C63)</f>
        <v>0.72054379721969974</v>
      </c>
      <c r="T6">
        <f>COUNT(C5:C63)</f>
        <v>30</v>
      </c>
      <c r="U6">
        <f>DEVSQ(C5:C63)</f>
        <v>6.1622613272693973</v>
      </c>
      <c r="AE6">
        <v>4.5111821086261982E-3</v>
      </c>
      <c r="AF6">
        <v>1.5686533523773355E-4</v>
      </c>
      <c r="AI6" t="str">
        <f>AE4</f>
        <v>G-SBR</v>
      </c>
      <c r="AJ6" t="str">
        <f>AF4</f>
        <v>S-SBR</v>
      </c>
    </row>
    <row r="7" spans="1:42" ht="15" thickTop="1" x14ac:dyDescent="0.3">
      <c r="C7" s="6">
        <v>0.27277646300071601</v>
      </c>
      <c r="D7" s="6">
        <v>9.1399141956799407E-2</v>
      </c>
      <c r="E7" s="6">
        <v>0.36114867500000003</v>
      </c>
      <c r="F7" s="6">
        <v>6.2052328815301781E-2</v>
      </c>
      <c r="G7" s="22"/>
      <c r="H7" s="191" t="s">
        <v>289</v>
      </c>
      <c r="I7" s="191" t="s">
        <v>290</v>
      </c>
      <c r="J7" s="191" t="s">
        <v>291</v>
      </c>
      <c r="K7" s="191" t="s">
        <v>292</v>
      </c>
      <c r="L7" s="191" t="s">
        <v>293</v>
      </c>
      <c r="M7" s="191" t="s">
        <v>294</v>
      </c>
      <c r="N7" s="191" t="s">
        <v>295</v>
      </c>
      <c r="O7" s="191" t="s">
        <v>296</v>
      </c>
      <c r="P7" s="191" t="s">
        <v>297</v>
      </c>
      <c r="R7" t="str">
        <f>D4</f>
        <v>MEDIA</v>
      </c>
      <c r="S7" s="6">
        <f>AVERAGE(D5:D63)</f>
        <v>0.45120493851789895</v>
      </c>
      <c r="T7">
        <f>COUNT(D5:D63)</f>
        <v>40</v>
      </c>
      <c r="U7">
        <f>DEVSQ(D5:D63)</f>
        <v>6.5072063566279343</v>
      </c>
      <c r="AE7">
        <v>1.0351108246700481E-2</v>
      </c>
      <c r="AF7">
        <v>1.6018075133202939E-4</v>
      </c>
      <c r="AH7" t="s">
        <v>493</v>
      </c>
      <c r="AI7" s="239">
        <f>COUNT(AE5:AE48)</f>
        <v>12</v>
      </c>
      <c r="AJ7" s="240">
        <f>COUNT(AF5:AF48)</f>
        <v>44</v>
      </c>
    </row>
    <row r="8" spans="1:42" x14ac:dyDescent="0.3">
      <c r="C8" s="6">
        <v>0.28374770660904308</v>
      </c>
      <c r="D8" s="6">
        <v>0.14420759999999999</v>
      </c>
      <c r="E8" s="6">
        <v>0.39668750000000003</v>
      </c>
      <c r="F8" s="6">
        <v>7.6254914373833291E-2</v>
      </c>
      <c r="G8" s="6"/>
      <c r="H8" t="str">
        <f>C4</f>
        <v>G-SBR</v>
      </c>
      <c r="I8">
        <f>COUNT(C5:C63)</f>
        <v>30</v>
      </c>
      <c r="J8">
        <f>SUM(C5:C63)</f>
        <v>21.616313916590993</v>
      </c>
      <c r="K8">
        <f>AVERAGE(C5:C63)</f>
        <v>0.72054379721969974</v>
      </c>
      <c r="L8">
        <f>_xlfn.VAR.S(C5:C63)</f>
        <v>0.21249176990584095</v>
      </c>
      <c r="M8">
        <f>DEVSQ(C5:C63)</f>
        <v>6.1622613272693973</v>
      </c>
      <c r="N8">
        <f>SQRT(K16/I8)</f>
        <v>5.7382818867086439E-2</v>
      </c>
      <c r="O8">
        <f>K8-N8*_xlfn.T.INV.2T(N6,J16)</f>
        <v>0.60726434882116975</v>
      </c>
      <c r="P8">
        <f>K8+N8*_xlfn.T.INV.2T(N6,J16)</f>
        <v>0.83382324561822974</v>
      </c>
      <c r="R8" t="str">
        <f>E4</f>
        <v>S-SBR</v>
      </c>
      <c r="S8" s="6">
        <f>AVERAGE(E5:E63)</f>
        <v>0.68310635935568176</v>
      </c>
      <c r="T8">
        <f>COUNT(E5:E63)</f>
        <v>44</v>
      </c>
      <c r="U8">
        <f>DEVSQ(E5:E63)</f>
        <v>3.0608877571760806</v>
      </c>
      <c r="AE8">
        <v>1.189620855381329E-2</v>
      </c>
      <c r="AF8">
        <v>1.6401084197986983E-4</v>
      </c>
      <c r="AH8" t="s">
        <v>494</v>
      </c>
      <c r="AI8" s="288">
        <f>MEDIAN(AE5:AE48)</f>
        <v>2.1237373546412062E-2</v>
      </c>
      <c r="AJ8" s="289">
        <f>MEDIAN(AF5:AF48)</f>
        <v>9.0456131473775694E-3</v>
      </c>
    </row>
    <row r="9" spans="1:42" x14ac:dyDescent="0.3">
      <c r="C9" s="6">
        <v>0.30300943539162611</v>
      </c>
      <c r="D9" s="6">
        <v>0.15881957545543424</v>
      </c>
      <c r="E9" s="6">
        <v>0.40822592000000002</v>
      </c>
      <c r="F9" s="6">
        <v>0.13155198739279819</v>
      </c>
      <c r="G9" s="6"/>
      <c r="H9" t="str">
        <f>D4</f>
        <v>MEDIA</v>
      </c>
      <c r="I9">
        <f>COUNT(D5:D63)</f>
        <v>40</v>
      </c>
      <c r="J9" s="6">
        <f>SUM(D5:D63)</f>
        <v>18.048197540715957</v>
      </c>
      <c r="K9" s="6">
        <f>AVERAGE(D5:D63)</f>
        <v>0.45120493851789895</v>
      </c>
      <c r="L9">
        <f>_xlfn.VAR.S(D5:D63)</f>
        <v>0.1668514450417419</v>
      </c>
      <c r="M9">
        <f>DEVSQ(D5:D63)</f>
        <v>6.5072063566279343</v>
      </c>
      <c r="N9">
        <f>SQRT(K16/I9)</f>
        <v>4.969497887965784E-2</v>
      </c>
      <c r="O9">
        <f>K9-N9*_xlfn.T.INV.2T(N6,J16)</f>
        <v>0.35310205847808357</v>
      </c>
      <c r="P9">
        <f>K9+N9*_xlfn.T.INV.2T(N6,J16)</f>
        <v>0.54930781855771438</v>
      </c>
      <c r="R9" t="str">
        <f>F4</f>
        <v>N-SBR</v>
      </c>
      <c r="S9" s="6">
        <f>AVERAGE(F5:F63)</f>
        <v>0.29173725784342902</v>
      </c>
      <c r="T9">
        <f>COUNT(F5:F63)</f>
        <v>59</v>
      </c>
      <c r="U9">
        <f>DEVSQ(F5:F63)</f>
        <v>0.96407921767014393</v>
      </c>
      <c r="AE9">
        <v>1.7146238267382107E-2</v>
      </c>
      <c r="AF9">
        <v>4.6476725327394646E-4</v>
      </c>
      <c r="AH9" t="s">
        <v>495</v>
      </c>
      <c r="AI9" s="241">
        <f>[2]!RANK_SUM(AE5:AE48,AF5:AF48,1)</f>
        <v>483</v>
      </c>
      <c r="AJ9" s="242">
        <f>[2]!RANK_SUM(AF5:AF48,AE5:AE48,1)</f>
        <v>1113</v>
      </c>
    </row>
    <row r="10" spans="1:42" x14ac:dyDescent="0.3">
      <c r="C10" s="6">
        <v>0.33753313858585543</v>
      </c>
      <c r="D10" s="6">
        <v>0.16161083776879834</v>
      </c>
      <c r="E10" s="6">
        <v>0.41836154289999988</v>
      </c>
      <c r="F10" s="6">
        <v>0.14741391391391395</v>
      </c>
      <c r="G10" s="6"/>
      <c r="H10" t="str">
        <f>E4</f>
        <v>S-SBR</v>
      </c>
      <c r="I10">
        <f>COUNT(E5:E63)</f>
        <v>44</v>
      </c>
      <c r="J10" s="6">
        <f>SUM(E5:E63)</f>
        <v>30.056679811649996</v>
      </c>
      <c r="K10" s="6">
        <f>AVERAGE(E5:E63)</f>
        <v>0.68310635935568176</v>
      </c>
      <c r="L10">
        <f>_xlfn.VAR.S(E5:E63)</f>
        <v>7.1183436213397441E-2</v>
      </c>
      <c r="M10">
        <f>DEVSQ(E5:E63)</f>
        <v>3.0608877571760806</v>
      </c>
      <c r="N10">
        <f>SQRT(K16/I10)</f>
        <v>4.738230323510359E-2</v>
      </c>
      <c r="O10">
        <f>K10-N10*_xlfn.T.INV.2T(N6,J16)</f>
        <v>0.58956893334046967</v>
      </c>
      <c r="P10">
        <f>K10+N10*_xlfn.T.INV.2T(N6,J16)</f>
        <v>0.77664378537089385</v>
      </c>
      <c r="R10" s="8"/>
      <c r="S10" s="8"/>
      <c r="T10" s="8">
        <f>SUM(T6:T9)</f>
        <v>173</v>
      </c>
      <c r="U10" s="8">
        <f>SUM(U6:U9)</f>
        <v>16.694434658743557</v>
      </c>
      <c r="V10" s="8">
        <f>T10-COUNT(T6:T9)</f>
        <v>169</v>
      </c>
      <c r="W10" s="8">
        <f>[3]!QCRIT(COUNT(T6:T9),V10,V4,2)</f>
        <v>3.6699230769230766</v>
      </c>
      <c r="AE10">
        <v>1.9235440877158425E-2</v>
      </c>
      <c r="AF10">
        <v>6.460926987069235E-4</v>
      </c>
      <c r="AH10" t="s">
        <v>496</v>
      </c>
      <c r="AI10" s="243">
        <f>AI7*AJ7+AI7*(AI7+1)/2-AI9</f>
        <v>123</v>
      </c>
      <c r="AJ10" s="244">
        <f>AI7*AJ7+AJ7*(AJ7+1)/2-AJ9</f>
        <v>405</v>
      </c>
    </row>
    <row r="11" spans="1:42" ht="15" thickBot="1" x14ac:dyDescent="0.35">
      <c r="C11" s="6">
        <v>0.33789778206364507</v>
      </c>
      <c r="D11" s="6">
        <v>0.17877678769959887</v>
      </c>
      <c r="E11" s="6">
        <v>0.41996800000000006</v>
      </c>
      <c r="F11" s="6">
        <v>0.16611333856378907</v>
      </c>
      <c r="G11" s="6"/>
      <c r="H11" t="str">
        <f>F4</f>
        <v>N-SBR</v>
      </c>
      <c r="I11">
        <f>COUNT(F5:F63)</f>
        <v>59</v>
      </c>
      <c r="J11" s="6">
        <f>SUM(F5:F63)</f>
        <v>17.212498212762313</v>
      </c>
      <c r="K11" s="6">
        <f>AVERAGE(F5:F63)</f>
        <v>0.29173725784342902</v>
      </c>
      <c r="L11">
        <f>_xlfn.VAR.S(F5:F63)</f>
        <v>1.6622055477071435E-2</v>
      </c>
      <c r="M11">
        <f>DEVSQ(F5:F63)</f>
        <v>0.96407921767014393</v>
      </c>
      <c r="N11">
        <f>SQRT(K16/I11)</f>
        <v>4.0918198063690632E-2</v>
      </c>
      <c r="O11">
        <f>K11-N11*_xlfn.T.INV.2T(N6,J16)</f>
        <v>0.21096062473913729</v>
      </c>
      <c r="P11">
        <f>K11+N11*_xlfn.T.INV.2T(N6,J16)</f>
        <v>0.37251389094772075</v>
      </c>
      <c r="R11" t="s">
        <v>452</v>
      </c>
      <c r="AE11">
        <v>2.3239306215665698E-2</v>
      </c>
      <c r="AF11">
        <v>1.574570100926392E-3</v>
      </c>
    </row>
    <row r="12" spans="1:42" ht="15" thickTop="1" x14ac:dyDescent="0.3">
      <c r="C12" s="6">
        <v>0.34579657162595889</v>
      </c>
      <c r="D12" s="6">
        <v>0.19269540201682486</v>
      </c>
      <c r="E12" s="6">
        <v>0.42978800499999997</v>
      </c>
      <c r="F12" s="6">
        <v>0.1663564826087349</v>
      </c>
      <c r="H12" s="8"/>
      <c r="I12" s="8"/>
      <c r="J12" s="8"/>
      <c r="K12" s="8"/>
      <c r="L12" s="8"/>
      <c r="M12" s="8"/>
      <c r="N12" s="8"/>
      <c r="O12" s="8"/>
      <c r="P12" s="8"/>
      <c r="R12" s="191" t="s">
        <v>309</v>
      </c>
      <c r="S12" s="191" t="s">
        <v>310</v>
      </c>
      <c r="T12" s="191" t="s">
        <v>312</v>
      </c>
      <c r="U12" s="191" t="s">
        <v>401</v>
      </c>
      <c r="V12" s="191" t="s">
        <v>453</v>
      </c>
      <c r="W12" s="191" t="s">
        <v>404</v>
      </c>
      <c r="X12" s="191" t="s">
        <v>405</v>
      </c>
      <c r="Y12" s="191" t="s">
        <v>311</v>
      </c>
      <c r="Z12" s="191" t="s">
        <v>454</v>
      </c>
      <c r="AA12" s="191" t="s">
        <v>397</v>
      </c>
      <c r="AE12">
        <v>2.3511134127395132E-2</v>
      </c>
      <c r="AF12">
        <v>1.6392648497824971E-3</v>
      </c>
      <c r="AI12" s="287" t="s">
        <v>497</v>
      </c>
      <c r="AJ12" s="287" t="s">
        <v>498</v>
      </c>
    </row>
    <row r="13" spans="1:42" ht="15" thickBot="1" x14ac:dyDescent="0.35">
      <c r="C13" s="6">
        <v>0.35850008675898359</v>
      </c>
      <c r="D13" s="6">
        <v>0.19439688200300503</v>
      </c>
      <c r="E13" s="6">
        <v>0.45881631509999998</v>
      </c>
      <c r="F13" s="6">
        <v>0.16817682547412277</v>
      </c>
      <c r="H13" t="s">
        <v>298</v>
      </c>
      <c r="R13" s="8" t="str">
        <f>R6</f>
        <v>G-SBR</v>
      </c>
      <c r="S13" s="8" t="str">
        <f>R7</f>
        <v>MEDIA</v>
      </c>
      <c r="T13" s="8">
        <f>ABS(S6-S7)</f>
        <v>0.2693388587018008</v>
      </c>
      <c r="U13" s="8">
        <f>SQRT(U10/V10/HARMEAN(T6,T7))</f>
        <v>5.3676712021986268E-2</v>
      </c>
      <c r="V13" s="8">
        <f>T13/U13</f>
        <v>5.0177972635782568</v>
      </c>
      <c r="W13" s="8">
        <f>T13-U13*W$10</f>
        <v>7.2349454558959053E-2</v>
      </c>
      <c r="X13" s="8">
        <f>T13+U13*W$10</f>
        <v>0.46632826284464257</v>
      </c>
      <c r="Y13" s="8">
        <f>[3]!QDIST(V13,COUNT($T$6:$T$9),V$10)</f>
        <v>2.8033712358632723E-3</v>
      </c>
      <c r="Z13" s="8">
        <f>U13*W$10</f>
        <v>0.19698940414284175</v>
      </c>
      <c r="AA13" s="8">
        <f>T13*SQRT(V$10/U$10)</f>
        <v>0.85695202522421987</v>
      </c>
      <c r="AE13">
        <v>2.5448008163810286E-2</v>
      </c>
      <c r="AF13">
        <v>2.1897281550272785E-3</v>
      </c>
      <c r="AH13" t="s">
        <v>496</v>
      </c>
      <c r="AI13" s="245">
        <f>MIN(AI10,AJ10)</f>
        <v>123</v>
      </c>
    </row>
    <row r="14" spans="1:42" ht="15" thickTop="1" x14ac:dyDescent="0.3">
      <c r="C14" s="6">
        <v>0.37073185689566862</v>
      </c>
      <c r="D14" s="6">
        <v>0.21311989872705556</v>
      </c>
      <c r="E14" s="6">
        <v>0.46863995000000008</v>
      </c>
      <c r="F14" s="6">
        <v>0.17978647566485406</v>
      </c>
      <c r="H14" s="191" t="s">
        <v>299</v>
      </c>
      <c r="I14" s="191" t="s">
        <v>294</v>
      </c>
      <c r="J14" s="191" t="s">
        <v>205</v>
      </c>
      <c r="K14" s="191" t="s">
        <v>300</v>
      </c>
      <c r="L14" s="191" t="s">
        <v>91</v>
      </c>
      <c r="M14" s="191" t="s">
        <v>301</v>
      </c>
      <c r="N14" s="191" t="s">
        <v>302</v>
      </c>
      <c r="O14" s="191" t="s">
        <v>303</v>
      </c>
      <c r="P14" s="191" t="s">
        <v>304</v>
      </c>
      <c r="R14" s="136" t="str">
        <f>R6</f>
        <v>G-SBR</v>
      </c>
      <c r="S14" s="136" t="str">
        <f>R8</f>
        <v>S-SBR</v>
      </c>
      <c r="T14" s="136">
        <f>ABS(S6-S8)</f>
        <v>3.7437437864017986E-2</v>
      </c>
      <c r="U14" s="136">
        <f>SQRT(U10/V10/HARMEAN(T6,T8))</f>
        <v>5.2620673508594312E-2</v>
      </c>
      <c r="V14" s="284">
        <f t="shared" ref="V14:V18" si="0">T14/U14</f>
        <v>0.71145873604037946</v>
      </c>
      <c r="W14" s="284">
        <f t="shared" ref="W14:W18" si="1">T14-U14*W$10</f>
        <v>-0.15567638616840707</v>
      </c>
      <c r="X14" s="284">
        <f t="shared" ref="X14:X18" si="2">T14+U14*W$10</f>
        <v>0.23055126189644304</v>
      </c>
      <c r="Y14" s="284">
        <f>[3]!QDIST(V14,COUNT($T$6:$T$9),V$10)</f>
        <v>0.95825134040221804</v>
      </c>
      <c r="Z14" s="284">
        <f t="shared" ref="Z14:Z18" si="3">U14*W$10</f>
        <v>0.19311382403242505</v>
      </c>
      <c r="AA14" s="284">
        <f t="shared" ref="AA14:AA18" si="4">T14*SQRT(V$10/U$10)</f>
        <v>0.11911422047085998</v>
      </c>
      <c r="AE14">
        <v>2.5639988880746003E-2</v>
      </c>
      <c r="AF14">
        <v>2.3175772525750858E-3</v>
      </c>
      <c r="AH14" t="s">
        <v>312</v>
      </c>
      <c r="AI14" s="246">
        <f>AI7*AJ7/2</f>
        <v>264</v>
      </c>
    </row>
    <row r="15" spans="1:42" x14ac:dyDescent="0.3">
      <c r="C15" s="6">
        <v>0.41107839279961195</v>
      </c>
      <c r="D15" s="6">
        <v>0.21671745251886995</v>
      </c>
      <c r="E15" s="6">
        <v>0.47640547500000002</v>
      </c>
      <c r="F15" s="6">
        <v>0.19454068933798663</v>
      </c>
      <c r="H15" t="s">
        <v>305</v>
      </c>
      <c r="I15">
        <f>I17-I16</f>
        <v>5.5875962354467177</v>
      </c>
      <c r="J15">
        <f>COUNTA(H8:H11)-1</f>
        <v>3</v>
      </c>
      <c r="K15">
        <f>I15/J15</f>
        <v>1.8625320784822392</v>
      </c>
      <c r="L15">
        <f>K15/K16</f>
        <v>18.854661909658716</v>
      </c>
      <c r="M15">
        <f>_xlfn.F.DIST.RT(L15,J15,J16)</f>
        <v>1.3488697440549956E-10</v>
      </c>
      <c r="N15">
        <f>_xlfn.F.INV.RT(N6,J15,J16)</f>
        <v>2.658078578775771</v>
      </c>
      <c r="O15">
        <f>SQRT(DEVSQ(K8:K11)/(K16*J15))</f>
        <v>0.64306170091378001</v>
      </c>
      <c r="P15">
        <f>(I17-J17*K16)/(I17+K16)</f>
        <v>0.23641880044011618</v>
      </c>
      <c r="R15" s="12" t="str">
        <f>R6</f>
        <v>G-SBR</v>
      </c>
      <c r="S15" s="12" t="str">
        <f>R9</f>
        <v>N-SBR</v>
      </c>
      <c r="T15" s="12">
        <f>ABS(S6-S9)</f>
        <v>0.42880653937627072</v>
      </c>
      <c r="U15" s="12">
        <f>SQRT(U10/V10/HARMEAN(T6,T9))</f>
        <v>4.9835162455400241E-2</v>
      </c>
      <c r="V15" s="8">
        <f t="shared" si="0"/>
        <v>8.6044976729037295</v>
      </c>
      <c r="W15" s="8">
        <f t="shared" si="1"/>
        <v>0.24591532663898688</v>
      </c>
      <c r="X15" s="8">
        <f t="shared" si="2"/>
        <v>0.61169775211355459</v>
      </c>
      <c r="Y15" s="8">
        <f>[3]!QDIST(V15,COUNT($T$6:$T$9),V$10)</f>
        <v>4.5446941876470248E-8</v>
      </c>
      <c r="Z15" s="8">
        <f t="shared" si="3"/>
        <v>0.18289121273728384</v>
      </c>
      <c r="AA15" s="8">
        <f t="shared" si="4"/>
        <v>1.3643283190515261</v>
      </c>
      <c r="AE15">
        <v>2.7302617459458989E-2</v>
      </c>
      <c r="AF15">
        <v>2.3350546877505853E-3</v>
      </c>
      <c r="AH15" t="s">
        <v>499</v>
      </c>
      <c r="AI15" s="246">
        <f>SQRT(AI14*(AI7+AJ7+1)/6*(1-[2]!TiesCorrection(AE5:AE48,AF5:AF48,2)/((AI7+AJ7)^3-AI7-AJ7)))</f>
        <v>50.07993610219566</v>
      </c>
      <c r="AJ15" t="s">
        <v>500</v>
      </c>
    </row>
    <row r="16" spans="1:42" x14ac:dyDescent="0.3">
      <c r="C16" s="6">
        <v>0.424122048892563</v>
      </c>
      <c r="D16" s="6">
        <v>0.22498471361770248</v>
      </c>
      <c r="E16" s="6">
        <v>0.47804199500000005</v>
      </c>
      <c r="F16" s="6">
        <v>0.20740982649315984</v>
      </c>
      <c r="H16" t="s">
        <v>306</v>
      </c>
      <c r="I16">
        <f>SUM(M8:M11)</f>
        <v>16.694434658743557</v>
      </c>
      <c r="J16">
        <f>J17-J15</f>
        <v>169</v>
      </c>
      <c r="K16">
        <f>I16/J16</f>
        <v>9.8783637033985544E-2</v>
      </c>
      <c r="R16" s="12" t="str">
        <f>R7</f>
        <v>MEDIA</v>
      </c>
      <c r="S16" s="12" t="str">
        <f>R8</f>
        <v>S-SBR</v>
      </c>
      <c r="T16" s="12">
        <f>ABS(S7-S8)</f>
        <v>0.23190142083778281</v>
      </c>
      <c r="U16" s="12">
        <f>SQRT(U10/V10/HARMEAN(T7,T8))</f>
        <v>4.8552412842787461E-2</v>
      </c>
      <c r="V16" s="8">
        <f t="shared" si="0"/>
        <v>4.7763109443948499</v>
      </c>
      <c r="W16" s="8">
        <f t="shared" si="1"/>
        <v>5.3717800505740765E-2</v>
      </c>
      <c r="X16" s="8">
        <f t="shared" si="2"/>
        <v>0.41008504116982486</v>
      </c>
      <c r="Y16" s="8">
        <f>[3]!QDIST(V16,COUNT($T$6:$T$9),V$10)</f>
        <v>4.9870904874539379E-3</v>
      </c>
      <c r="Z16" s="8">
        <f t="shared" si="3"/>
        <v>0.17818362033204205</v>
      </c>
      <c r="AA16" s="8">
        <f t="shared" si="4"/>
        <v>0.73783780475335992</v>
      </c>
      <c r="AE16">
        <v>6.8153639052730391E-2</v>
      </c>
      <c r="AF16">
        <v>3.3298213804425062E-3</v>
      </c>
      <c r="AH16" t="s">
        <v>501</v>
      </c>
      <c r="AI16" s="246">
        <f>ABS(ABS(AI13-AI14)-1/2)/AI15</f>
        <v>2.8055147617059371</v>
      </c>
      <c r="AJ16" t="s">
        <v>502</v>
      </c>
    </row>
    <row r="17" spans="3:36" x14ac:dyDescent="0.3">
      <c r="C17" s="6">
        <v>0.42843015660125555</v>
      </c>
      <c r="D17" s="6">
        <v>0.22584235398215913</v>
      </c>
      <c r="E17" s="6">
        <v>0.48142938000000002</v>
      </c>
      <c r="F17" s="6">
        <v>0.20860457755052356</v>
      </c>
      <c r="H17" s="16" t="s">
        <v>307</v>
      </c>
      <c r="I17" s="16">
        <f>DEVSQ(C5:F63)</f>
        <v>22.282030894190274</v>
      </c>
      <c r="J17" s="16">
        <f>COUNT(C5:F63)-1</f>
        <v>172</v>
      </c>
      <c r="K17" s="16">
        <f>I17/J17</f>
        <v>0.12954669124529231</v>
      </c>
      <c r="L17" s="16"/>
      <c r="M17" s="16"/>
      <c r="N17" s="16"/>
      <c r="O17" s="16"/>
      <c r="P17" s="16"/>
      <c r="R17" s="136" t="str">
        <f>R7</f>
        <v>MEDIA</v>
      </c>
      <c r="S17" s="136" t="str">
        <f>R9</f>
        <v>N-SBR</v>
      </c>
      <c r="T17" s="136">
        <f>ABS(S7-S9)</f>
        <v>0.15946768067446992</v>
      </c>
      <c r="U17" s="136">
        <f>SQRT(U10/V10/HARMEAN(T7,T9))</f>
        <v>4.5518621786193474E-2</v>
      </c>
      <c r="V17" s="284">
        <f t="shared" si="0"/>
        <v>3.5033503743480878</v>
      </c>
      <c r="W17" s="284">
        <f t="shared" si="1"/>
        <v>-7.5821598484150099E-3</v>
      </c>
      <c r="X17" s="284">
        <f t="shared" si="2"/>
        <v>0.32651752119735489</v>
      </c>
      <c r="Y17" s="284">
        <f>[3]!QDIST(V17,COUNT($T$6:$T$9),V$10)</f>
        <v>6.7179197265243795E-2</v>
      </c>
      <c r="Z17" s="284">
        <f t="shared" si="3"/>
        <v>0.16704984052288493</v>
      </c>
      <c r="AA17" s="284">
        <f t="shared" si="4"/>
        <v>0.5073762938273062</v>
      </c>
      <c r="AF17">
        <v>3.368262606379898E-3</v>
      </c>
      <c r="AH17" t="s">
        <v>407</v>
      </c>
      <c r="AI17" s="246">
        <f>AI16/SQRT(AI7+AJ7)</f>
        <v>0.37490267970858404</v>
      </c>
    </row>
    <row r="18" spans="3:36" x14ac:dyDescent="0.3">
      <c r="C18" s="6">
        <v>0.61404372457308443</v>
      </c>
      <c r="D18" s="6">
        <v>0.2300214311326215</v>
      </c>
      <c r="E18" s="6">
        <v>0.48351224999999998</v>
      </c>
      <c r="F18" s="6">
        <v>0.21300731361992625</v>
      </c>
      <c r="R18" s="282" t="str">
        <f>R8</f>
        <v>S-SBR</v>
      </c>
      <c r="S18" s="282" t="str">
        <f>R9</f>
        <v>N-SBR</v>
      </c>
      <c r="T18" s="282">
        <f>ABS(S8-S9)</f>
        <v>0.39136910151225274</v>
      </c>
      <c r="U18" s="282">
        <f>SQRT(U10/V10/HARMEAN(T8,T9))</f>
        <v>4.4268395005029965E-2</v>
      </c>
      <c r="V18" s="283">
        <f t="shared" si="0"/>
        <v>8.8408242826012486</v>
      </c>
      <c r="W18" s="283">
        <f t="shared" si="1"/>
        <v>0.22890749710494701</v>
      </c>
      <c r="X18" s="283">
        <f t="shared" si="2"/>
        <v>0.55383070591955841</v>
      </c>
      <c r="Y18" s="283">
        <f>[3]!QDIST(V18,COUNT($T$6:$T$9),V$10)</f>
        <v>1.9200436351951566E-8</v>
      </c>
      <c r="Z18" s="283">
        <f t="shared" si="3"/>
        <v>0.16246160440730573</v>
      </c>
      <c r="AA18" s="283">
        <f t="shared" si="4"/>
        <v>1.2452140985806661</v>
      </c>
      <c r="AF18">
        <v>4.0222716343981087E-3</v>
      </c>
      <c r="AH18" t="s">
        <v>503</v>
      </c>
      <c r="AI18" s="245">
        <f>1-_xlfn.NORM.S.DIST(AI16,TRUE)</f>
        <v>2.5118140130675481E-3</v>
      </c>
      <c r="AJ18" s="240">
        <f>2*AI18</f>
        <v>5.0236280261350963E-3</v>
      </c>
    </row>
    <row r="19" spans="3:36" x14ac:dyDescent="0.3">
      <c r="C19" s="6">
        <v>0.67222325581395337</v>
      </c>
      <c r="D19" s="6">
        <v>0.2342949637934893</v>
      </c>
      <c r="E19" s="6">
        <v>0.48498680999999993</v>
      </c>
      <c r="F19" s="6">
        <v>0.22515928090252413</v>
      </c>
      <c r="AF19">
        <v>5.4992785636723326E-3</v>
      </c>
      <c r="AH19" t="s">
        <v>504</v>
      </c>
      <c r="AI19" s="246">
        <f>[2]!MWDIST(AI13,AI7,AJ7,1)</f>
        <v>2.0154701050104262E-3</v>
      </c>
      <c r="AJ19" s="242">
        <f>2*AI19</f>
        <v>4.0309402100208525E-3</v>
      </c>
    </row>
    <row r="20" spans="3:36" x14ac:dyDescent="0.3">
      <c r="C20" s="6">
        <v>0.67868421052631589</v>
      </c>
      <c r="D20" s="6">
        <v>0.25093612363081413</v>
      </c>
      <c r="E20" s="6">
        <v>0.48555144000000006</v>
      </c>
      <c r="F20" s="6">
        <v>0.23242941139337536</v>
      </c>
      <c r="AF20">
        <v>6.6184048671830862E-3</v>
      </c>
      <c r="AH20" t="s">
        <v>505</v>
      </c>
      <c r="AI20" s="247" t="s">
        <v>506</v>
      </c>
      <c r="AJ20" s="244" t="s">
        <v>506</v>
      </c>
    </row>
    <row r="21" spans="3:36" x14ac:dyDescent="0.3">
      <c r="C21" s="6">
        <v>0.69927950310559006</v>
      </c>
      <c r="D21" s="6">
        <v>0.26991216336921486</v>
      </c>
      <c r="E21" s="6">
        <v>0.48642678624999997</v>
      </c>
      <c r="F21" s="6">
        <v>0.2380404278152026</v>
      </c>
      <c r="AF21">
        <v>7.9470198675496706E-3</v>
      </c>
    </row>
    <row r="22" spans="3:36" x14ac:dyDescent="0.3">
      <c r="C22" s="6">
        <v>0.7154876033057852</v>
      </c>
      <c r="D22" s="6">
        <v>0.28190351152348175</v>
      </c>
      <c r="E22" s="6">
        <v>0.49291805369999997</v>
      </c>
      <c r="F22" s="6">
        <v>0.23873739956172391</v>
      </c>
      <c r="AF22">
        <v>8.0235204855842214E-3</v>
      </c>
    </row>
    <row r="23" spans="3:36" x14ac:dyDescent="0.3">
      <c r="C23" s="6">
        <v>0.71966511627906982</v>
      </c>
      <c r="D23" s="6">
        <v>0.30552967020023641</v>
      </c>
      <c r="E23" s="6">
        <v>0.49332211500000012</v>
      </c>
      <c r="F23" s="6">
        <v>0.24766155344533725</v>
      </c>
      <c r="AF23">
        <v>8.1838964743388091E-3</v>
      </c>
    </row>
    <row r="24" spans="3:36" x14ac:dyDescent="0.3">
      <c r="C24" s="6">
        <v>0.72874285714285714</v>
      </c>
      <c r="D24" s="6">
        <v>0.32433419931680252</v>
      </c>
      <c r="E24" s="6">
        <v>0.50101974000000016</v>
      </c>
      <c r="F24" s="6">
        <v>0.2478507155804453</v>
      </c>
      <c r="AF24">
        <v>8.2682352211785864E-3</v>
      </c>
    </row>
    <row r="25" spans="3:36" x14ac:dyDescent="0.3">
      <c r="C25" s="6">
        <v>0.77046000000000003</v>
      </c>
      <c r="D25" s="6">
        <v>0.36137981375849354</v>
      </c>
      <c r="E25" s="6">
        <v>0.52403853690000002</v>
      </c>
      <c r="F25" s="6">
        <v>0.25631561741922104</v>
      </c>
      <c r="AF25">
        <v>8.5155980442484583E-3</v>
      </c>
    </row>
    <row r="26" spans="3:36" x14ac:dyDescent="0.3">
      <c r="C26" s="6">
        <v>0.78780000000000006</v>
      </c>
      <c r="D26" s="6">
        <v>0.37945682860522562</v>
      </c>
      <c r="E26" s="6">
        <v>0.53282175659999997</v>
      </c>
      <c r="F26" s="6">
        <v>0.2571581110389668</v>
      </c>
      <c r="AF26">
        <v>8.6722810914194939E-3</v>
      </c>
    </row>
    <row r="27" spans="3:36" x14ac:dyDescent="0.3">
      <c r="C27" s="6">
        <v>0.80124000000000017</v>
      </c>
      <c r="D27" s="6">
        <v>0.38116650606599634</v>
      </c>
      <c r="E27" s="6">
        <v>0.75150869999999981</v>
      </c>
      <c r="F27" s="6">
        <v>0.25798868057246443</v>
      </c>
      <c r="AF27">
        <v>9.4189452033356449E-3</v>
      </c>
    </row>
    <row r="28" spans="3:36" x14ac:dyDescent="0.3">
      <c r="C28" s="6">
        <v>0.87129780564263326</v>
      </c>
      <c r="D28" s="6">
        <v>0.43241431531028468</v>
      </c>
      <c r="E28" s="6">
        <v>0.76767744000000016</v>
      </c>
      <c r="F28" s="6">
        <v>0.26171668966263567</v>
      </c>
      <c r="AF28">
        <v>9.6205725018644519E-3</v>
      </c>
    </row>
    <row r="29" spans="3:36" x14ac:dyDescent="0.3">
      <c r="C29" s="6">
        <v>1.0853061224489795</v>
      </c>
      <c r="D29" s="6">
        <v>0.48691721430348345</v>
      </c>
      <c r="E29" s="6">
        <v>0.78604995000000011</v>
      </c>
      <c r="F29" s="6">
        <v>0.26239165683701721</v>
      </c>
      <c r="AF29">
        <v>9.9506337959379982E-3</v>
      </c>
    </row>
    <row r="30" spans="3:36" x14ac:dyDescent="0.3">
      <c r="C30" s="6">
        <v>1.3920000000000001</v>
      </c>
      <c r="D30" s="6">
        <v>0.48891993508952852</v>
      </c>
      <c r="E30" s="6">
        <v>0.83071866000000005</v>
      </c>
      <c r="F30" s="6">
        <v>0.26391998755512269</v>
      </c>
      <c r="AF30">
        <v>9.9663351185921931E-3</v>
      </c>
    </row>
    <row r="31" spans="3:36" x14ac:dyDescent="0.3">
      <c r="C31" s="6">
        <v>1.5809144615384612</v>
      </c>
      <c r="D31" s="6">
        <v>0.49130764969852803</v>
      </c>
      <c r="E31" s="6">
        <v>0.87280887120000028</v>
      </c>
      <c r="F31" s="6">
        <v>0.26868395422449476</v>
      </c>
      <c r="AF31">
        <v>1.0729507746903984E-2</v>
      </c>
    </row>
    <row r="32" spans="3:36" x14ac:dyDescent="0.3">
      <c r="C32" s="6">
        <v>1.6698543988596999</v>
      </c>
      <c r="D32" s="6">
        <v>0.51520499867320835</v>
      </c>
      <c r="E32" s="6">
        <v>0.87439443419999974</v>
      </c>
      <c r="F32" s="6">
        <v>0.27059106358610863</v>
      </c>
      <c r="AF32">
        <v>1.1931590433349666E-2</v>
      </c>
    </row>
    <row r="33" spans="3:32" x14ac:dyDescent="0.3">
      <c r="C33" s="6">
        <v>1.6874411011126949</v>
      </c>
      <c r="D33" s="6">
        <v>0.54548941693013486</v>
      </c>
      <c r="E33" s="6">
        <v>0.89369899199999991</v>
      </c>
      <c r="F33" s="6">
        <v>0.27337061385710032</v>
      </c>
      <c r="AF33">
        <v>1.1983747823369204E-2</v>
      </c>
    </row>
    <row r="34" spans="3:32" x14ac:dyDescent="0.3">
      <c r="C34" s="6">
        <v>1.7305707779809105</v>
      </c>
      <c r="D34" s="6">
        <v>0.57158545082835432</v>
      </c>
      <c r="E34" s="6">
        <v>0.90222698720000005</v>
      </c>
      <c r="F34" s="6">
        <v>0.27514462209957702</v>
      </c>
      <c r="AF34">
        <v>1.2435411361049467E-2</v>
      </c>
    </row>
    <row r="35" spans="3:32" x14ac:dyDescent="0.3">
      <c r="C35" s="6"/>
      <c r="D35" s="6">
        <v>0.57998950278937289</v>
      </c>
      <c r="E35" s="6">
        <v>0.90225980060000011</v>
      </c>
      <c r="F35" s="6">
        <v>0.27528658388117849</v>
      </c>
      <c r="AF35">
        <v>1.2784387393028594E-2</v>
      </c>
    </row>
    <row r="36" spans="3:32" x14ac:dyDescent="0.3">
      <c r="C36" s="6"/>
      <c r="D36" s="6">
        <v>0.59675247317164382</v>
      </c>
      <c r="E36" s="6">
        <v>0.93127006000000001</v>
      </c>
      <c r="F36" s="6">
        <v>0.27619787354922493</v>
      </c>
      <c r="AF36">
        <v>1.4445095931463568E-2</v>
      </c>
    </row>
    <row r="37" spans="3:32" x14ac:dyDescent="0.3">
      <c r="C37" s="6"/>
      <c r="D37" s="6">
        <v>0.6327152184330509</v>
      </c>
      <c r="E37" s="6">
        <v>0.93699183999999969</v>
      </c>
      <c r="F37" s="6">
        <v>0.28132204276348421</v>
      </c>
      <c r="AF37">
        <v>1.4660627041265832E-2</v>
      </c>
    </row>
    <row r="38" spans="3:32" x14ac:dyDescent="0.3">
      <c r="C38" s="6"/>
      <c r="D38" s="6">
        <v>0.64078499714838266</v>
      </c>
      <c r="E38" s="6">
        <v>0.93707383999999994</v>
      </c>
      <c r="F38" s="6">
        <v>0.28527128930732532</v>
      </c>
      <c r="AF38">
        <v>1.4740159579532688E-2</v>
      </c>
    </row>
    <row r="39" spans="3:32" x14ac:dyDescent="0.3">
      <c r="C39" s="6"/>
      <c r="D39" s="6">
        <v>0.70498657809309639</v>
      </c>
      <c r="E39" s="6">
        <v>0.94206520000000016</v>
      </c>
      <c r="F39" s="6">
        <v>0.3003948994039084</v>
      </c>
      <c r="AF39">
        <v>1.4874867136921443E-2</v>
      </c>
    </row>
    <row r="40" spans="3:32" x14ac:dyDescent="0.3">
      <c r="C40" s="6"/>
      <c r="D40" s="6">
        <v>0.71444856386667288</v>
      </c>
      <c r="E40" s="6">
        <v>0.94729899000000006</v>
      </c>
      <c r="F40" s="6">
        <v>0.30991692142593047</v>
      </c>
      <c r="AF40">
        <v>1.550260754616606E-2</v>
      </c>
    </row>
    <row r="41" spans="3:32" x14ac:dyDescent="0.3">
      <c r="C41" s="6"/>
      <c r="D41" s="6">
        <v>0.89071879409720323</v>
      </c>
      <c r="E41" s="6">
        <v>0.94787580000000016</v>
      </c>
      <c r="F41" s="6">
        <v>0.31051862673484287</v>
      </c>
      <c r="AF41">
        <v>1.6392757296266297E-2</v>
      </c>
    </row>
    <row r="42" spans="3:32" x14ac:dyDescent="0.3">
      <c r="C42" s="6"/>
      <c r="D42" s="6">
        <v>0.99995662423532594</v>
      </c>
      <c r="E42" s="6">
        <v>0.95590239199999993</v>
      </c>
      <c r="F42" s="6">
        <v>0.32057596335073812</v>
      </c>
      <c r="AF42">
        <v>1.8525589058291273E-2</v>
      </c>
    </row>
    <row r="43" spans="3:32" x14ac:dyDescent="0.3">
      <c r="C43" s="6"/>
      <c r="D43" s="6">
        <v>1.10530162245699</v>
      </c>
      <c r="E43" s="6">
        <v>0.97123835999999986</v>
      </c>
      <c r="F43" s="6">
        <v>0.32525432594756915</v>
      </c>
      <c r="AF43">
        <v>2.0256164502918877E-2</v>
      </c>
    </row>
    <row r="44" spans="3:32" x14ac:dyDescent="0.3">
      <c r="C44" s="6"/>
      <c r="D44" s="6">
        <v>2.4476960401109324</v>
      </c>
      <c r="E44" s="6">
        <v>0.99916464000000005</v>
      </c>
      <c r="F44" s="6">
        <v>0.33047308569831096</v>
      </c>
      <c r="AF44">
        <v>2.0478296506266858E-2</v>
      </c>
    </row>
    <row r="45" spans="3:32" x14ac:dyDescent="0.3">
      <c r="C45" s="6"/>
      <c r="D45" s="6"/>
      <c r="E45" s="6">
        <v>1.0216907999999998</v>
      </c>
      <c r="F45" s="6">
        <v>0.33314410807203598</v>
      </c>
      <c r="AF45">
        <v>2.2784711590856013E-2</v>
      </c>
    </row>
    <row r="46" spans="3:32" x14ac:dyDescent="0.3">
      <c r="C46" s="6"/>
      <c r="D46" s="6"/>
      <c r="E46" s="6">
        <v>1.0634329079999998</v>
      </c>
      <c r="F46" s="6">
        <v>0.34179233287341398</v>
      </c>
      <c r="AF46">
        <v>3.6994145583559575E-2</v>
      </c>
    </row>
    <row r="47" spans="3:32" x14ac:dyDescent="0.3">
      <c r="C47" s="6"/>
      <c r="D47" s="6"/>
      <c r="E47" s="6">
        <v>1.0751075999999999</v>
      </c>
      <c r="F47" s="6">
        <v>0.35416916916916913</v>
      </c>
      <c r="AF47">
        <v>3.8431099638282201E-2</v>
      </c>
    </row>
    <row r="48" spans="3:32" x14ac:dyDescent="0.3">
      <c r="C48" s="6"/>
      <c r="D48" s="6"/>
      <c r="E48" s="6">
        <v>1.1074062</v>
      </c>
      <c r="F48" s="6">
        <v>0.36569556944331727</v>
      </c>
      <c r="AF48">
        <v>5.9647047731694561E-2</v>
      </c>
    </row>
    <row r="49" spans="1:40" x14ac:dyDescent="0.3">
      <c r="C49" s="6"/>
      <c r="D49" s="6"/>
      <c r="E49" s="6"/>
      <c r="F49" s="6">
        <v>0.36947005437870306</v>
      </c>
    </row>
    <row r="50" spans="1:40" x14ac:dyDescent="0.3">
      <c r="C50" s="6"/>
      <c r="D50" s="6"/>
      <c r="E50" s="6"/>
      <c r="F50" s="6">
        <v>0.3709492465438412</v>
      </c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</row>
    <row r="51" spans="1:40" x14ac:dyDescent="0.3">
      <c r="C51" s="6"/>
      <c r="D51" s="6"/>
      <c r="E51" s="6"/>
      <c r="F51" s="6">
        <v>0.38155133511890266</v>
      </c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</row>
    <row r="52" spans="1:40" x14ac:dyDescent="0.3">
      <c r="C52" s="6"/>
      <c r="D52" s="6"/>
      <c r="E52" s="6"/>
      <c r="F52" s="6">
        <v>0.38481893289686081</v>
      </c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</row>
    <row r="53" spans="1:40" x14ac:dyDescent="0.3">
      <c r="C53" s="6"/>
      <c r="D53" s="6"/>
      <c r="E53" s="6"/>
      <c r="F53" s="6">
        <v>0.39111550604658712</v>
      </c>
      <c r="AE53" s="295" t="s">
        <v>567</v>
      </c>
      <c r="AF53" s="295"/>
      <c r="AG53" s="295"/>
      <c r="AH53" s="295"/>
      <c r="AI53" s="295"/>
      <c r="AJ53" s="295"/>
      <c r="AK53" s="295"/>
      <c r="AL53" s="295"/>
    </row>
    <row r="54" spans="1:40" x14ac:dyDescent="0.3">
      <c r="C54" s="6"/>
      <c r="D54" s="6"/>
      <c r="E54" s="6"/>
      <c r="F54" s="6">
        <v>0.39575344123402673</v>
      </c>
      <c r="AE54" t="s">
        <v>48</v>
      </c>
      <c r="AF54" t="s">
        <v>46</v>
      </c>
      <c r="AH54" t="s">
        <v>492</v>
      </c>
    </row>
    <row r="55" spans="1:40" x14ac:dyDescent="0.3">
      <c r="C55" s="6"/>
      <c r="D55" s="6"/>
      <c r="E55" s="6"/>
      <c r="F55" s="6">
        <v>0.40161361361361347</v>
      </c>
      <c r="AE55">
        <v>0.16673729125</v>
      </c>
      <c r="AF55">
        <v>1.6968011126564791E-2</v>
      </c>
    </row>
    <row r="56" spans="1:40" x14ac:dyDescent="0.3">
      <c r="C56" s="6"/>
      <c r="D56" s="6"/>
      <c r="E56" s="6"/>
      <c r="F56" s="6">
        <v>0.41054227200173155</v>
      </c>
      <c r="AE56">
        <v>0.32362288750000001</v>
      </c>
      <c r="AF56">
        <v>6.3908205841446838E-2</v>
      </c>
      <c r="AI56" t="str">
        <f>AE54</f>
        <v>G-SBR</v>
      </c>
      <c r="AJ56" t="str">
        <f>AF54</f>
        <v>S-SBR</v>
      </c>
    </row>
    <row r="57" spans="1:40" x14ac:dyDescent="0.3">
      <c r="C57" s="6"/>
      <c r="D57" s="6"/>
      <c r="E57" s="6"/>
      <c r="F57" s="6">
        <v>0.43351390561732911</v>
      </c>
      <c r="AE57">
        <v>0.33063559375000001</v>
      </c>
      <c r="AF57">
        <v>9.8979875086745633E-2</v>
      </c>
      <c r="AH57" t="s">
        <v>493</v>
      </c>
      <c r="AI57" s="239">
        <f>COUNT(AE55:AE98)</f>
        <v>28</v>
      </c>
      <c r="AJ57" s="240">
        <f>COUNT(AF55:AF98)</f>
        <v>44</v>
      </c>
    </row>
    <row r="58" spans="1:40" x14ac:dyDescent="0.3">
      <c r="C58" s="6"/>
      <c r="D58" s="6"/>
      <c r="E58" s="6"/>
      <c r="F58" s="6">
        <v>0.44219219516814118</v>
      </c>
      <c r="AE58">
        <v>0.33663135625000001</v>
      </c>
      <c r="AF58">
        <v>0.1049132546842473</v>
      </c>
      <c r="AH58" t="s">
        <v>494</v>
      </c>
      <c r="AI58" s="241">
        <f>MEDIAN(AE55:AE98)</f>
        <v>0.45378178125000002</v>
      </c>
      <c r="AJ58" s="242">
        <f>MEDIAN(AF55:AF98)</f>
        <v>0.16786259541984772</v>
      </c>
    </row>
    <row r="59" spans="1:40" x14ac:dyDescent="0.3">
      <c r="C59" s="6"/>
      <c r="D59" s="6"/>
      <c r="E59" s="6"/>
      <c r="F59" s="6">
        <v>0.45150104266428587</v>
      </c>
      <c r="AE59">
        <v>0.34082628124999997</v>
      </c>
      <c r="AF59">
        <v>0.11076335877862679</v>
      </c>
      <c r="AH59" t="s">
        <v>495</v>
      </c>
      <c r="AI59" s="241" t="e">
        <f ca="1">[4]!RANK_SUM(AE55:AE98,AF55:AF98,1)</f>
        <v>#NAME?</v>
      </c>
      <c r="AJ59" s="242" t="e">
        <f ca="1">[4]!RANK_SUM(AF55:AF98,AE55:AE98,1)</f>
        <v>#NAME?</v>
      </c>
    </row>
    <row r="60" spans="1:40" x14ac:dyDescent="0.3">
      <c r="C60" s="6"/>
      <c r="D60" s="6"/>
      <c r="E60" s="6"/>
      <c r="F60" s="6">
        <v>0.46333698563428294</v>
      </c>
      <c r="AE60">
        <v>0.3784957625</v>
      </c>
      <c r="AF60">
        <v>0.12858431644691329</v>
      </c>
      <c r="AH60" t="s">
        <v>496</v>
      </c>
      <c r="AI60" s="243" t="e">
        <f ca="1">AI57*AJ57+AI57*(AI57+1)/2-AI59</f>
        <v>#NAME?</v>
      </c>
      <c r="AJ60" s="244" t="e">
        <f ca="1">AI57*AJ57+AJ57*(AJ57+1)/2-AJ59</f>
        <v>#NAME?</v>
      </c>
    </row>
    <row r="61" spans="1:40" x14ac:dyDescent="0.3">
      <c r="C61" s="6"/>
      <c r="D61" s="6"/>
      <c r="E61" s="6"/>
      <c r="F61" s="6">
        <v>0.50232395909422956</v>
      </c>
      <c r="AE61">
        <v>0.39239406874999999</v>
      </c>
      <c r="AF61">
        <v>0.13206536856745499</v>
      </c>
    </row>
    <row r="62" spans="1:40" x14ac:dyDescent="0.3">
      <c r="C62" s="6"/>
      <c r="D62" s="6"/>
      <c r="E62" s="6"/>
      <c r="F62" s="6">
        <v>0.51109639639639637</v>
      </c>
      <c r="AE62">
        <v>0.39491530000000002</v>
      </c>
      <c r="AF62">
        <v>0.13693268563497621</v>
      </c>
      <c r="AI62" s="183" t="s">
        <v>497</v>
      </c>
      <c r="AJ62" s="183" t="s">
        <v>498</v>
      </c>
    </row>
    <row r="63" spans="1:40" x14ac:dyDescent="0.3">
      <c r="C63" s="6"/>
      <c r="D63" s="6"/>
      <c r="E63" s="6"/>
      <c r="F63" s="6">
        <v>0.82664329194058928</v>
      </c>
      <c r="AE63">
        <v>0.39512711875000001</v>
      </c>
      <c r="AF63">
        <v>0.13722414989590609</v>
      </c>
      <c r="AH63" t="s">
        <v>496</v>
      </c>
      <c r="AI63" s="245" t="e">
        <f ca="1">MIN(AI60,AJ60)</f>
        <v>#NAME?</v>
      </c>
    </row>
    <row r="64" spans="1:40" s="29" customFormat="1" x14ac:dyDescent="0.3">
      <c r="A64" s="232"/>
      <c r="AC64" s="232"/>
      <c r="AE64" s="29">
        <v>0.39877118125</v>
      </c>
      <c r="AF64" s="29">
        <v>0.14072172102706509</v>
      </c>
      <c r="AH64" s="29" t="s">
        <v>312</v>
      </c>
      <c r="AI64" s="246">
        <f>AI57*AJ57/2</f>
        <v>616</v>
      </c>
      <c r="AN64" s="232"/>
    </row>
    <row r="65" spans="3:36" x14ac:dyDescent="0.3">
      <c r="C65" s="235"/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E65">
        <v>0.40811439999999999</v>
      </c>
      <c r="AF65">
        <v>0.14113115891741859</v>
      </c>
      <c r="AH65" t="s">
        <v>499</v>
      </c>
      <c r="AI65" s="246" t="e">
        <f ca="1">SQRT(AI64*(AI57+AJ57+1)/6*(1-[4]!TiesCorrection(AE55:AE98,AF55:AF98,2)/((AI57+AJ57)^3-AI57-AJ57)))</f>
        <v>#NAME?</v>
      </c>
      <c r="AJ65" t="s">
        <v>500</v>
      </c>
    </row>
    <row r="66" spans="3:36" x14ac:dyDescent="0.3">
      <c r="C66" s="235"/>
      <c r="D66" s="235"/>
      <c r="E66" s="235"/>
      <c r="F66" s="235"/>
      <c r="G66" s="235"/>
      <c r="H66" s="235"/>
      <c r="I66" s="235"/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E66">
        <v>0.40885593749999999</v>
      </c>
      <c r="AF66">
        <v>0.1413185287994462</v>
      </c>
      <c r="AH66" t="s">
        <v>501</v>
      </c>
      <c r="AI66" s="246" t="e">
        <f ca="1">ABS(ABS(AI63-AI64)-1/2)/AI65</f>
        <v>#NAME?</v>
      </c>
      <c r="AJ66" t="s">
        <v>502</v>
      </c>
    </row>
    <row r="67" spans="3:36" x14ac:dyDescent="0.3">
      <c r="C67" s="235"/>
      <c r="D67" s="235"/>
      <c r="E67" s="235"/>
      <c r="F67" s="235"/>
      <c r="G67" s="235"/>
      <c r="H67" s="235"/>
      <c r="I67" s="235"/>
      <c r="J67" s="235"/>
      <c r="K67" s="235"/>
      <c r="L67" s="235"/>
      <c r="M67" s="235"/>
      <c r="N67" s="236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E67">
        <v>0.4255508375</v>
      </c>
      <c r="AF67">
        <v>0.1413185287994462</v>
      </c>
      <c r="AH67" t="s">
        <v>407</v>
      </c>
      <c r="AI67" s="246" t="e">
        <f ca="1">AI66/SQRT(AI57+AJ57)</f>
        <v>#NAME?</v>
      </c>
    </row>
    <row r="68" spans="3:36" x14ac:dyDescent="0.3">
      <c r="C68" s="295" t="s">
        <v>455</v>
      </c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E68">
        <v>0.45012712500000002</v>
      </c>
      <c r="AF68">
        <v>0.14396252602359519</v>
      </c>
      <c r="AH68" t="s">
        <v>503</v>
      </c>
      <c r="AI68" s="245" t="e">
        <f ca="1">1-NORMSDIST(AI66)</f>
        <v>#NAME?</v>
      </c>
      <c r="AJ68" s="240" t="e">
        <f ca="1">2*AI68</f>
        <v>#NAME?</v>
      </c>
    </row>
    <row r="69" spans="3:36" x14ac:dyDescent="0.3">
      <c r="C69" t="s">
        <v>48</v>
      </c>
      <c r="D69" t="s">
        <v>46</v>
      </c>
      <c r="E69" t="s">
        <v>491</v>
      </c>
      <c r="F69" t="s">
        <v>600</v>
      </c>
      <c r="H69" s="29" t="s">
        <v>393</v>
      </c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 t="s">
        <v>492</v>
      </c>
      <c r="T69" s="29"/>
      <c r="U69" s="29"/>
      <c r="V69" s="29"/>
      <c r="W69" s="29"/>
      <c r="X69" s="29"/>
      <c r="Y69" s="29"/>
      <c r="AE69">
        <v>0.45743643750000001</v>
      </c>
      <c r="AF69">
        <v>0.14687065368567481</v>
      </c>
      <c r="AH69" t="s">
        <v>504</v>
      </c>
      <c r="AI69" s="246" t="e">
        <f ca="1">[4]!MWDIST(AI63,AI57,AJ57,1)</f>
        <v>#NAME?</v>
      </c>
      <c r="AJ69" s="242" t="e">
        <f ca="1">2*AI69</f>
        <v>#NAME?</v>
      </c>
    </row>
    <row r="70" spans="3:36" x14ac:dyDescent="0.3">
      <c r="C70" s="6">
        <v>8.8860000000000106E-2</v>
      </c>
      <c r="D70" s="6">
        <v>0.25614629459999999</v>
      </c>
      <c r="E70" s="6">
        <v>9.7368897742817484E-3</v>
      </c>
      <c r="F70" s="6">
        <v>3.1585488693240578E-3</v>
      </c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AE70">
        <v>0.47050848750000002</v>
      </c>
      <c r="AF70">
        <v>0.14692574600971589</v>
      </c>
      <c r="AH70" t="s">
        <v>505</v>
      </c>
      <c r="AI70" s="247" t="s">
        <v>506</v>
      </c>
      <c r="AJ70" s="244" t="s">
        <v>506</v>
      </c>
    </row>
    <row r="71" spans="3:36" ht="15" thickBot="1" x14ac:dyDescent="0.35">
      <c r="C71" s="6">
        <v>9.2579999999999982E-2</v>
      </c>
      <c r="D71" s="6">
        <v>0.29199105000000003</v>
      </c>
      <c r="E71" s="6">
        <v>1.9682106159247009E-2</v>
      </c>
      <c r="F71" s="6">
        <v>3.5418023019419135E-3</v>
      </c>
      <c r="H71" s="29" t="s">
        <v>394</v>
      </c>
      <c r="I71" s="29"/>
      <c r="J71" s="29"/>
      <c r="K71" s="29" t="s">
        <v>395</v>
      </c>
      <c r="L71" s="29">
        <v>0</v>
      </c>
      <c r="M71" s="29"/>
      <c r="N71" s="29"/>
      <c r="O71" s="29"/>
      <c r="P71" s="29"/>
      <c r="Q71" s="29"/>
      <c r="R71" s="29"/>
      <c r="S71" s="29"/>
      <c r="T71" s="29" t="str">
        <f>C69</f>
        <v>G-SBR</v>
      </c>
      <c r="U71" s="29" t="str">
        <f>D69</f>
        <v>S-SBR</v>
      </c>
      <c r="V71" s="29"/>
      <c r="W71" s="29"/>
      <c r="X71" s="29"/>
      <c r="Y71" s="29"/>
      <c r="AE71">
        <v>0.48629238749999998</v>
      </c>
      <c r="AF71">
        <v>0.15274809160305419</v>
      </c>
    </row>
    <row r="72" spans="3:36" ht="15" thickTop="1" x14ac:dyDescent="0.3">
      <c r="C72" s="6">
        <v>0.21535246963930557</v>
      </c>
      <c r="D72" s="6">
        <v>0.30314355000000004</v>
      </c>
      <c r="E72" s="6">
        <v>2.0486229376952454E-2</v>
      </c>
      <c r="F72" s="6">
        <v>4.0003819040842015E-3</v>
      </c>
      <c r="H72" s="191" t="s">
        <v>396</v>
      </c>
      <c r="I72" s="191" t="s">
        <v>290</v>
      </c>
      <c r="J72" s="191" t="s">
        <v>292</v>
      </c>
      <c r="K72" s="191" t="s">
        <v>293</v>
      </c>
      <c r="L72" s="191" t="s">
        <v>397</v>
      </c>
      <c r="M72" s="29"/>
      <c r="N72" s="29"/>
      <c r="O72" s="29"/>
      <c r="P72" s="29"/>
      <c r="Q72" s="29"/>
      <c r="R72" s="29"/>
      <c r="S72" s="29" t="s">
        <v>493</v>
      </c>
      <c r="T72" s="239">
        <f>COUNT(C70:C119)</f>
        <v>14</v>
      </c>
      <c r="U72" s="240">
        <f>COUNT(D70:D119)</f>
        <v>43</v>
      </c>
      <c r="V72" s="29"/>
      <c r="W72" s="29"/>
      <c r="X72" s="29"/>
      <c r="Y72" s="29"/>
      <c r="AE72">
        <v>0.5</v>
      </c>
      <c r="AF72">
        <v>0.15982650936849441</v>
      </c>
    </row>
    <row r="73" spans="3:36" x14ac:dyDescent="0.3">
      <c r="C73" s="6">
        <v>0.23578361891352739</v>
      </c>
      <c r="D73" s="6">
        <v>0.33914062500000003</v>
      </c>
      <c r="E73" s="6">
        <v>2.3902009691636958E-2</v>
      </c>
      <c r="F73" s="6">
        <v>8.9840831964971991E-3</v>
      </c>
      <c r="H73" s="29" t="str">
        <f>C69</f>
        <v>G-SBR</v>
      </c>
      <c r="I73" s="29">
        <f>COUNT(C70:C119)</f>
        <v>14</v>
      </c>
      <c r="J73" s="29">
        <f>AVERAGE(C70:C119)</f>
        <v>0.56353569301251805</v>
      </c>
      <c r="K73" s="29">
        <f>_xlfn.VAR.S(C70:C119)</f>
        <v>0.18857223167551079</v>
      </c>
      <c r="L73" s="29"/>
      <c r="M73" s="29"/>
      <c r="N73" s="29"/>
      <c r="O73" s="29"/>
      <c r="P73" s="29"/>
      <c r="Q73" s="29"/>
      <c r="R73" s="29"/>
      <c r="S73" s="29" t="s">
        <v>494</v>
      </c>
      <c r="T73" s="241">
        <f>MEDIAN(C70:C119)</f>
        <v>0.4961638131564724</v>
      </c>
      <c r="U73" s="242">
        <f>MEDIAN(D70:D119)</f>
        <v>0.62958412799999985</v>
      </c>
      <c r="V73" s="29"/>
      <c r="W73" s="29"/>
      <c r="X73" s="29"/>
      <c r="Y73" s="29"/>
      <c r="AE73">
        <v>0.6</v>
      </c>
      <c r="AF73">
        <v>0.16191533657182561</v>
      </c>
    </row>
    <row r="74" spans="3:36" x14ac:dyDescent="0.3">
      <c r="C74" s="6">
        <v>0.26178383029956892</v>
      </c>
      <c r="D74" s="6">
        <v>0.33996319999999997</v>
      </c>
      <c r="E74" s="6">
        <v>2.8841015468212626E-2</v>
      </c>
      <c r="F74" s="6">
        <v>1.8396279917676343E-2</v>
      </c>
      <c r="H74" s="29" t="str">
        <f>D69</f>
        <v>S-SBR</v>
      </c>
      <c r="I74" s="29">
        <f>COUNT(D70:D119)</f>
        <v>43</v>
      </c>
      <c r="J74" s="29">
        <f>AVERAGE(D70:D119)</f>
        <v>0.59327726581046514</v>
      </c>
      <c r="K74" s="29">
        <f>_xlfn.VAR.S(D70:D119)</f>
        <v>5.0681802368096683E-2</v>
      </c>
      <c r="L74" s="29"/>
      <c r="M74" s="29"/>
      <c r="N74" s="29"/>
      <c r="O74" s="29"/>
      <c r="P74" s="29"/>
      <c r="Q74" s="29"/>
      <c r="R74" s="29"/>
      <c r="S74" s="29" t="s">
        <v>495</v>
      </c>
      <c r="T74" s="241">
        <f>[3]!RANK_SUM(C70:C119,D70:D119,1)</f>
        <v>335</v>
      </c>
      <c r="U74" s="242">
        <f>[3]!RANK_SUM(D70:D119,C70:C119,1)</f>
        <v>1318</v>
      </c>
      <c r="V74" s="29"/>
      <c r="W74" s="29"/>
      <c r="X74" s="29"/>
      <c r="Y74" s="29"/>
      <c r="AE74">
        <v>0.6</v>
      </c>
      <c r="AF74">
        <v>0.162809457579973</v>
      </c>
    </row>
    <row r="75" spans="3:36" x14ac:dyDescent="0.3">
      <c r="C75" s="6">
        <v>0.26900168067226887</v>
      </c>
      <c r="D75" s="6">
        <v>0.34637163289999989</v>
      </c>
      <c r="E75" s="6">
        <v>3.0065434220976427E-2</v>
      </c>
      <c r="F75" s="6">
        <v>1.8900700347252615E-2</v>
      </c>
      <c r="H75" s="8" t="s">
        <v>398</v>
      </c>
      <c r="I75" s="8"/>
      <c r="J75" s="8"/>
      <c r="K75" s="8">
        <f>((I73-1)*K73+(I74-1)*K74)/(I73+I74-2)</f>
        <v>8.3274085658940011E-2</v>
      </c>
      <c r="L75" s="8">
        <f>ABS(J73-J74-L71)/SQRT(K75)</f>
        <v>0.10306447486325673</v>
      </c>
      <c r="M75" s="29"/>
      <c r="N75" s="29"/>
      <c r="O75" s="29"/>
      <c r="P75" s="29"/>
      <c r="Q75" s="29"/>
      <c r="R75" s="29"/>
      <c r="S75" s="29" t="s">
        <v>496</v>
      </c>
      <c r="T75" s="243">
        <f>T72*U72+T72*(T72+1)/2-T74</f>
        <v>372</v>
      </c>
      <c r="U75" s="244">
        <f>T72*U72+U72*(U72+1)/2-U74</f>
        <v>230</v>
      </c>
      <c r="V75" s="29"/>
      <c r="W75" s="29"/>
      <c r="X75" s="29"/>
      <c r="Y75" s="29"/>
      <c r="AE75">
        <v>0.6</v>
      </c>
      <c r="AF75">
        <v>0.16725884802220739</v>
      </c>
    </row>
    <row r="76" spans="3:36" x14ac:dyDescent="0.3">
      <c r="C76" s="6">
        <v>0.38379048345580186</v>
      </c>
      <c r="D76" s="6">
        <v>0.35863711399999992</v>
      </c>
      <c r="E76" s="6">
        <v>3.3493406464159124E-2</v>
      </c>
      <c r="F76" s="6">
        <v>3.0629197336666737E-2</v>
      </c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AE76">
        <v>0.6</v>
      </c>
      <c r="AF76">
        <v>0.16741845940319261</v>
      </c>
    </row>
    <row r="77" spans="3:36" ht="15" thickBot="1" x14ac:dyDescent="0.35">
      <c r="C77" s="6">
        <v>0.60853714285714289</v>
      </c>
      <c r="D77" s="6">
        <v>0.36016540000000002</v>
      </c>
      <c r="E77" s="6">
        <v>4.2803081850937369E-2</v>
      </c>
      <c r="F77" s="6">
        <v>3.1604922297038152E-2</v>
      </c>
      <c r="H77" s="29" t="s">
        <v>399</v>
      </c>
      <c r="I77" s="29"/>
      <c r="J77" s="29"/>
      <c r="K77" s="29"/>
      <c r="L77" s="29" t="s">
        <v>288</v>
      </c>
      <c r="M77" s="29">
        <v>0.05</v>
      </c>
      <c r="N77" s="29"/>
      <c r="O77" s="29"/>
      <c r="P77" s="29"/>
      <c r="Q77" s="29"/>
      <c r="R77" s="29"/>
      <c r="S77" s="29"/>
      <c r="T77" s="278" t="s">
        <v>497</v>
      </c>
      <c r="U77" s="278" t="s">
        <v>498</v>
      </c>
      <c r="V77" s="29"/>
      <c r="W77" s="29"/>
      <c r="X77" s="29"/>
      <c r="Y77" s="29"/>
      <c r="AE77">
        <v>0.8</v>
      </c>
      <c r="AF77">
        <v>0.16830673143650279</v>
      </c>
    </row>
    <row r="78" spans="3:36" ht="15" thickTop="1" x14ac:dyDescent="0.3">
      <c r="C78" s="6">
        <v>0.61404372457308443</v>
      </c>
      <c r="D78" s="6">
        <v>0.38924275059999996</v>
      </c>
      <c r="E78" s="6">
        <v>4.9521344735224501E-2</v>
      </c>
      <c r="F78" s="6">
        <v>3.3757970268233448E-2</v>
      </c>
      <c r="H78" s="191" t="s">
        <v>400</v>
      </c>
      <c r="I78" s="191" t="s">
        <v>401</v>
      </c>
      <c r="J78" s="191" t="s">
        <v>402</v>
      </c>
      <c r="K78" s="191" t="s">
        <v>205</v>
      </c>
      <c r="L78" s="191" t="s">
        <v>311</v>
      </c>
      <c r="M78" s="191" t="s">
        <v>403</v>
      </c>
      <c r="N78" s="191" t="s">
        <v>404</v>
      </c>
      <c r="O78" s="191" t="s">
        <v>405</v>
      </c>
      <c r="P78" s="191" t="s">
        <v>406</v>
      </c>
      <c r="Q78" s="191" t="s">
        <v>407</v>
      </c>
      <c r="R78" s="29"/>
      <c r="S78" s="29" t="s">
        <v>496</v>
      </c>
      <c r="T78" s="245">
        <f>MIN(T75,U75)</f>
        <v>230</v>
      </c>
      <c r="U78" s="29"/>
      <c r="V78" s="29"/>
      <c r="W78" s="29"/>
      <c r="X78" s="29"/>
      <c r="Y78" s="29"/>
      <c r="AE78">
        <v>0.8</v>
      </c>
      <c r="AF78">
        <v>0.17190839694656521</v>
      </c>
    </row>
    <row r="79" spans="3:36" x14ac:dyDescent="0.3">
      <c r="C79" s="6">
        <v>0.63436465116279073</v>
      </c>
      <c r="D79" s="6">
        <v>0.39125968</v>
      </c>
      <c r="E79" s="6">
        <v>6.1982645922834624E-2</v>
      </c>
      <c r="F79" s="6">
        <v>3.5385296344959127E-2</v>
      </c>
      <c r="H79" s="29" t="s">
        <v>408</v>
      </c>
      <c r="I79" s="29">
        <f>SQRT(K75*(1/I73+1/I74))</f>
        <v>8.8796146419029554E-2</v>
      </c>
      <c r="J79" s="29">
        <f>(ABS(J73-J74-L71))/I79</f>
        <v>0.33494215680933304</v>
      </c>
      <c r="K79" s="29">
        <f>I73+I74-2</f>
        <v>55</v>
      </c>
      <c r="L79" s="29">
        <f>_xlfn.T.DIST.RT(J79,K79)</f>
        <v>0.36947141061772271</v>
      </c>
      <c r="M79" s="29">
        <f>_xlfn.T.INV.2T(M77*2,K79)</f>
        <v>1.673033965289912</v>
      </c>
      <c r="N79" s="29"/>
      <c r="O79" s="29"/>
      <c r="P79" s="278" t="str">
        <f>IF(L79&lt;M77,"yes","no")</f>
        <v>no</v>
      </c>
      <c r="Q79" s="29">
        <f>SQRT(J79^2/(J79^2+K79))</f>
        <v>4.5117600339328247E-2</v>
      </c>
      <c r="R79" s="29"/>
      <c r="S79" s="29" t="s">
        <v>312</v>
      </c>
      <c r="T79" s="246">
        <f>T72*U72/2</f>
        <v>301</v>
      </c>
      <c r="U79" s="29"/>
      <c r="V79" s="29"/>
      <c r="W79" s="29"/>
      <c r="X79" s="29"/>
      <c r="Y79" s="29"/>
      <c r="AE79">
        <v>0.9</v>
      </c>
      <c r="AF79">
        <v>0.17337265787647529</v>
      </c>
    </row>
    <row r="80" spans="3:36" x14ac:dyDescent="0.3">
      <c r="C80" s="6">
        <v>0.76696927899686518</v>
      </c>
      <c r="D80" s="6">
        <v>0.39810402749999996</v>
      </c>
      <c r="E80" s="6">
        <v>6.2262537610735469E-2</v>
      </c>
      <c r="F80" s="6">
        <v>3.7696592471559057E-2</v>
      </c>
      <c r="H80" s="29" t="s">
        <v>409</v>
      </c>
      <c r="I80" s="29">
        <f>I79</f>
        <v>8.8796146419029554E-2</v>
      </c>
      <c r="J80" s="29">
        <f t="shared" ref="J80:K80" si="5">J79</f>
        <v>0.33494215680933304</v>
      </c>
      <c r="K80" s="29">
        <f t="shared" si="5"/>
        <v>55</v>
      </c>
      <c r="L80" s="29">
        <f>_xlfn.T.DIST.2T(J80,K80)</f>
        <v>0.73894282123544541</v>
      </c>
      <c r="M80" s="29">
        <f>_xlfn.T.INV.2T(M77,K80)</f>
        <v>2.0040447832891455</v>
      </c>
      <c r="N80" s="29">
        <f>(J73-J74)-M80*I80</f>
        <v>-0.2076930268051824</v>
      </c>
      <c r="O80" s="29">
        <f>(J73-J74)+M80*I80</f>
        <v>0.14820988120928821</v>
      </c>
      <c r="P80" s="278" t="str">
        <f>IF(L80&lt;M77,"yes","no")</f>
        <v>no</v>
      </c>
      <c r="Q80" s="29">
        <f>Q79</f>
        <v>4.5117600339328247E-2</v>
      </c>
      <c r="R80" s="29"/>
      <c r="S80" s="29" t="s">
        <v>499</v>
      </c>
      <c r="T80" s="246">
        <f>SQRT(T79*(T72+U72+1)/6*(1-[3]!TiesCorrection(C70:C119,D70:D119,2)/((T72+U72)^3-T72-U72)))</f>
        <v>53.941326148572458</v>
      </c>
      <c r="U80" s="29" t="s">
        <v>500</v>
      </c>
      <c r="V80" s="29"/>
      <c r="W80" s="29"/>
      <c r="X80" s="29"/>
      <c r="Y80" s="29"/>
      <c r="AE80">
        <v>1.1000000000000001</v>
      </c>
      <c r="AF80">
        <v>0.17459403192227649</v>
      </c>
    </row>
    <row r="81" spans="3:32" x14ac:dyDescent="0.3">
      <c r="C81" s="6">
        <v>0.9521632653061225</v>
      </c>
      <c r="D81" s="6">
        <v>0.39972881100000007</v>
      </c>
      <c r="E81" s="6">
        <v>7.2402933399040484E-2</v>
      </c>
      <c r="F81" s="6">
        <v>3.7795969680141574E-2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29"/>
      <c r="S81" s="29" t="s">
        <v>501</v>
      </c>
      <c r="T81" s="246">
        <f>ABS(ABS(T78-T79)-1/2)/T80</f>
        <v>1.3069756536170323</v>
      </c>
      <c r="U81" s="29" t="s">
        <v>502</v>
      </c>
      <c r="V81" s="29"/>
      <c r="W81" s="29"/>
      <c r="X81" s="29"/>
      <c r="Y81" s="29"/>
      <c r="AE81">
        <v>1.3</v>
      </c>
      <c r="AF81">
        <v>0.17746009715475389</v>
      </c>
    </row>
    <row r="82" spans="3:32" ht="15" thickBot="1" x14ac:dyDescent="0.35">
      <c r="C82" s="6">
        <v>1.2829797101449278</v>
      </c>
      <c r="D82" s="6">
        <v>0.40098777150000003</v>
      </c>
      <c r="E82" s="6">
        <v>7.9849980101984533E-2</v>
      </c>
      <c r="F82" s="6">
        <v>3.8113118845363961E-2</v>
      </c>
      <c r="H82" s="29" t="s">
        <v>410</v>
      </c>
      <c r="I82" s="29"/>
      <c r="J82" s="29"/>
      <c r="K82" s="29"/>
      <c r="L82" s="29" t="s">
        <v>288</v>
      </c>
      <c r="M82" s="29">
        <f>M77</f>
        <v>0.05</v>
      </c>
      <c r="N82" s="29"/>
      <c r="O82" s="29"/>
      <c r="P82" s="29"/>
      <c r="Q82" s="29"/>
      <c r="R82" s="29"/>
      <c r="S82" s="29" t="s">
        <v>407</v>
      </c>
      <c r="T82" s="246">
        <f>T81/SQRT(T72+U72)</f>
        <v>0.17311315431119939</v>
      </c>
      <c r="U82" s="29"/>
      <c r="V82" s="29"/>
      <c r="W82" s="29"/>
      <c r="X82" s="29"/>
      <c r="Y82" s="29"/>
      <c r="AE82">
        <v>1.3</v>
      </c>
      <c r="AF82">
        <v>0.17793893129771041</v>
      </c>
    </row>
    <row r="83" spans="3:32" ht="15" thickTop="1" x14ac:dyDescent="0.3">
      <c r="C83" s="6">
        <v>1.4832898461538457</v>
      </c>
      <c r="D83" s="6">
        <v>0.40148592124999999</v>
      </c>
      <c r="E83" s="6">
        <v>8.7234937356820544E-2</v>
      </c>
      <c r="F83" s="6">
        <v>3.918210947901022E-2</v>
      </c>
      <c r="H83" s="191" t="s">
        <v>400</v>
      </c>
      <c r="I83" s="191" t="s">
        <v>401</v>
      </c>
      <c r="J83" s="191" t="s">
        <v>402</v>
      </c>
      <c r="K83" s="191" t="s">
        <v>205</v>
      </c>
      <c r="L83" s="191" t="s">
        <v>311</v>
      </c>
      <c r="M83" s="191" t="s">
        <v>403</v>
      </c>
      <c r="N83" s="191" t="s">
        <v>404</v>
      </c>
      <c r="O83" s="191" t="s">
        <v>405</v>
      </c>
      <c r="P83" s="191" t="s">
        <v>406</v>
      </c>
      <c r="Q83" s="191" t="s">
        <v>407</v>
      </c>
      <c r="R83" s="29"/>
      <c r="S83" s="29" t="s">
        <v>503</v>
      </c>
      <c r="T83" s="245">
        <f>1-_xlfn.NORM.S.DIST(T81,TRUE)</f>
        <v>9.5610490117220781E-2</v>
      </c>
      <c r="U83" s="240">
        <f>2*T83</f>
        <v>0.19122098023444156</v>
      </c>
      <c r="V83" s="29"/>
      <c r="W83" s="29"/>
      <c r="X83" s="29"/>
      <c r="Y83" s="29"/>
      <c r="AF83">
        <v>0.18540333796940209</v>
      </c>
    </row>
    <row r="84" spans="3:32" x14ac:dyDescent="0.3">
      <c r="C84" s="6"/>
      <c r="D84" s="6">
        <v>0.40233430800000008</v>
      </c>
      <c r="E84" s="6">
        <v>8.7513764373956471E-2</v>
      </c>
      <c r="F84" s="6">
        <v>4.2428148356665175E-2</v>
      </c>
      <c r="H84" s="29" t="s">
        <v>408</v>
      </c>
      <c r="I84" s="29">
        <f>SQRT(K73/I73+K74/I74)</f>
        <v>0.12102930094146321</v>
      </c>
      <c r="J84" s="29">
        <f>(ABS(J73-J74-L71))/I84</f>
        <v>0.24573861508406003</v>
      </c>
      <c r="K84" s="29">
        <f>(K73/I73+K74/I74)^2/((K73/I73)^2/(I73-1)+(K74/I74)^2/(I74-1))</f>
        <v>15.338325482158643</v>
      </c>
      <c r="L84" s="29">
        <f>[3]!T_DIST_RT(J84,K84)</f>
        <v>0.40457124393177091</v>
      </c>
      <c r="M84" s="29">
        <f>[3]!T_INV(1-M82,K84)</f>
        <v>1.7505146545899202</v>
      </c>
      <c r="N84" s="29"/>
      <c r="O84" s="29"/>
      <c r="P84" s="278" t="str">
        <f>IF(L84&lt;M82,"yes","no")</f>
        <v>no</v>
      </c>
      <c r="Q84" s="29">
        <f>SQRT(J84^2/(J84^2+K84))</f>
        <v>6.2622614391517589E-2</v>
      </c>
      <c r="R84" s="29"/>
      <c r="S84" s="29" t="s">
        <v>504</v>
      </c>
      <c r="T84" s="246">
        <f>[3]!MWDIST(T78,T72,U72,1)</f>
        <v>9.6760254524772146E-2</v>
      </c>
      <c r="U84" s="242">
        <f>2*T84</f>
        <v>0.19352050904954429</v>
      </c>
      <c r="V84" s="29"/>
      <c r="W84" s="29"/>
      <c r="X84" s="29"/>
      <c r="Y84" s="29"/>
      <c r="AF84">
        <v>0.19148507980569091</v>
      </c>
    </row>
    <row r="85" spans="3:32" x14ac:dyDescent="0.3">
      <c r="C85" s="6"/>
      <c r="D85" s="6">
        <v>0.40514864699999997</v>
      </c>
      <c r="E85" s="6">
        <v>9.0166081752626526E-2</v>
      </c>
      <c r="F85" s="6">
        <v>4.3405416812178091E-2</v>
      </c>
      <c r="H85" s="29" t="s">
        <v>409</v>
      </c>
      <c r="I85" s="29">
        <f>I84</f>
        <v>0.12102930094146321</v>
      </c>
      <c r="J85" s="29">
        <f t="shared" ref="J85:K85" si="6">J84</f>
        <v>0.24573861508406003</v>
      </c>
      <c r="K85" s="29">
        <f t="shared" si="6"/>
        <v>15.338325482158643</v>
      </c>
      <c r="L85" s="29">
        <f>[3]!T_DIST_2T(J85,K85)</f>
        <v>0.80914248786354181</v>
      </c>
      <c r="M85" s="29">
        <f>[3]!T_INV_2T(M82,K85)</f>
        <v>2.1273620184820472</v>
      </c>
      <c r="N85" s="29">
        <f>(J73-J74)-M85*I85</f>
        <v>-0.28721471074424937</v>
      </c>
      <c r="O85" s="29">
        <f>(J73-J74)+M85*I85</f>
        <v>0.22773156514835519</v>
      </c>
      <c r="P85" s="278" t="str">
        <f>IF(L85&lt;M82,"yes","no")</f>
        <v>no</v>
      </c>
      <c r="Q85" s="29">
        <f>Q84</f>
        <v>6.2622614391517589E-2</v>
      </c>
      <c r="R85" s="29"/>
      <c r="S85" s="29" t="s">
        <v>505</v>
      </c>
      <c r="T85" s="247" t="s">
        <v>506</v>
      </c>
      <c r="U85" s="244" t="s">
        <v>506</v>
      </c>
      <c r="V85" s="29"/>
      <c r="W85" s="29"/>
      <c r="X85" s="29"/>
      <c r="Y85" s="29"/>
      <c r="AF85">
        <v>0.19396252602359529</v>
      </c>
    </row>
    <row r="86" spans="3:32" x14ac:dyDescent="0.3">
      <c r="C86" s="6"/>
      <c r="D86" s="6">
        <v>0.41023404289999998</v>
      </c>
      <c r="E86" s="6">
        <v>9.6762345205505432E-2</v>
      </c>
      <c r="F86" s="6">
        <v>4.3976639603474615E-2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29"/>
      <c r="S86" s="29"/>
      <c r="T86" s="29"/>
      <c r="U86" s="29"/>
      <c r="V86" s="29"/>
      <c r="W86" s="29"/>
      <c r="X86" s="29"/>
      <c r="Y86" s="29"/>
      <c r="AF86">
        <v>0.20008344923504959</v>
      </c>
    </row>
    <row r="87" spans="3:32" x14ac:dyDescent="0.3">
      <c r="C87" s="6"/>
      <c r="D87" s="6">
        <v>0.41786165269999997</v>
      </c>
      <c r="E87" s="6">
        <v>0.11493135222832548</v>
      </c>
      <c r="F87" s="6">
        <v>4.4901272246292992E-2</v>
      </c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AF87">
        <v>0.20128383067314409</v>
      </c>
    </row>
    <row r="88" spans="3:32" x14ac:dyDescent="0.3">
      <c r="C88" s="6"/>
      <c r="D88" s="6">
        <v>0.42267935550000019</v>
      </c>
      <c r="E88" s="6">
        <v>0.12347562790813928</v>
      </c>
      <c r="F88" s="6">
        <v>4.5682680721797972E-2</v>
      </c>
      <c r="H88" s="29" t="s">
        <v>393</v>
      </c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 t="s">
        <v>492</v>
      </c>
      <c r="T88" s="29"/>
      <c r="U88" s="29"/>
      <c r="V88" s="29"/>
      <c r="W88" s="29"/>
      <c r="X88" s="29"/>
      <c r="Y88" s="29"/>
      <c r="AF88">
        <v>0.20159611380985409</v>
      </c>
    </row>
    <row r="89" spans="3:32" x14ac:dyDescent="0.3">
      <c r="C89" s="6"/>
      <c r="D89" s="6">
        <v>0.42784458400000008</v>
      </c>
      <c r="E89" s="6">
        <v>0.12458911918068834</v>
      </c>
      <c r="F89" s="6">
        <v>4.5833376719952211E-2</v>
      </c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AF89">
        <v>0.20270645385149219</v>
      </c>
    </row>
    <row r="90" spans="3:32" ht="15" thickBot="1" x14ac:dyDescent="0.35">
      <c r="C90" s="6"/>
      <c r="D90" s="6">
        <v>0.45023746739999998</v>
      </c>
      <c r="E90" s="6">
        <v>0.12494057735673778</v>
      </c>
      <c r="F90" s="6">
        <v>4.8071224637799462E-2</v>
      </c>
      <c r="H90" s="29" t="s">
        <v>394</v>
      </c>
      <c r="I90" s="29"/>
      <c r="J90" s="29"/>
      <c r="K90" s="29" t="s">
        <v>395</v>
      </c>
      <c r="L90" s="29">
        <v>0</v>
      </c>
      <c r="M90" s="29"/>
      <c r="N90" s="29"/>
      <c r="O90" s="29"/>
      <c r="P90" s="29"/>
      <c r="Q90" s="29"/>
      <c r="R90" s="29"/>
      <c r="S90" s="29"/>
      <c r="T90" s="29" t="str">
        <f>E69</f>
        <v>MEDA</v>
      </c>
      <c r="U90" s="29" t="str">
        <f>F69</f>
        <v>N-SBR</v>
      </c>
      <c r="V90" s="29"/>
      <c r="W90" s="29"/>
      <c r="X90" s="29"/>
      <c r="Y90" s="29"/>
      <c r="AF90">
        <v>0.20321998612074921</v>
      </c>
    </row>
    <row r="91" spans="3:32" ht="15" thickTop="1" x14ac:dyDescent="0.3">
      <c r="C91" s="6"/>
      <c r="D91" s="6">
        <v>0.62958412799999985</v>
      </c>
      <c r="E91" s="6">
        <v>0.130157304</v>
      </c>
      <c r="F91" s="6">
        <v>4.8133304474823904E-2</v>
      </c>
      <c r="H91" s="191" t="s">
        <v>396</v>
      </c>
      <c r="I91" s="191" t="s">
        <v>290</v>
      </c>
      <c r="J91" s="191" t="s">
        <v>292</v>
      </c>
      <c r="K91" s="191" t="s">
        <v>293</v>
      </c>
      <c r="L91" s="191" t="s">
        <v>397</v>
      </c>
      <c r="M91" s="29"/>
      <c r="N91" s="29"/>
      <c r="O91" s="29"/>
      <c r="P91" s="29"/>
      <c r="Q91" s="29"/>
      <c r="R91" s="29"/>
      <c r="S91" s="29" t="s">
        <v>493</v>
      </c>
      <c r="T91" s="239">
        <f>COUNT(E70:E111)</f>
        <v>42</v>
      </c>
      <c r="U91" s="240">
        <f>COUNT(F70:F119)</f>
        <v>50</v>
      </c>
      <c r="V91" s="29"/>
      <c r="W91" s="29"/>
      <c r="X91" s="29"/>
      <c r="Y91" s="29"/>
      <c r="AF91">
        <v>0.20868147120055491</v>
      </c>
    </row>
    <row r="92" spans="3:32" x14ac:dyDescent="0.3">
      <c r="C92" s="6"/>
      <c r="D92" s="6">
        <v>0.67039440300000019</v>
      </c>
      <c r="E92" s="6">
        <v>0.13945651572353823</v>
      </c>
      <c r="F92" s="6">
        <v>4.8174012749103712E-2</v>
      </c>
      <c r="H92" s="29" t="str">
        <f>E69</f>
        <v>MEDA</v>
      </c>
      <c r="I92" s="29">
        <f>COUNT(E70:E111)</f>
        <v>42</v>
      </c>
      <c r="J92" s="29">
        <f>AVERAGE(E70:E111)</f>
        <v>0.17148299998996941</v>
      </c>
      <c r="K92" s="29">
        <f>_xlfn.VAR.S(E70:E111)</f>
        <v>1.6730919399900387E-2</v>
      </c>
      <c r="L92" s="29"/>
      <c r="M92" s="29"/>
      <c r="N92" s="29"/>
      <c r="O92" s="29"/>
      <c r="P92" s="29"/>
      <c r="Q92" s="29"/>
      <c r="R92" s="29"/>
      <c r="S92" s="29" t="s">
        <v>494</v>
      </c>
      <c r="T92" s="241">
        <f>MEDIAN(E70:E111)</f>
        <v>0.12754894067836889</v>
      </c>
      <c r="U92" s="242">
        <f>MEDIAN(F70:F119)</f>
        <v>5.2808925548791921E-2</v>
      </c>
      <c r="V92" s="29"/>
      <c r="W92" s="29"/>
      <c r="X92" s="29"/>
      <c r="Y92" s="29"/>
      <c r="AF92">
        <v>0.2129701596113808</v>
      </c>
    </row>
    <row r="93" spans="3:32" x14ac:dyDescent="0.3">
      <c r="C93" s="6"/>
      <c r="D93" s="6">
        <v>0.69172625200000004</v>
      </c>
      <c r="E93" s="6">
        <v>0.17878560428969345</v>
      </c>
      <c r="F93" s="6">
        <v>4.9185632085794101E-2</v>
      </c>
      <c r="H93" s="29" t="str">
        <f>F69</f>
        <v>N-SBR</v>
      </c>
      <c r="I93" s="29">
        <f>COUNT(F70:F119)</f>
        <v>50</v>
      </c>
      <c r="J93" s="29">
        <f>AVERAGE(F70:F119)</f>
        <v>7.345121203063594E-2</v>
      </c>
      <c r="K93" s="29">
        <f>_xlfn.VAR.S(F70:F119)</f>
        <v>4.6018107705099219E-3</v>
      </c>
      <c r="L93" s="29"/>
      <c r="M93" s="29"/>
      <c r="N93" s="29"/>
      <c r="O93" s="29"/>
      <c r="P93" s="29"/>
      <c r="Q93" s="29"/>
      <c r="R93" s="29"/>
      <c r="S93" s="29" t="s">
        <v>495</v>
      </c>
      <c r="T93" s="241">
        <f>[3]!RANK_SUM(E70:E111,F70:F119,1)</f>
        <v>2456</v>
      </c>
      <c r="U93" s="242">
        <f>[3]!RANK_SUM(F70:F119,E70:E111,1)</f>
        <v>1822</v>
      </c>
      <c r="V93" s="29"/>
      <c r="W93" s="29"/>
      <c r="X93" s="29"/>
      <c r="Y93" s="29"/>
      <c r="AF93">
        <v>0.22548230395558641</v>
      </c>
    </row>
    <row r="94" spans="3:32" x14ac:dyDescent="0.3">
      <c r="C94" s="6"/>
      <c r="D94" s="6">
        <v>0.71222391500000004</v>
      </c>
      <c r="E94" s="6">
        <v>0.19188711544185566</v>
      </c>
      <c r="F94" s="6">
        <v>5.1422584931130173E-2</v>
      </c>
      <c r="H94" s="8" t="s">
        <v>398</v>
      </c>
      <c r="I94" s="8"/>
      <c r="J94" s="8"/>
      <c r="K94" s="8">
        <f>((I92-1)*K92+(I93-1)*K93)/(I92+I93-2)</f>
        <v>1.0127293590565578E-2</v>
      </c>
      <c r="L94" s="8">
        <f>ABS(J92-J93-L90)/SQRT(K94)</f>
        <v>0.97413741328880687</v>
      </c>
      <c r="M94" s="29"/>
      <c r="N94" s="29"/>
      <c r="O94" s="29"/>
      <c r="P94" s="29"/>
      <c r="Q94" s="29"/>
      <c r="R94" s="29"/>
      <c r="S94" s="29" t="s">
        <v>496</v>
      </c>
      <c r="T94" s="243">
        <f>T91*U91+T91*(T91+1)/2-T93</f>
        <v>547</v>
      </c>
      <c r="U94" s="244">
        <f>T91*U91+U91*(U91+1)/2-U93</f>
        <v>1553</v>
      </c>
      <c r="V94" s="29"/>
      <c r="W94" s="29"/>
      <c r="X94" s="29"/>
      <c r="Y94" s="29"/>
      <c r="AF94">
        <v>0.22548230395558641</v>
      </c>
    </row>
    <row r="95" spans="3:32" x14ac:dyDescent="0.3">
      <c r="C95" s="6"/>
      <c r="D95" s="6">
        <v>0.72490909919999968</v>
      </c>
      <c r="E95" s="6">
        <v>0.1938241224089656</v>
      </c>
      <c r="F95" s="6">
        <v>5.4195266166453669E-2</v>
      </c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AF95">
        <v>0.22621096460791151</v>
      </c>
    </row>
    <row r="96" spans="3:32" ht="15" thickBot="1" x14ac:dyDescent="0.35">
      <c r="C96" s="6"/>
      <c r="D96" s="6">
        <v>0.74295776520000001</v>
      </c>
      <c r="E96" s="6">
        <v>0.20429917922128718</v>
      </c>
      <c r="F96" s="6">
        <v>5.4607634073669142E-2</v>
      </c>
      <c r="H96" s="29" t="s">
        <v>399</v>
      </c>
      <c r="I96" s="29"/>
      <c r="J96" s="29"/>
      <c r="K96" s="29"/>
      <c r="L96" s="29" t="s">
        <v>288</v>
      </c>
      <c r="M96" s="29">
        <v>0.05</v>
      </c>
      <c r="N96" s="29"/>
      <c r="O96" s="29"/>
      <c r="P96" s="29"/>
      <c r="Q96" s="29"/>
      <c r="R96" s="29"/>
      <c r="S96" s="29"/>
      <c r="T96" s="278" t="s">
        <v>497</v>
      </c>
      <c r="U96" s="278" t="s">
        <v>498</v>
      </c>
      <c r="V96" s="29"/>
      <c r="W96" s="29"/>
      <c r="X96" s="29"/>
      <c r="Y96" s="29"/>
      <c r="AF96">
        <v>0.2291880638445522</v>
      </c>
    </row>
    <row r="97" spans="3:43" ht="15" thickTop="1" x14ac:dyDescent="0.3">
      <c r="C97" s="6"/>
      <c r="D97" s="6">
        <v>0.74976772920000023</v>
      </c>
      <c r="E97" s="6">
        <v>0.2166652986203324</v>
      </c>
      <c r="F97" s="6">
        <v>5.7322514718341343E-2</v>
      </c>
      <c r="H97" s="191" t="s">
        <v>400</v>
      </c>
      <c r="I97" s="191" t="s">
        <v>401</v>
      </c>
      <c r="J97" s="191" t="s">
        <v>402</v>
      </c>
      <c r="K97" s="191" t="s">
        <v>205</v>
      </c>
      <c r="L97" s="191" t="s">
        <v>311</v>
      </c>
      <c r="M97" s="191" t="s">
        <v>403</v>
      </c>
      <c r="N97" s="191" t="s">
        <v>404</v>
      </c>
      <c r="O97" s="191" t="s">
        <v>405</v>
      </c>
      <c r="P97" s="191" t="s">
        <v>406</v>
      </c>
      <c r="Q97" s="191" t="s">
        <v>407</v>
      </c>
      <c r="R97" s="29"/>
      <c r="S97" s="29" t="s">
        <v>496</v>
      </c>
      <c r="T97" s="245">
        <f>MIN(T94,U94)</f>
        <v>547</v>
      </c>
      <c r="U97" s="29"/>
      <c r="V97" s="29"/>
      <c r="W97" s="29"/>
      <c r="X97" s="29"/>
      <c r="Y97" s="29"/>
      <c r="AF97">
        <v>0.2322970159611378</v>
      </c>
    </row>
    <row r="98" spans="3:43" x14ac:dyDescent="0.3">
      <c r="C98" s="6"/>
      <c r="D98" s="6">
        <v>0.77900792299999999</v>
      </c>
      <c r="E98" s="6">
        <v>0.22189351829957502</v>
      </c>
      <c r="F98" s="6">
        <v>5.8735797277091474E-2</v>
      </c>
      <c r="H98" s="29" t="s">
        <v>408</v>
      </c>
      <c r="I98" s="29">
        <f>SQRT(K94*(1/I92+1/I93))</f>
        <v>2.1063520828245228E-2</v>
      </c>
      <c r="J98" s="29">
        <f>(ABS(J92-J93-L90))/I98</f>
        <v>4.6541026430812691</v>
      </c>
      <c r="K98" s="29">
        <f>I92+I93-2</f>
        <v>90</v>
      </c>
      <c r="L98" s="29">
        <f>_xlfn.T.DIST.RT(J98,K98)</f>
        <v>5.5755271114475282E-6</v>
      </c>
      <c r="M98" s="29">
        <f>_xlfn.T.INV.2T(M96*2,K98)</f>
        <v>1.661961084030164</v>
      </c>
      <c r="N98" s="29"/>
      <c r="O98" s="29"/>
      <c r="P98" s="278" t="str">
        <f>IF(L98&lt;M96,"yes","no")</f>
        <v>yes</v>
      </c>
      <c r="Q98" s="29">
        <f>SQRT(J98^2/(J98^2+K98))</f>
        <v>0.44043907276344541</v>
      </c>
      <c r="R98" s="29"/>
      <c r="S98" s="29" t="s">
        <v>312</v>
      </c>
      <c r="T98" s="246">
        <f>T91*U91/2</f>
        <v>1050</v>
      </c>
      <c r="U98" s="29"/>
      <c r="V98" s="29"/>
      <c r="W98" s="29"/>
      <c r="X98" s="29"/>
      <c r="Y98" s="29"/>
      <c r="AF98">
        <v>0.26</v>
      </c>
    </row>
    <row r="99" spans="3:43" x14ac:dyDescent="0.3">
      <c r="C99" s="6"/>
      <c r="D99" s="6">
        <v>0.78823994199999992</v>
      </c>
      <c r="E99" s="6">
        <v>0.24269993557438768</v>
      </c>
      <c r="F99" s="6">
        <v>6.6801972546540744E-2</v>
      </c>
      <c r="H99" s="29" t="s">
        <v>409</v>
      </c>
      <c r="I99" s="29">
        <f>I98</f>
        <v>2.1063520828245228E-2</v>
      </c>
      <c r="J99" s="29">
        <f t="shared" ref="J99:K99" si="7">J98</f>
        <v>4.6541026430812691</v>
      </c>
      <c r="K99" s="29">
        <f t="shared" si="7"/>
        <v>90</v>
      </c>
      <c r="L99" s="29">
        <f>_xlfn.T.DIST.2T(J99,K99)</f>
        <v>1.1151054222895056E-5</v>
      </c>
      <c r="M99" s="29">
        <f>_xlfn.T.INV.2T(M96,K99)</f>
        <v>1.986674540703772</v>
      </c>
      <c r="N99" s="29">
        <f>(J92-J93)-M99*I99</f>
        <v>5.6185427392275042E-2</v>
      </c>
      <c r="O99" s="29">
        <f>(J92-J93)+M99*I99</f>
        <v>0.13987814852639191</v>
      </c>
      <c r="P99" s="278" t="str">
        <f>IF(L99&lt;M96,"yes","no")</f>
        <v>yes</v>
      </c>
      <c r="Q99" s="29">
        <f>Q98</f>
        <v>0.44043907276344541</v>
      </c>
      <c r="R99" s="29"/>
      <c r="S99" s="29" t="s">
        <v>499</v>
      </c>
      <c r="T99" s="246">
        <f>SQRT(T98*(T91+U91+1)/6*(1-[3]!TiesCorrection(E70:E111,F70:F119,2)/((T91+U91)^3-T91-U91)))</f>
        <v>127.57350822173073</v>
      </c>
      <c r="U99" s="29" t="s">
        <v>500</v>
      </c>
      <c r="V99" s="29"/>
      <c r="W99" s="29"/>
      <c r="X99" s="29"/>
      <c r="Y99" s="29"/>
    </row>
    <row r="100" spans="3:43" x14ac:dyDescent="0.3">
      <c r="C100" s="6"/>
      <c r="D100" s="6">
        <v>0.79016799000000015</v>
      </c>
      <c r="E100" s="6">
        <v>0.24825377147205793</v>
      </c>
      <c r="F100" s="6">
        <v>6.6944397046101792E-2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29"/>
      <c r="S100" s="29" t="s">
        <v>501</v>
      </c>
      <c r="T100" s="246">
        <f>ABS(ABS(T97-T98)-1/2)/T99</f>
        <v>3.9389055533898429</v>
      </c>
      <c r="U100" s="29" t="s">
        <v>502</v>
      </c>
      <c r="V100" s="29"/>
      <c r="W100" s="29"/>
      <c r="X100" s="29"/>
      <c r="Y100" s="29"/>
      <c r="AE100" s="249"/>
      <c r="AF100" s="249"/>
      <c r="AG100" s="249"/>
      <c r="AH100" s="249"/>
      <c r="AI100" s="249"/>
      <c r="AJ100" s="249"/>
      <c r="AK100" s="249"/>
      <c r="AL100" s="249"/>
    </row>
    <row r="101" spans="3:43" ht="15" thickBot="1" x14ac:dyDescent="0.35">
      <c r="C101" s="6"/>
      <c r="D101" s="6">
        <v>0.79604420840000012</v>
      </c>
      <c r="E101" s="6">
        <v>0.25739414898768614</v>
      </c>
      <c r="F101" s="6">
        <v>6.6956840040816729E-2</v>
      </c>
      <c r="H101" s="29" t="s">
        <v>410</v>
      </c>
      <c r="I101" s="29"/>
      <c r="J101" s="29"/>
      <c r="K101" s="29"/>
      <c r="L101" s="29" t="s">
        <v>288</v>
      </c>
      <c r="M101" s="29">
        <f>M96</f>
        <v>0.05</v>
      </c>
      <c r="N101" s="29"/>
      <c r="O101" s="29"/>
      <c r="P101" s="29"/>
      <c r="Q101" s="29"/>
      <c r="R101" s="29"/>
      <c r="S101" s="29" t="s">
        <v>407</v>
      </c>
      <c r="T101" s="246">
        <f>T100/SQRT(T91+U91)</f>
        <v>0.41065929174562049</v>
      </c>
      <c r="U101" s="29"/>
      <c r="V101" s="29"/>
      <c r="W101" s="29"/>
      <c r="X101" s="29"/>
      <c r="Y101" s="29"/>
      <c r="AE101" s="249"/>
      <c r="AF101" s="249"/>
      <c r="AG101" s="249"/>
      <c r="AH101" s="249"/>
      <c r="AI101" s="249"/>
      <c r="AJ101" s="249"/>
      <c r="AK101" s="249"/>
      <c r="AL101" s="249"/>
    </row>
    <row r="102" spans="3:43" ht="15" thickTop="1" x14ac:dyDescent="0.3">
      <c r="C102" s="6"/>
      <c r="D102" s="6">
        <v>0.80254176300000002</v>
      </c>
      <c r="E102" s="6">
        <v>0.2720464548125669</v>
      </c>
      <c r="F102" s="6">
        <v>6.7511887919959102E-2</v>
      </c>
      <c r="H102" s="191" t="s">
        <v>400</v>
      </c>
      <c r="I102" s="191" t="s">
        <v>401</v>
      </c>
      <c r="J102" s="191" t="s">
        <v>402</v>
      </c>
      <c r="K102" s="191" t="s">
        <v>205</v>
      </c>
      <c r="L102" s="191" t="s">
        <v>311</v>
      </c>
      <c r="M102" s="191" t="s">
        <v>403</v>
      </c>
      <c r="N102" s="191" t="s">
        <v>404</v>
      </c>
      <c r="O102" s="191" t="s">
        <v>405</v>
      </c>
      <c r="P102" s="191" t="s">
        <v>406</v>
      </c>
      <c r="Q102" s="191" t="s">
        <v>407</v>
      </c>
      <c r="R102" s="29"/>
      <c r="S102" s="29" t="s">
        <v>503</v>
      </c>
      <c r="T102" s="245">
        <f>1-_xlfn.NORM.S.DIST(T100,TRUE)</f>
        <v>4.0927070885765637E-5</v>
      </c>
      <c r="U102" s="240">
        <f>2*T102</f>
        <v>8.1854141771531275E-5</v>
      </c>
      <c r="V102" s="29"/>
      <c r="W102" s="29"/>
      <c r="X102" s="29"/>
      <c r="Y102" s="29"/>
      <c r="AE102" s="249"/>
      <c r="AF102" s="249"/>
      <c r="AG102" s="249"/>
      <c r="AH102" s="249"/>
      <c r="AI102" s="249"/>
      <c r="AJ102" s="249"/>
      <c r="AK102" s="249"/>
      <c r="AL102" s="249"/>
    </row>
    <row r="103" spans="3:43" x14ac:dyDescent="0.3">
      <c r="C103" s="6"/>
      <c r="D103" s="6">
        <v>0.8132106400000001</v>
      </c>
      <c r="E103" s="6">
        <v>0.28377464524440549</v>
      </c>
      <c r="F103" s="6">
        <v>6.9323207193654701E-2</v>
      </c>
      <c r="H103" s="29" t="s">
        <v>408</v>
      </c>
      <c r="I103" s="29">
        <f>SQRT(K92/I92+K93/I93)</f>
        <v>2.2144783566730799E-2</v>
      </c>
      <c r="J103" s="29">
        <f>(ABS(J92-J93-L90))/I103</f>
        <v>4.426856901261905</v>
      </c>
      <c r="K103" s="29">
        <f>(K92/I92+K93/I93)^2/((K92/I92)^2/(I92-1)+(K93/I93)^2/(I93-1))</f>
        <v>59.477358333724496</v>
      </c>
      <c r="L103" s="29">
        <f>[3]!T_DIST_RT(J103,K103)</f>
        <v>2.0762698439980021E-5</v>
      </c>
      <c r="M103" s="29">
        <f>[3]!T_INV(1-M101,K103)</f>
        <v>1.6708791127626343</v>
      </c>
      <c r="N103" s="29"/>
      <c r="O103" s="29"/>
      <c r="P103" s="278" t="str">
        <f>IF(L103&lt;M101,"yes","no")</f>
        <v>yes</v>
      </c>
      <c r="Q103" s="29">
        <f>SQRT(J103^2/(J103^2+K103))</f>
        <v>0.49782588564902452</v>
      </c>
      <c r="R103" s="29"/>
      <c r="S103" s="29" t="s">
        <v>504</v>
      </c>
      <c r="T103" s="246">
        <f>[3]!MWDIST(T97,T91,U91,1)</f>
        <v>2.7955223190082643E-5</v>
      </c>
      <c r="U103" s="242">
        <f>2*T103</f>
        <v>5.5910446380165285E-5</v>
      </c>
      <c r="V103" s="29"/>
      <c r="W103" s="29"/>
      <c r="X103" s="29"/>
      <c r="Y103" s="29"/>
      <c r="AE103" s="295" t="s">
        <v>568</v>
      </c>
      <c r="AF103" s="295"/>
      <c r="AG103" s="295"/>
      <c r="AH103" s="295"/>
      <c r="AI103" s="295"/>
      <c r="AJ103" s="295"/>
      <c r="AK103" s="295"/>
      <c r="AL103" s="295"/>
    </row>
    <row r="104" spans="3:43" x14ac:dyDescent="0.3">
      <c r="C104" s="6"/>
      <c r="D104" s="6">
        <v>0.81886292000000005</v>
      </c>
      <c r="E104" s="6">
        <v>0.28701505313865194</v>
      </c>
      <c r="F104" s="6">
        <v>6.9820192780505205E-2</v>
      </c>
      <c r="H104" s="29" t="s">
        <v>409</v>
      </c>
      <c r="I104" s="29">
        <f>I103</f>
        <v>2.2144783566730799E-2</v>
      </c>
      <c r="J104" s="29">
        <f t="shared" ref="J104:K104" si="8">J103</f>
        <v>4.426856901261905</v>
      </c>
      <c r="K104" s="29">
        <f t="shared" si="8"/>
        <v>59.477358333724496</v>
      </c>
      <c r="L104" s="29">
        <f>[3]!T_DIST_2T(J104,K104)</f>
        <v>4.1525396879960041E-5</v>
      </c>
      <c r="M104" s="29">
        <f>[3]!T_INV_2T(M101,K104)</f>
        <v>2.0006594090186898</v>
      </c>
      <c r="N104" s="29">
        <f>(J92-J93)-M104*I104</f>
        <v>5.3727618355871039E-2</v>
      </c>
      <c r="O104" s="29">
        <f>(J92-J93)+M104*I104</f>
        <v>0.14233595756279591</v>
      </c>
      <c r="P104" s="278" t="str">
        <f>IF(L104&lt;M101,"yes","no")</f>
        <v>yes</v>
      </c>
      <c r="Q104" s="29">
        <f>Q103</f>
        <v>0.49782588564902452</v>
      </c>
      <c r="R104" s="29"/>
      <c r="S104" s="29" t="s">
        <v>505</v>
      </c>
      <c r="T104" s="247" t="s">
        <v>506</v>
      </c>
      <c r="U104" s="244" t="s">
        <v>506</v>
      </c>
      <c r="V104" s="29"/>
      <c r="W104" s="29"/>
      <c r="X104" s="29"/>
      <c r="Y104" s="29"/>
      <c r="AE104" t="s">
        <v>48</v>
      </c>
      <c r="AF104" t="s">
        <v>46</v>
      </c>
      <c r="AH104" s="12" t="s">
        <v>492</v>
      </c>
      <c r="AI104" s="12"/>
      <c r="AJ104" s="12"/>
      <c r="AK104" s="12"/>
      <c r="AL104" s="12"/>
      <c r="AM104" s="12"/>
      <c r="AN104" s="233"/>
      <c r="AO104" s="12"/>
      <c r="AP104" s="12"/>
      <c r="AQ104" s="12"/>
    </row>
    <row r="105" spans="3:43" x14ac:dyDescent="0.3">
      <c r="C105" s="6"/>
      <c r="D105" s="6">
        <v>0.82220626399999996</v>
      </c>
      <c r="E105" s="6">
        <v>0.33518976097747766</v>
      </c>
      <c r="F105" s="6">
        <v>7.1999253338919045E-2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29"/>
      <c r="S105" s="29"/>
      <c r="T105" s="29"/>
      <c r="U105" s="29"/>
      <c r="V105" s="29"/>
      <c r="W105" s="29"/>
      <c r="X105" s="29"/>
      <c r="Y105" s="29"/>
      <c r="AE105">
        <v>51.12</v>
      </c>
      <c r="AF105">
        <v>88.52</v>
      </c>
      <c r="AH105" s="12"/>
      <c r="AI105" s="12"/>
      <c r="AJ105" s="12"/>
      <c r="AK105" s="12"/>
      <c r="AL105" s="12"/>
      <c r="AM105" s="12"/>
      <c r="AN105" s="233"/>
      <c r="AO105" s="12"/>
      <c r="AP105" s="12"/>
      <c r="AQ105" s="12"/>
    </row>
    <row r="106" spans="3:43" x14ac:dyDescent="0.3">
      <c r="C106" s="6"/>
      <c r="D106" s="6">
        <v>0.83093187599999974</v>
      </c>
      <c r="E106" s="6">
        <v>0.33705261162590872</v>
      </c>
      <c r="F106" s="6">
        <v>7.3774297161872893E-2</v>
      </c>
      <c r="AE106">
        <v>66.33</v>
      </c>
      <c r="AF106">
        <v>114.57</v>
      </c>
      <c r="AH106" s="12"/>
      <c r="AI106" s="12" t="str">
        <f>AE104</f>
        <v>G-SBR</v>
      </c>
      <c r="AJ106" s="12" t="str">
        <f>AF104</f>
        <v>S-SBR</v>
      </c>
      <c r="AK106" s="12"/>
      <c r="AL106" s="12"/>
      <c r="AM106" s="12"/>
      <c r="AN106" s="233"/>
      <c r="AO106" s="12"/>
      <c r="AP106" s="12"/>
      <c r="AQ106" s="12"/>
    </row>
    <row r="107" spans="3:43" x14ac:dyDescent="0.3">
      <c r="C107" s="6"/>
      <c r="D107" s="6">
        <v>0.8464472959999999</v>
      </c>
      <c r="E107" s="6">
        <v>0.35598465933914752</v>
      </c>
      <c r="F107" s="6">
        <v>7.392458738850996E-2</v>
      </c>
      <c r="AE107">
        <v>69.62</v>
      </c>
      <c r="AF107">
        <v>122.37</v>
      </c>
      <c r="AH107" s="262" t="s">
        <v>493</v>
      </c>
      <c r="AI107" s="264">
        <f>COUNT(AE105:AE148)</f>
        <v>30</v>
      </c>
      <c r="AJ107" s="265">
        <f>COUNT(AF105:AF148)</f>
        <v>44</v>
      </c>
      <c r="AK107" s="262"/>
      <c r="AL107" s="262"/>
      <c r="AM107" s="12"/>
      <c r="AN107" s="233"/>
      <c r="AO107" s="12"/>
      <c r="AP107" s="12"/>
      <c r="AQ107" s="12"/>
    </row>
    <row r="108" spans="3:43" x14ac:dyDescent="0.3">
      <c r="C108" s="6"/>
      <c r="D108" s="6">
        <v>0.85961029799999999</v>
      </c>
      <c r="E108" s="6">
        <v>0.40323739105071432</v>
      </c>
      <c r="F108" s="6">
        <v>7.4335550826836974E-2</v>
      </c>
      <c r="AE108">
        <v>107.67</v>
      </c>
      <c r="AF108">
        <v>125.24</v>
      </c>
      <c r="AH108" s="12" t="s">
        <v>494</v>
      </c>
      <c r="AI108" s="241">
        <f>MEDIAN(AE105:AE148)</f>
        <v>244.13500000000002</v>
      </c>
      <c r="AJ108" s="242">
        <f>MEDIAN(AF105:AF148)</f>
        <v>153.33499999999998</v>
      </c>
      <c r="AK108" s="12"/>
      <c r="AL108" s="12"/>
      <c r="AM108" s="12"/>
      <c r="AN108" s="233"/>
      <c r="AO108" s="12"/>
      <c r="AP108" s="12"/>
      <c r="AQ108" s="12"/>
    </row>
    <row r="109" spans="3:43" x14ac:dyDescent="0.3">
      <c r="C109" s="6"/>
      <c r="D109" s="6">
        <v>0.90862898399999981</v>
      </c>
      <c r="E109" s="6">
        <v>0.41329835149059879</v>
      </c>
      <c r="F109" s="6">
        <v>7.5355600963517858E-2</v>
      </c>
      <c r="AE109">
        <v>114.03</v>
      </c>
      <c r="AF109">
        <v>126.74</v>
      </c>
      <c r="AH109" s="12" t="s">
        <v>495</v>
      </c>
      <c r="AI109" s="241" t="e">
        <f ca="1">[4]!RANK_SUM(AE105:AE148,AF105:AF148,1)</f>
        <v>#NAME?</v>
      </c>
      <c r="AJ109" s="242" t="e">
        <f ca="1">[4]!RANK_SUM(AF105:AF148,AE105:AE148,1)</f>
        <v>#NAME?</v>
      </c>
      <c r="AK109" s="12"/>
      <c r="AL109" s="12"/>
      <c r="AM109" s="12"/>
      <c r="AN109" s="233"/>
      <c r="AO109" s="12"/>
      <c r="AP109" s="12"/>
      <c r="AQ109" s="12"/>
    </row>
    <row r="110" spans="3:43" x14ac:dyDescent="0.3">
      <c r="C110" s="6"/>
      <c r="D110" s="6">
        <v>0.92741764799999993</v>
      </c>
      <c r="E110" s="6">
        <v>0.42986629614067529</v>
      </c>
      <c r="F110" s="6">
        <v>8.0014802586233891E-2</v>
      </c>
      <c r="AE110">
        <v>119.06</v>
      </c>
      <c r="AF110">
        <v>135.72999999999999</v>
      </c>
      <c r="AH110" s="12" t="s">
        <v>496</v>
      </c>
      <c r="AI110" s="243" t="e">
        <f ca="1">AI107*AJ107+AI107*(AI107+1)/2-AI109</f>
        <v>#NAME?</v>
      </c>
      <c r="AJ110" s="244" t="e">
        <f ca="1">AI107*AJ107+AJ107*(AJ107+1)/2-AJ109</f>
        <v>#NAME?</v>
      </c>
      <c r="AK110" s="12"/>
      <c r="AL110" s="12"/>
      <c r="AM110" s="12"/>
      <c r="AN110" s="233"/>
      <c r="AO110" s="12"/>
      <c r="AP110" s="12"/>
      <c r="AQ110" s="12"/>
    </row>
    <row r="111" spans="3:43" x14ac:dyDescent="0.3">
      <c r="C111" s="6"/>
      <c r="D111" s="6">
        <v>0.9299929400000001</v>
      </c>
      <c r="E111" s="6">
        <v>0.47486084158016739</v>
      </c>
      <c r="F111" s="6">
        <v>9.974460958925821E-2</v>
      </c>
      <c r="AE111">
        <v>124.75</v>
      </c>
      <c r="AF111">
        <v>145.22999999999999</v>
      </c>
      <c r="AH111" s="12"/>
      <c r="AI111" s="12"/>
      <c r="AJ111" s="12"/>
      <c r="AK111" s="12"/>
      <c r="AL111" s="12"/>
      <c r="AM111" s="12"/>
      <c r="AN111" s="233"/>
      <c r="AO111" s="12"/>
      <c r="AP111" s="12"/>
      <c r="AQ111" s="12"/>
    </row>
    <row r="112" spans="3:43" x14ac:dyDescent="0.3">
      <c r="C112" s="6"/>
      <c r="D112" s="6">
        <v>0.96334056000000001</v>
      </c>
      <c r="E112" s="6"/>
      <c r="F112" s="6">
        <v>0.1044236387402299</v>
      </c>
      <c r="AE112">
        <v>130.69999999999999</v>
      </c>
      <c r="AF112">
        <v>145.68</v>
      </c>
      <c r="AH112" s="12"/>
      <c r="AI112" s="153" t="s">
        <v>497</v>
      </c>
      <c r="AJ112" s="153" t="s">
        <v>498</v>
      </c>
      <c r="AK112" s="12"/>
      <c r="AL112" s="12"/>
      <c r="AM112" s="12"/>
      <c r="AN112" s="233"/>
      <c r="AO112" s="12"/>
      <c r="AP112" s="12"/>
      <c r="AQ112" s="12"/>
    </row>
    <row r="113" spans="3:43" x14ac:dyDescent="0.3">
      <c r="C113" s="6"/>
      <c r="D113" s="6"/>
      <c r="E113" s="6"/>
      <c r="F113" s="6">
        <v>0.13701874219444932</v>
      </c>
      <c r="AE113">
        <v>134.97</v>
      </c>
      <c r="AF113">
        <v>146.55000000000001</v>
      </c>
      <c r="AH113" s="262" t="s">
        <v>496</v>
      </c>
      <c r="AI113" s="266" t="e">
        <f ca="1">MIN(AI110,AJ110)</f>
        <v>#NAME?</v>
      </c>
      <c r="AJ113" s="262"/>
      <c r="AK113" s="262"/>
      <c r="AL113" s="262"/>
      <c r="AM113" s="262"/>
      <c r="AN113" s="263"/>
      <c r="AO113" s="262"/>
      <c r="AP113" s="262"/>
      <c r="AQ113" s="262"/>
    </row>
    <row r="114" spans="3:43" x14ac:dyDescent="0.3">
      <c r="C114" s="6"/>
      <c r="D114" s="6"/>
      <c r="E114" s="6"/>
      <c r="F114" s="6">
        <v>0.15195327561152502</v>
      </c>
      <c r="AE114">
        <v>161.43</v>
      </c>
      <c r="AF114">
        <v>148.06</v>
      </c>
      <c r="AH114" s="12" t="s">
        <v>312</v>
      </c>
      <c r="AI114" s="246">
        <f>AI107*AJ107/2</f>
        <v>660</v>
      </c>
      <c r="AJ114" s="12"/>
      <c r="AK114" s="12"/>
      <c r="AL114" s="12"/>
      <c r="AM114" s="12"/>
      <c r="AN114" s="233"/>
      <c r="AO114" s="12"/>
      <c r="AP114" s="153"/>
      <c r="AQ114" s="12"/>
    </row>
    <row r="115" spans="3:43" x14ac:dyDescent="0.3">
      <c r="C115" s="6"/>
      <c r="D115" s="6"/>
      <c r="E115" s="6"/>
      <c r="F115" s="6">
        <v>0.1800513803242412</v>
      </c>
      <c r="AE115">
        <v>161.69</v>
      </c>
      <c r="AF115">
        <v>148.19</v>
      </c>
      <c r="AH115" s="12" t="s">
        <v>499</v>
      </c>
      <c r="AI115" s="246" t="e">
        <f ca="1">SQRT(AI114*(AI107+AJ107+1)/6*(1-[4]!TiesCorrection(AE105:AE148,AF105:AF148,2)/((AI107+AJ107)^3-AI107-AJ107)))</f>
        <v>#NAME?</v>
      </c>
      <c r="AJ115" s="12" t="s">
        <v>500</v>
      </c>
      <c r="AK115" s="12"/>
      <c r="AL115" s="12"/>
      <c r="AM115" s="12"/>
      <c r="AN115" s="233"/>
      <c r="AO115" s="12"/>
      <c r="AP115" s="153"/>
      <c r="AQ115" s="12"/>
    </row>
    <row r="116" spans="3:43" x14ac:dyDescent="0.3">
      <c r="C116" s="6"/>
      <c r="D116" s="6"/>
      <c r="E116" s="6"/>
      <c r="F116" s="6">
        <v>0.22571113884366678</v>
      </c>
      <c r="AE116">
        <v>171.06</v>
      </c>
      <c r="AF116">
        <v>148.88999999999999</v>
      </c>
      <c r="AH116" s="12" t="s">
        <v>501</v>
      </c>
      <c r="AI116" s="246" t="e">
        <f ca="1">ABS(ABS(AI113-AI114)-1/2)/AI115</f>
        <v>#NAME?</v>
      </c>
      <c r="AJ116" s="12" t="s">
        <v>502</v>
      </c>
      <c r="AK116" s="12"/>
      <c r="AL116" s="12"/>
      <c r="AM116" s="12"/>
      <c r="AN116" s="233"/>
      <c r="AO116" s="12"/>
      <c r="AP116" s="12"/>
      <c r="AQ116" s="12"/>
    </row>
    <row r="117" spans="3:43" x14ac:dyDescent="0.3">
      <c r="C117" s="6"/>
      <c r="D117" s="6"/>
      <c r="E117" s="6"/>
      <c r="F117" s="6">
        <v>0.227293960324077</v>
      </c>
      <c r="AE117">
        <v>202.32</v>
      </c>
      <c r="AF117">
        <v>149.24</v>
      </c>
      <c r="AH117" s="12" t="s">
        <v>407</v>
      </c>
      <c r="AI117" s="246" t="e">
        <f ca="1">AI116/SQRT(AI107+AJ107)</f>
        <v>#NAME?</v>
      </c>
      <c r="AJ117" s="12"/>
      <c r="AK117" s="12"/>
      <c r="AL117" s="12"/>
      <c r="AM117" s="12"/>
      <c r="AN117" s="233"/>
      <c r="AO117" s="12"/>
      <c r="AP117" s="12"/>
      <c r="AQ117" s="12"/>
    </row>
    <row r="118" spans="3:43" x14ac:dyDescent="0.3">
      <c r="C118" s="6"/>
      <c r="D118" s="6"/>
      <c r="E118" s="6"/>
      <c r="F118" s="6">
        <v>0.28208850304171834</v>
      </c>
      <c r="AE118">
        <v>209.25</v>
      </c>
      <c r="AF118">
        <v>149.53</v>
      </c>
      <c r="AH118" s="262" t="s">
        <v>503</v>
      </c>
      <c r="AI118" s="266" t="e">
        <f ca="1">1-NORMSDIST(AI116)</f>
        <v>#NAME?</v>
      </c>
      <c r="AJ118" s="265" t="e">
        <f ca="1">2*AI118</f>
        <v>#NAME?</v>
      </c>
      <c r="AK118" s="262"/>
      <c r="AL118" s="262"/>
      <c r="AM118" s="262"/>
      <c r="AN118" s="263"/>
      <c r="AO118" s="262"/>
      <c r="AP118" s="262"/>
      <c r="AQ118" s="262"/>
    </row>
    <row r="119" spans="3:43" x14ac:dyDescent="0.3">
      <c r="C119" s="6"/>
      <c r="D119" s="6"/>
      <c r="E119" s="6"/>
      <c r="F119" s="6">
        <v>0.33029028423484624</v>
      </c>
      <c r="AE119">
        <v>223.86</v>
      </c>
      <c r="AF119">
        <v>150.6</v>
      </c>
      <c r="AH119" s="12" t="s">
        <v>504</v>
      </c>
      <c r="AI119" s="246" t="e">
        <f ca="1">[4]!MWDIST(AI113,AI107,AJ107,1)</f>
        <v>#NAME?</v>
      </c>
      <c r="AJ119" s="242" t="e">
        <f ca="1">2*AI119</f>
        <v>#NAME?</v>
      </c>
      <c r="AK119" s="12"/>
      <c r="AL119" s="12"/>
      <c r="AM119" s="12"/>
      <c r="AN119" s="233"/>
      <c r="AO119" s="12"/>
      <c r="AP119" s="153"/>
      <c r="AQ119" s="12"/>
    </row>
    <row r="120" spans="3:43" x14ac:dyDescent="0.3">
      <c r="AE120">
        <v>264.41000000000003</v>
      </c>
      <c r="AF120">
        <v>151.13</v>
      </c>
      <c r="AH120" s="12" t="s">
        <v>505</v>
      </c>
      <c r="AI120" s="247" t="s">
        <v>506</v>
      </c>
      <c r="AJ120" s="244" t="s">
        <v>506</v>
      </c>
      <c r="AK120" s="12"/>
      <c r="AL120" s="12"/>
      <c r="AM120" s="12"/>
      <c r="AN120" s="233"/>
      <c r="AO120" s="12"/>
      <c r="AP120" s="153"/>
      <c r="AQ120" s="12"/>
    </row>
    <row r="121" spans="3:43" x14ac:dyDescent="0.3"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249"/>
      <c r="X121" s="249"/>
      <c r="Y121" s="249"/>
      <c r="Z121" s="249"/>
      <c r="AA121" s="249"/>
      <c r="AE121">
        <v>267.64999999999998</v>
      </c>
      <c r="AF121">
        <v>151.24</v>
      </c>
      <c r="AH121" s="12"/>
      <c r="AI121" s="12"/>
      <c r="AJ121" s="12"/>
      <c r="AK121" s="12"/>
      <c r="AL121" s="12"/>
      <c r="AM121" s="12"/>
      <c r="AN121" s="233"/>
      <c r="AO121" s="12"/>
      <c r="AP121" s="12"/>
      <c r="AQ121" s="12"/>
    </row>
    <row r="122" spans="3:43" x14ac:dyDescent="0.3"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/>
      <c r="W122" s="249"/>
      <c r="X122" s="249"/>
      <c r="Y122" s="249"/>
      <c r="Z122" s="249"/>
      <c r="AA122" s="249"/>
      <c r="AE122">
        <v>269.45</v>
      </c>
      <c r="AF122">
        <v>151.25</v>
      </c>
    </row>
    <row r="123" spans="3:43" x14ac:dyDescent="0.3"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249"/>
      <c r="X123" s="249"/>
      <c r="Y123" s="249"/>
      <c r="Z123" s="249"/>
      <c r="AA123" s="249"/>
      <c r="AE123">
        <v>275.25</v>
      </c>
      <c r="AF123">
        <v>151.28</v>
      </c>
    </row>
    <row r="124" spans="3:43" x14ac:dyDescent="0.3">
      <c r="C124" s="295" t="s">
        <v>583</v>
      </c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E124">
        <v>403.49</v>
      </c>
      <c r="AF124">
        <v>152.27000000000001</v>
      </c>
    </row>
    <row r="125" spans="3:43" x14ac:dyDescent="0.3">
      <c r="C125" t="s">
        <v>48</v>
      </c>
      <c r="D125" t="s">
        <v>46</v>
      </c>
      <c r="E125" t="s">
        <v>491</v>
      </c>
      <c r="F125" t="s">
        <v>600</v>
      </c>
      <c r="H125" t="s">
        <v>393</v>
      </c>
      <c r="S125" t="s">
        <v>492</v>
      </c>
      <c r="AE125">
        <v>432.65</v>
      </c>
      <c r="AF125">
        <v>152.44</v>
      </c>
    </row>
    <row r="126" spans="3:43" x14ac:dyDescent="0.3">
      <c r="C126" s="21">
        <v>0.11090310019469832</v>
      </c>
      <c r="D126" s="21">
        <v>0.48073542686113357</v>
      </c>
      <c r="E126" s="21">
        <v>0.25673955369177776</v>
      </c>
      <c r="F126" s="21">
        <v>0.70698256314019869</v>
      </c>
      <c r="AE126">
        <v>441.89</v>
      </c>
      <c r="AF126">
        <v>153.16</v>
      </c>
    </row>
    <row r="127" spans="3:43" ht="15" thickBot="1" x14ac:dyDescent="0.35">
      <c r="C127" s="21">
        <v>0.11751713632901749</v>
      </c>
      <c r="D127" s="21">
        <v>0.80850649666650443</v>
      </c>
      <c r="E127" s="21">
        <v>0.32289278536281102</v>
      </c>
      <c r="F127" s="21">
        <v>0.74904417147970381</v>
      </c>
      <c r="H127" t="s">
        <v>394</v>
      </c>
      <c r="K127" t="s">
        <v>395</v>
      </c>
      <c r="L127">
        <v>0</v>
      </c>
      <c r="T127" t="str">
        <f>C125</f>
        <v>G-SBR</v>
      </c>
      <c r="U127" t="str">
        <f>D125</f>
        <v>S-SBR</v>
      </c>
      <c r="AE127">
        <v>463.66</v>
      </c>
      <c r="AF127">
        <v>153.51</v>
      </c>
    </row>
    <row r="128" spans="3:43" ht="15" thickTop="1" x14ac:dyDescent="0.3">
      <c r="C128" s="21">
        <v>0.57357336956521732</v>
      </c>
      <c r="D128" s="21">
        <v>0.81270420180837322</v>
      </c>
      <c r="E128" s="21">
        <v>0.36091093940626262</v>
      </c>
      <c r="F128" s="21">
        <v>0.81642854610557669</v>
      </c>
      <c r="H128" s="191" t="s">
        <v>396</v>
      </c>
      <c r="I128" s="191" t="s">
        <v>290</v>
      </c>
      <c r="J128" s="191" t="s">
        <v>292</v>
      </c>
      <c r="K128" s="191" t="s">
        <v>293</v>
      </c>
      <c r="L128" s="191" t="s">
        <v>397</v>
      </c>
      <c r="S128" t="s">
        <v>493</v>
      </c>
      <c r="T128" s="239">
        <f>COUNT(C126:C137)</f>
        <v>12</v>
      </c>
      <c r="U128" s="240">
        <f>COUNT(D126:D169)</f>
        <v>44</v>
      </c>
      <c r="AE128">
        <v>484.84</v>
      </c>
      <c r="AF128">
        <v>153.63999999999999</v>
      </c>
    </row>
    <row r="129" spans="3:32" x14ac:dyDescent="0.3">
      <c r="C129" s="21">
        <v>0.58088471663202679</v>
      </c>
      <c r="D129" s="21">
        <v>0.8233587204874333</v>
      </c>
      <c r="E129" s="21">
        <v>0.36115850507253044</v>
      </c>
      <c r="F129" s="21">
        <v>0.84787570809730095</v>
      </c>
      <c r="H129" t="str">
        <f>C125</f>
        <v>G-SBR</v>
      </c>
      <c r="I129">
        <f>COUNT(C126:C137)</f>
        <v>12</v>
      </c>
      <c r="J129" s="21">
        <f>AVERAGE(C126:C137)</f>
        <v>0.69902490565868458</v>
      </c>
      <c r="K129">
        <f>_xlfn.VAR.S(C126:C137)</f>
        <v>8.9231545970867146E-2</v>
      </c>
      <c r="S129" t="s">
        <v>494</v>
      </c>
      <c r="T129" s="241">
        <f>MEDIAN(C126:C137)</f>
        <v>0.85618643897606472</v>
      </c>
      <c r="U129" s="242">
        <f>MEDIAN(D126:D169)</f>
        <v>0.85169162019846845</v>
      </c>
      <c r="AE129">
        <v>519.74</v>
      </c>
      <c r="AF129">
        <v>154.16</v>
      </c>
    </row>
    <row r="130" spans="3:32" x14ac:dyDescent="0.3">
      <c r="C130" s="21">
        <v>0.77557964055425976</v>
      </c>
      <c r="D130" s="21">
        <v>0.82347100645450522</v>
      </c>
      <c r="E130" s="21">
        <v>0.3616370885779065</v>
      </c>
      <c r="F130" s="21">
        <v>0.84965761511216054</v>
      </c>
      <c r="H130" t="str">
        <f>D125</f>
        <v>S-SBR</v>
      </c>
      <c r="I130">
        <f>COUNT(D126:D169)</f>
        <v>44</v>
      </c>
      <c r="J130" s="21">
        <f>AVERAGE(D126:D169)</f>
        <v>0.8453314880335242</v>
      </c>
      <c r="K130">
        <f>_xlfn.VAR.S(D126:D169)</f>
        <v>3.7605906679627913E-3</v>
      </c>
      <c r="S130" t="s">
        <v>495</v>
      </c>
      <c r="T130" s="241">
        <f>[3]!RANK_SUM(C126:C137,D126:D169,1)</f>
        <v>332</v>
      </c>
      <c r="U130" s="242">
        <f>[3]!RANK_SUM(D126:D169,C126:C137,1)</f>
        <v>1264</v>
      </c>
      <c r="AE130">
        <v>527.66999999999996</v>
      </c>
      <c r="AF130">
        <v>154.61000000000001</v>
      </c>
    </row>
    <row r="131" spans="3:32" x14ac:dyDescent="0.3">
      <c r="C131" s="21">
        <v>0.83505057633498003</v>
      </c>
      <c r="D131" s="21">
        <v>0.8253779039291137</v>
      </c>
      <c r="E131" s="21">
        <v>0.37000647668393782</v>
      </c>
      <c r="F131" s="21">
        <v>0.85895557655954624</v>
      </c>
      <c r="H131" s="8" t="s">
        <v>398</v>
      </c>
      <c r="I131" s="8"/>
      <c r="J131" s="8"/>
      <c r="K131" s="8">
        <f>((I129-1)*K129+(I130-1)*K130)/(I129+I130-2)</f>
        <v>2.117134082225812E-2</v>
      </c>
      <c r="L131" s="8">
        <f>ABS(J129-J130-L127)/SQRT(K131)</f>
        <v>1.0055176165659332</v>
      </c>
      <c r="S131" t="s">
        <v>496</v>
      </c>
      <c r="T131" s="243">
        <f>T128*U128+T128*(T128+1)/2-T130</f>
        <v>274</v>
      </c>
      <c r="U131" s="244">
        <f>T128*U128+U128*(U128+1)/2-U130</f>
        <v>254</v>
      </c>
      <c r="AE131">
        <v>776.75</v>
      </c>
      <c r="AF131">
        <v>154.65</v>
      </c>
    </row>
    <row r="132" spans="3:32" x14ac:dyDescent="0.3">
      <c r="C132" s="21">
        <v>0.87732230161714941</v>
      </c>
      <c r="D132" s="21">
        <v>0.82792416936561597</v>
      </c>
      <c r="E132" s="21">
        <v>0.37620776760341013</v>
      </c>
      <c r="F132" s="21">
        <v>0.85942156705656148</v>
      </c>
      <c r="AE132">
        <v>1156.3</v>
      </c>
      <c r="AF132">
        <v>156.63</v>
      </c>
    </row>
    <row r="133" spans="3:32" ht="15" thickBot="1" x14ac:dyDescent="0.35">
      <c r="C133" s="21">
        <v>0.8802607719540626</v>
      </c>
      <c r="D133" s="21">
        <v>0.82861314961809207</v>
      </c>
      <c r="E133" s="21">
        <v>0.37631378522467634</v>
      </c>
      <c r="F133" s="21">
        <v>0.86749256689791876</v>
      </c>
      <c r="H133" t="s">
        <v>399</v>
      </c>
      <c r="L133" t="s">
        <v>288</v>
      </c>
      <c r="M133">
        <v>0.05</v>
      </c>
      <c r="T133" s="278" t="s">
        <v>497</v>
      </c>
      <c r="U133" s="278" t="s">
        <v>498</v>
      </c>
      <c r="AE133">
        <v>1185.2</v>
      </c>
      <c r="AF133">
        <v>157.54</v>
      </c>
    </row>
    <row r="134" spans="3:32" ht="15" thickTop="1" x14ac:dyDescent="0.3">
      <c r="C134" s="21">
        <v>0.88147200248177449</v>
      </c>
      <c r="D134" s="21">
        <v>0.82904130086696282</v>
      </c>
      <c r="E134" s="21">
        <v>0.3858888428038158</v>
      </c>
      <c r="F134" s="21">
        <v>0.8678564240187856</v>
      </c>
      <c r="H134" s="191" t="s">
        <v>400</v>
      </c>
      <c r="I134" s="191" t="s">
        <v>401</v>
      </c>
      <c r="J134" s="191" t="s">
        <v>402</v>
      </c>
      <c r="K134" s="191" t="s">
        <v>205</v>
      </c>
      <c r="L134" s="191" t="s">
        <v>311</v>
      </c>
      <c r="M134" s="191" t="s">
        <v>403</v>
      </c>
      <c r="N134" s="191" t="s">
        <v>404</v>
      </c>
      <c r="O134" s="191" t="s">
        <v>405</v>
      </c>
      <c r="P134" s="191" t="s">
        <v>406</v>
      </c>
      <c r="Q134" s="191" t="s">
        <v>407</v>
      </c>
      <c r="S134" t="s">
        <v>496</v>
      </c>
      <c r="T134" s="245">
        <f>MIN(T131,U131)</f>
        <v>254</v>
      </c>
      <c r="AE134">
        <v>1187</v>
      </c>
      <c r="AF134">
        <v>159.27000000000001</v>
      </c>
    </row>
    <row r="135" spans="3:32" x14ac:dyDescent="0.3">
      <c r="C135" s="21">
        <v>0.89580641685080931</v>
      </c>
      <c r="D135" s="21">
        <v>0.83268413881542036</v>
      </c>
      <c r="E135" s="21">
        <v>0.38820707906053592</v>
      </c>
      <c r="F135" s="21">
        <v>0.87625692296626623</v>
      </c>
      <c r="H135" t="s">
        <v>408</v>
      </c>
      <c r="I135">
        <f>SQRT(K131*(1/I129+1/I130))</f>
        <v>4.7386129180640467E-2</v>
      </c>
      <c r="J135">
        <f>(ABS(J129-J130-L127))/I135</f>
        <v>3.0875402761239457</v>
      </c>
      <c r="K135">
        <f>I129+I130-2</f>
        <v>54</v>
      </c>
      <c r="L135">
        <f>_xlfn.T.DIST.RT(J135,K135)</f>
        <v>1.5917619648161191E-3</v>
      </c>
      <c r="M135">
        <f>_xlfn.T.INV.2T(M133*2,K135)</f>
        <v>1.6735649063521589</v>
      </c>
      <c r="P135" s="278" t="str">
        <f>IF(L135&lt;M133,"yes","no")</f>
        <v>yes</v>
      </c>
      <c r="Q135">
        <f>SQRT(J135^2/(J135^2+K135))</f>
        <v>0.38735866460580581</v>
      </c>
      <c r="S135" t="s">
        <v>312</v>
      </c>
      <c r="T135" s="246">
        <f>T128*U128/2</f>
        <v>264</v>
      </c>
      <c r="AF135">
        <v>159.53</v>
      </c>
    </row>
    <row r="136" spans="3:32" x14ac:dyDescent="0.3">
      <c r="C136" s="21">
        <v>0.92168082625353998</v>
      </c>
      <c r="D136" s="21">
        <v>0.83278200463116103</v>
      </c>
      <c r="E136" s="21">
        <v>0.41331001166083631</v>
      </c>
      <c r="F136" s="21">
        <v>0.88102999181364883</v>
      </c>
      <c r="H136" t="s">
        <v>409</v>
      </c>
      <c r="I136">
        <f>I135</f>
        <v>4.7386129180640467E-2</v>
      </c>
      <c r="J136" s="29">
        <f t="shared" ref="J136:K136" si="9">J135</f>
        <v>3.0875402761239457</v>
      </c>
      <c r="K136" s="29">
        <f t="shared" si="9"/>
        <v>54</v>
      </c>
      <c r="L136">
        <f>_xlfn.T.DIST.2T(J136,K136)</f>
        <v>3.1835239296322381E-3</v>
      </c>
      <c r="M136">
        <f>_xlfn.T.INV.2T(M133,K136)</f>
        <v>2.0048792881880577</v>
      </c>
      <c r="N136">
        <f>(J129-J130)-M136*I136</f>
        <v>-0.24131005131650943</v>
      </c>
      <c r="O136">
        <f>(J129-J130)+M136*I136</f>
        <v>-5.1303113433169817E-2</v>
      </c>
      <c r="P136" s="278" t="str">
        <f>IF(L136&lt;M133,"yes","no")</f>
        <v>yes</v>
      </c>
      <c r="Q136">
        <f>Q135</f>
        <v>0.38735866460580581</v>
      </c>
      <c r="S136" t="s">
        <v>499</v>
      </c>
      <c r="T136" s="246">
        <f>SQRT(T135*(T128+U128+1)/6*(1-[3]!TiesCorrection(C126:C137,D126:D169,2)/((T128+U128)^3-T128-U128)))</f>
        <v>50.07993610219566</v>
      </c>
      <c r="U136" t="s">
        <v>500</v>
      </c>
      <c r="AF136">
        <v>162.46</v>
      </c>
    </row>
    <row r="137" spans="3:32" x14ac:dyDescent="0.3">
      <c r="C137" s="21">
        <v>0.93824800913667883</v>
      </c>
      <c r="D137" s="21">
        <v>0.8344511941416326</v>
      </c>
      <c r="E137" s="21">
        <v>0.41331627940026999</v>
      </c>
      <c r="F137" s="21">
        <v>0.88394506866416978</v>
      </c>
      <c r="H137" s="8"/>
      <c r="I137" s="8"/>
      <c r="J137" s="8"/>
      <c r="K137" s="8"/>
      <c r="L137" s="8"/>
      <c r="M137" s="8"/>
      <c r="N137" s="8"/>
      <c r="O137" s="8"/>
      <c r="P137" s="8"/>
      <c r="Q137" s="8"/>
      <c r="S137" t="s">
        <v>501</v>
      </c>
      <c r="T137" s="246">
        <f>ABS(ABS(T134-T135)-1/2)/T136</f>
        <v>0.18969672765983203</v>
      </c>
      <c r="U137" t="s">
        <v>502</v>
      </c>
      <c r="AF137">
        <v>162.94</v>
      </c>
    </row>
    <row r="138" spans="3:32" ht="15" thickBot="1" x14ac:dyDescent="0.35">
      <c r="C138" s="21"/>
      <c r="D138" s="21">
        <v>0.8377602654500208</v>
      </c>
      <c r="E138" s="21">
        <v>0.41438445996242596</v>
      </c>
      <c r="F138" s="21">
        <v>0.88613800627301242</v>
      </c>
      <c r="H138" t="s">
        <v>410</v>
      </c>
      <c r="L138" t="s">
        <v>288</v>
      </c>
      <c r="M138">
        <f>M133</f>
        <v>0.05</v>
      </c>
      <c r="S138" t="s">
        <v>407</v>
      </c>
      <c r="T138" s="246">
        <f>T137/SQRT(T128+U128)</f>
        <v>2.5349291510544828E-2</v>
      </c>
      <c r="AF138">
        <v>163.11000000000001</v>
      </c>
    </row>
    <row r="139" spans="3:32" ht="15" thickTop="1" x14ac:dyDescent="0.3">
      <c r="C139" s="21"/>
      <c r="D139" s="21">
        <v>0.83876146788990824</v>
      </c>
      <c r="E139" s="21">
        <v>0.42307678584299152</v>
      </c>
      <c r="F139" s="21">
        <v>0.88618009934305397</v>
      </c>
      <c r="H139" s="191" t="s">
        <v>400</v>
      </c>
      <c r="I139" s="191" t="s">
        <v>401</v>
      </c>
      <c r="J139" s="191" t="s">
        <v>402</v>
      </c>
      <c r="K139" s="191" t="s">
        <v>205</v>
      </c>
      <c r="L139" s="191" t="s">
        <v>311</v>
      </c>
      <c r="M139" s="191" t="s">
        <v>403</v>
      </c>
      <c r="N139" s="191" t="s">
        <v>404</v>
      </c>
      <c r="O139" s="191" t="s">
        <v>405</v>
      </c>
      <c r="P139" s="191" t="s">
        <v>406</v>
      </c>
      <c r="Q139" s="191" t="s">
        <v>407</v>
      </c>
      <c r="S139" t="s">
        <v>503</v>
      </c>
      <c r="T139" s="245">
        <f>1-_xlfn.NORM.S.DIST(T137,TRUE)</f>
        <v>0.42477339260064162</v>
      </c>
      <c r="U139" s="240">
        <f>2*T139</f>
        <v>0.84954678520128324</v>
      </c>
      <c r="AF139">
        <v>164.16</v>
      </c>
    </row>
    <row r="140" spans="3:32" x14ac:dyDescent="0.3">
      <c r="C140" s="21"/>
      <c r="D140" s="21">
        <v>0.83881285680769535</v>
      </c>
      <c r="E140" s="21">
        <v>0.43752558172643685</v>
      </c>
      <c r="F140" s="21">
        <v>0.88967081085307687</v>
      </c>
      <c r="H140" t="s">
        <v>408</v>
      </c>
      <c r="I140">
        <f>SQRT(K129/I129+K130/I130)</f>
        <v>8.6726179057798669E-2</v>
      </c>
      <c r="J140">
        <f>(ABS(J129-J130-L127))/I140</f>
        <v>1.6869944457870512</v>
      </c>
      <c r="K140">
        <f>(K129/I129+K130/I130)^2/((K129/I129)^2/(I129-1)+(K130/I130)^2/(I130-1))</f>
        <v>11.253937970953048</v>
      </c>
      <c r="L140">
        <f>[3]!T_DIST_RT(J140,K140)</f>
        <v>5.9547722318575969E-2</v>
      </c>
      <c r="M140">
        <f>[3]!T_INV(1-M138,K140)</f>
        <v>1.7921837862364525</v>
      </c>
      <c r="P140" s="278" t="str">
        <f>IF(L140&lt;M138,"yes","no")</f>
        <v>no</v>
      </c>
      <c r="Q140">
        <f>SQRT(J140^2/(J140^2+K140))</f>
        <v>0.4492683429270718</v>
      </c>
      <c r="S140" t="s">
        <v>504</v>
      </c>
      <c r="T140" s="246">
        <f>[3]!MWDIST(T134,T128,U128,1)</f>
        <v>0.42575434635311132</v>
      </c>
      <c r="U140" s="242">
        <f>2*T140</f>
        <v>0.85150869270622265</v>
      </c>
      <c r="AF140">
        <v>168.2</v>
      </c>
    </row>
    <row r="141" spans="3:32" x14ac:dyDescent="0.3">
      <c r="C141" s="21"/>
      <c r="D141" s="21">
        <v>0.83979387148094353</v>
      </c>
      <c r="E141" s="21">
        <v>0.44800790837196613</v>
      </c>
      <c r="F141" s="21">
        <v>0.89030616432734133</v>
      </c>
      <c r="H141" t="s">
        <v>409</v>
      </c>
      <c r="I141">
        <f>I140</f>
        <v>8.6726179057798669E-2</v>
      </c>
      <c r="J141" s="29">
        <f t="shared" ref="J141:K141" si="10">J140</f>
        <v>1.6869944457870512</v>
      </c>
      <c r="K141" s="29">
        <f t="shared" si="10"/>
        <v>11.253937970953048</v>
      </c>
      <c r="L141">
        <f>[3]!T_DIST_2T(J141,K141)</f>
        <v>0.11909544463715194</v>
      </c>
      <c r="M141">
        <f>[3]!T_INV_2T(M138,K141)</f>
        <v>2.1949410054581455</v>
      </c>
      <c r="N141">
        <f>(J129-J130)-M141*I141</f>
        <v>-0.33666542903550739</v>
      </c>
      <c r="O141">
        <f>(J129-J130)+M141*I141</f>
        <v>4.4052264285828147E-2</v>
      </c>
      <c r="P141" s="278" t="str">
        <f>IF(L141&lt;M138,"yes","no")</f>
        <v>no</v>
      </c>
      <c r="Q141">
        <f>Q140</f>
        <v>0.4492683429270718</v>
      </c>
      <c r="S141" t="s">
        <v>505</v>
      </c>
      <c r="T141" s="247" t="s">
        <v>506</v>
      </c>
      <c r="U141" s="244" t="s">
        <v>506</v>
      </c>
      <c r="AF141">
        <v>173.1</v>
      </c>
    </row>
    <row r="142" spans="3:32" x14ac:dyDescent="0.3">
      <c r="C142" s="21"/>
      <c r="D142" s="21">
        <v>0.84586639150042042</v>
      </c>
      <c r="E142" s="21">
        <v>0.49469591552754355</v>
      </c>
      <c r="F142" s="21">
        <v>0.89481540930979131</v>
      </c>
      <c r="H142" s="8"/>
      <c r="I142" s="8"/>
      <c r="J142" s="8"/>
      <c r="K142" s="8"/>
      <c r="L142" s="8"/>
      <c r="M142" s="8"/>
      <c r="N142" s="8"/>
      <c r="O142" s="8"/>
      <c r="P142" s="8"/>
      <c r="Q142" s="8"/>
      <c r="AF142">
        <v>174.1</v>
      </c>
    </row>
    <row r="143" spans="3:32" x14ac:dyDescent="0.3">
      <c r="C143" s="21"/>
      <c r="D143" s="21">
        <v>0.8464139199320978</v>
      </c>
      <c r="E143" s="21">
        <v>0.49826492394710692</v>
      </c>
      <c r="F143" s="21">
        <v>0.89725663044304282</v>
      </c>
      <c r="H143" t="s">
        <v>393</v>
      </c>
      <c r="S143" t="s">
        <v>492</v>
      </c>
      <c r="AF143">
        <v>177.07</v>
      </c>
    </row>
    <row r="144" spans="3:32" x14ac:dyDescent="0.3">
      <c r="C144" s="21"/>
      <c r="D144" s="21">
        <v>0.84718950560688333</v>
      </c>
      <c r="E144" s="21">
        <v>0.50342071611253203</v>
      </c>
      <c r="F144" s="21">
        <v>0.8984101399369917</v>
      </c>
      <c r="AF144">
        <v>204.31</v>
      </c>
    </row>
    <row r="145" spans="3:39" ht="15" thickBot="1" x14ac:dyDescent="0.35">
      <c r="C145" s="21"/>
      <c r="D145" s="21">
        <v>0.84773046871259283</v>
      </c>
      <c r="E145" s="21">
        <v>0.50631795269484292</v>
      </c>
      <c r="F145" s="21">
        <v>0.89928768716383201</v>
      </c>
      <c r="H145" t="s">
        <v>394</v>
      </c>
      <c r="K145" t="s">
        <v>395</v>
      </c>
      <c r="L145">
        <v>0</v>
      </c>
      <c r="T145" t="str">
        <f>E125</f>
        <v>MEDA</v>
      </c>
      <c r="U145" t="str">
        <f>F125</f>
        <v>N-SBR</v>
      </c>
      <c r="AF145">
        <v>213.64</v>
      </c>
    </row>
    <row r="146" spans="3:39" ht="15" thickTop="1" x14ac:dyDescent="0.3">
      <c r="C146" s="21"/>
      <c r="D146" s="21">
        <v>0.8483629238754592</v>
      </c>
      <c r="E146" s="21">
        <v>0.52616062609224223</v>
      </c>
      <c r="F146" s="21">
        <v>0.90035240940779904</v>
      </c>
      <c r="H146" s="191" t="s">
        <v>396</v>
      </c>
      <c r="I146" s="191" t="s">
        <v>290</v>
      </c>
      <c r="J146" s="191" t="s">
        <v>292</v>
      </c>
      <c r="K146" s="191" t="s">
        <v>293</v>
      </c>
      <c r="L146" s="191" t="s">
        <v>397</v>
      </c>
      <c r="S146" t="s">
        <v>493</v>
      </c>
      <c r="T146" s="239">
        <f>COUNT(E126:E167)</f>
        <v>42</v>
      </c>
      <c r="U146" s="240">
        <f>COUNT(F126:F184)</f>
        <v>59</v>
      </c>
      <c r="AF146">
        <v>221.11</v>
      </c>
    </row>
    <row r="147" spans="3:39" x14ac:dyDescent="0.3">
      <c r="C147" s="21"/>
      <c r="D147" s="21">
        <v>0.85042819249715795</v>
      </c>
      <c r="E147" s="21">
        <v>0.52700931299988307</v>
      </c>
      <c r="F147" s="21">
        <v>0.9010892748324193</v>
      </c>
      <c r="H147" t="str">
        <f>E125</f>
        <v>MEDA</v>
      </c>
      <c r="I147">
        <f>COUNT(E126:E167)</f>
        <v>42</v>
      </c>
      <c r="J147" s="23">
        <f>AVERAGE(E126:E167)</f>
        <v>0.58639445918401145</v>
      </c>
      <c r="K147">
        <f>_xlfn.VAR.S(E126:E167)</f>
        <v>4.6173376901815132E-2</v>
      </c>
      <c r="S147" t="s">
        <v>494</v>
      </c>
      <c r="T147" s="285">
        <f>MEDIAN(E126:E167)</f>
        <v>0.52658496954606271</v>
      </c>
      <c r="U147" s="286">
        <f>MEDIAN(F126:F184)</f>
        <v>0.91052505010020035</v>
      </c>
      <c r="AF147">
        <v>235.12</v>
      </c>
    </row>
    <row r="148" spans="3:39" x14ac:dyDescent="0.3">
      <c r="C148" s="21"/>
      <c r="D148" s="21">
        <v>0.85295504789977894</v>
      </c>
      <c r="E148" s="21">
        <v>0.54124669343593168</v>
      </c>
      <c r="F148" s="21">
        <v>0.9045295896998371</v>
      </c>
      <c r="H148" t="str">
        <f>F125</f>
        <v>N-SBR</v>
      </c>
      <c r="I148">
        <f>COUNT(F126:F184)</f>
        <v>59</v>
      </c>
      <c r="J148" s="23">
        <f>AVERAGE(F126:F184)</f>
        <v>0.91235096667657278</v>
      </c>
      <c r="K148">
        <f>_xlfn.VAR.S(F126:F184)</f>
        <v>2.7422215036256776E-3</v>
      </c>
      <c r="S148" t="s">
        <v>495</v>
      </c>
      <c r="T148" s="241">
        <f>[3]!RANK_SUM(E126:E167,F126:F184,1)</f>
        <v>1177</v>
      </c>
      <c r="U148" s="242">
        <f>[3]!RANK_SUM(F126:F184,E126:E167,1)</f>
        <v>3974</v>
      </c>
      <c r="AF148">
        <v>447.93</v>
      </c>
    </row>
    <row r="149" spans="3:39" x14ac:dyDescent="0.3">
      <c r="C149" s="21"/>
      <c r="D149" s="21">
        <v>0.85394755903230468</v>
      </c>
      <c r="E149" s="21">
        <v>0.55322031122031123</v>
      </c>
      <c r="F149" s="21">
        <v>0.90526358541142071</v>
      </c>
      <c r="H149" s="8" t="s">
        <v>398</v>
      </c>
      <c r="I149" s="8"/>
      <c r="J149" s="8"/>
      <c r="K149" s="8">
        <f>((I147-1)*K147+(I148-1)*K148)/(I147+I148-2)</f>
        <v>2.072886161802737E-2</v>
      </c>
      <c r="L149" s="8">
        <f>ABS(J147-J148-L145)/SQRT(K149)</f>
        <v>2.263976578861981</v>
      </c>
      <c r="S149" t="s">
        <v>496</v>
      </c>
      <c r="T149" s="243">
        <f>T146*U146+T146*(T146+1)/2-T148</f>
        <v>2204</v>
      </c>
      <c r="U149" s="244">
        <f>T146*U146+U146*(U146+1)/2-U148</f>
        <v>274</v>
      </c>
    </row>
    <row r="150" spans="3:39" x14ac:dyDescent="0.3">
      <c r="C150" s="21"/>
      <c r="D150" s="21">
        <v>0.85443000415405612</v>
      </c>
      <c r="E150" s="21">
        <v>0.55495210022107588</v>
      </c>
      <c r="F150" s="21">
        <v>0.9072571933614848</v>
      </c>
      <c r="AE150" s="249"/>
      <c r="AF150" s="249"/>
      <c r="AG150" s="249"/>
      <c r="AH150" s="249"/>
      <c r="AI150" s="249"/>
      <c r="AJ150" s="249"/>
      <c r="AK150" s="249"/>
      <c r="AL150" s="249"/>
    </row>
    <row r="151" spans="3:39" ht="15" thickBot="1" x14ac:dyDescent="0.35">
      <c r="C151" s="21"/>
      <c r="D151" s="21">
        <v>0.85493146368363004</v>
      </c>
      <c r="E151" s="21">
        <v>0.57489195139851579</v>
      </c>
      <c r="F151" s="21">
        <v>0.90763197586726996</v>
      </c>
      <c r="H151" t="s">
        <v>399</v>
      </c>
      <c r="L151" t="s">
        <v>288</v>
      </c>
      <c r="M151">
        <v>0.05</v>
      </c>
      <c r="T151" s="278" t="s">
        <v>497</v>
      </c>
      <c r="U151" s="278" t="s">
        <v>498</v>
      </c>
      <c r="AE151" s="249"/>
      <c r="AF151" s="249"/>
      <c r="AG151" s="249"/>
      <c r="AH151" s="249"/>
      <c r="AI151" s="249"/>
      <c r="AJ151" s="249"/>
      <c r="AK151" s="249"/>
      <c r="AL151" s="249"/>
    </row>
    <row r="152" spans="3:39" ht="15" thickTop="1" x14ac:dyDescent="0.3">
      <c r="C152" s="21"/>
      <c r="D152" s="21">
        <v>0.8568019609256724</v>
      </c>
      <c r="E152" s="21">
        <v>0.59122014223740915</v>
      </c>
      <c r="F152" s="21">
        <v>0.91004151530877009</v>
      </c>
      <c r="H152" s="191" t="s">
        <v>400</v>
      </c>
      <c r="I152" s="191" t="s">
        <v>401</v>
      </c>
      <c r="J152" s="191" t="s">
        <v>402</v>
      </c>
      <c r="K152" s="191" t="s">
        <v>205</v>
      </c>
      <c r="L152" s="191" t="s">
        <v>311</v>
      </c>
      <c r="M152" s="191" t="s">
        <v>403</v>
      </c>
      <c r="N152" s="191" t="s">
        <v>404</v>
      </c>
      <c r="O152" s="191" t="s">
        <v>405</v>
      </c>
      <c r="P152" s="191" t="s">
        <v>406</v>
      </c>
      <c r="Q152" s="191" t="s">
        <v>407</v>
      </c>
      <c r="S152" t="s">
        <v>496</v>
      </c>
      <c r="T152" s="245">
        <f>MIN(T149,U149)</f>
        <v>274</v>
      </c>
      <c r="AE152" s="249"/>
      <c r="AF152" s="249"/>
      <c r="AG152" s="249"/>
      <c r="AH152" s="249"/>
      <c r="AI152" s="249"/>
      <c r="AJ152" s="249"/>
      <c r="AK152" s="249"/>
      <c r="AL152" s="249"/>
    </row>
    <row r="153" spans="3:39" x14ac:dyDescent="0.3">
      <c r="C153" s="21"/>
      <c r="D153" s="21">
        <v>0.85760200777202067</v>
      </c>
      <c r="E153" s="21">
        <v>0.6013714804828223</v>
      </c>
      <c r="F153" s="21">
        <v>0.91010778785066737</v>
      </c>
      <c r="H153" t="s">
        <v>408</v>
      </c>
      <c r="I153">
        <f>SQRT(K149*(1/I147+1/I148))</f>
        <v>2.9066836116654168E-2</v>
      </c>
      <c r="J153">
        <f>(ABS(J147-J148-L145))/I153</f>
        <v>11.214034653940232</v>
      </c>
      <c r="K153">
        <f>I147+I148-2</f>
        <v>99</v>
      </c>
      <c r="L153">
        <f>_xlfn.T.DIST.RT(J153,K153)</f>
        <v>1.2564197088986083E-19</v>
      </c>
      <c r="M153">
        <f>_xlfn.T.INV.2T(M151*2,K153)</f>
        <v>1.6603911560169928</v>
      </c>
      <c r="P153" s="278" t="str">
        <f>IF(L153&lt;M151,"yes","no")</f>
        <v>yes</v>
      </c>
      <c r="Q153">
        <f>SQRT(J153^2/(J153^2+K153))</f>
        <v>0.74801038108228757</v>
      </c>
      <c r="S153" t="s">
        <v>312</v>
      </c>
      <c r="T153" s="246">
        <f>T146*U146/2</f>
        <v>1239</v>
      </c>
      <c r="AE153" s="295" t="s">
        <v>569</v>
      </c>
      <c r="AF153" s="295"/>
      <c r="AG153" s="295"/>
      <c r="AH153" s="295"/>
      <c r="AI153" s="295"/>
      <c r="AJ153" s="295"/>
      <c r="AK153" s="295"/>
      <c r="AL153" s="295"/>
    </row>
    <row r="154" spans="3:39" x14ac:dyDescent="0.3">
      <c r="C154" s="21"/>
      <c r="D154" s="21">
        <v>0.8579295304300415</v>
      </c>
      <c r="E154" s="21">
        <v>0.69221748938995642</v>
      </c>
      <c r="F154" s="21">
        <v>0.91023159636062867</v>
      </c>
      <c r="H154" t="s">
        <v>409</v>
      </c>
      <c r="I154">
        <f>I153</f>
        <v>2.9066836116654168E-2</v>
      </c>
      <c r="J154" s="29">
        <f t="shared" ref="J154:K154" si="11">J153</f>
        <v>11.214034653940232</v>
      </c>
      <c r="K154" s="29">
        <f t="shared" si="11"/>
        <v>99</v>
      </c>
      <c r="L154">
        <f>_xlfn.T.DIST.2T(J154,K154)</f>
        <v>2.5128394177972165E-19</v>
      </c>
      <c r="M154">
        <f>_xlfn.T.INV.2T(M151,K154)</f>
        <v>1.9842169515864165</v>
      </c>
      <c r="N154">
        <f>(J147-J148)-M154*I154</f>
        <v>-0.38363141644421084</v>
      </c>
      <c r="O154">
        <f>(J147-J148)+M154*I154</f>
        <v>-0.26828159854091183</v>
      </c>
      <c r="P154" s="278" t="str">
        <f>IF(L154&lt;M151,"yes","no")</f>
        <v>yes</v>
      </c>
      <c r="Q154">
        <f>Q153</f>
        <v>0.74801038108228757</v>
      </c>
      <c r="S154" t="s">
        <v>499</v>
      </c>
      <c r="T154" s="246">
        <f>SQRT(T153*(T146+U146+1)/6*(1-[3]!TiesCorrection(E126:E167,F126:F184,2)/((T146+U146)^3-T146-U146)))</f>
        <v>145.13097532918326</v>
      </c>
      <c r="U154" t="s">
        <v>500</v>
      </c>
      <c r="AE154" t="s">
        <v>48</v>
      </c>
      <c r="AF154" t="s">
        <v>46</v>
      </c>
      <c r="AH154" s="12" t="s">
        <v>492</v>
      </c>
      <c r="AI154" s="12"/>
      <c r="AJ154" s="12"/>
      <c r="AK154" s="12"/>
      <c r="AL154" s="12"/>
      <c r="AM154" s="12"/>
    </row>
    <row r="155" spans="3:39" x14ac:dyDescent="0.3">
      <c r="C155" s="21"/>
      <c r="D155" s="21">
        <v>0.85902853870993057</v>
      </c>
      <c r="E155" s="21">
        <v>0.76542582310158758</v>
      </c>
      <c r="F155" s="21">
        <v>0.91052505010020035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S155" t="s">
        <v>501</v>
      </c>
      <c r="T155" s="246">
        <f>ABS(ABS(T152-T153)-1/2)/T154</f>
        <v>6.6457212032947472</v>
      </c>
      <c r="U155" t="s">
        <v>502</v>
      </c>
      <c r="AE155">
        <v>1.1490950876185004E-4</v>
      </c>
      <c r="AF155">
        <v>1.7859933471747819E-5</v>
      </c>
      <c r="AH155" s="12"/>
      <c r="AI155" s="12"/>
      <c r="AJ155" s="12"/>
      <c r="AK155" s="12"/>
      <c r="AL155" s="12"/>
      <c r="AM155" s="12"/>
    </row>
    <row r="156" spans="3:39" ht="15" thickBot="1" x14ac:dyDescent="0.35">
      <c r="C156" s="21"/>
      <c r="D156" s="21">
        <v>0.85916862157394513</v>
      </c>
      <c r="E156" s="21">
        <v>0.79435799284347175</v>
      </c>
      <c r="F156" s="21">
        <v>0.91474084256489041</v>
      </c>
      <c r="H156" t="s">
        <v>410</v>
      </c>
      <c r="L156" t="s">
        <v>288</v>
      </c>
      <c r="M156">
        <f>M151</f>
        <v>0.05</v>
      </c>
      <c r="S156" t="s">
        <v>407</v>
      </c>
      <c r="T156" s="246">
        <f>T155/SQRT(T146+U146)</f>
        <v>0.66127397530453536</v>
      </c>
      <c r="AE156">
        <v>1.2706716166047923E-3</v>
      </c>
      <c r="AF156">
        <v>5.0229170590820614E-5</v>
      </c>
      <c r="AH156" s="12"/>
      <c r="AI156" s="12" t="str">
        <f>AE154</f>
        <v>G-SBR</v>
      </c>
      <c r="AJ156" s="12" t="str">
        <f>AF154</f>
        <v>S-SBR</v>
      </c>
      <c r="AK156" s="12"/>
      <c r="AL156" s="12"/>
      <c r="AM156" s="12"/>
    </row>
    <row r="157" spans="3:39" ht="15" thickTop="1" x14ac:dyDescent="0.3">
      <c r="C157" s="21"/>
      <c r="D157" s="21">
        <v>0.86013621357273473</v>
      </c>
      <c r="E157" s="21">
        <v>0.79465667429071973</v>
      </c>
      <c r="F157" s="21">
        <v>0.91515522581574582</v>
      </c>
      <c r="H157" s="191" t="s">
        <v>400</v>
      </c>
      <c r="I157" s="191" t="s">
        <v>401</v>
      </c>
      <c r="J157" s="191" t="s">
        <v>402</v>
      </c>
      <c r="K157" s="191" t="s">
        <v>205</v>
      </c>
      <c r="L157" s="191" t="s">
        <v>311</v>
      </c>
      <c r="M157" s="191" t="s">
        <v>403</v>
      </c>
      <c r="N157" s="191" t="s">
        <v>404</v>
      </c>
      <c r="O157" s="191" t="s">
        <v>405</v>
      </c>
      <c r="P157" s="191" t="s">
        <v>406</v>
      </c>
      <c r="Q157" s="191" t="s">
        <v>407</v>
      </c>
      <c r="S157" t="s">
        <v>503</v>
      </c>
      <c r="T157" s="245">
        <f>1-_xlfn.NORM.S.DIST(T155,TRUE)</f>
        <v>1.5086820681631252E-11</v>
      </c>
      <c r="U157" s="240">
        <f>2*T157</f>
        <v>3.0173641363262504E-11</v>
      </c>
      <c r="AE157">
        <v>1.4650177289630719E-3</v>
      </c>
      <c r="AF157">
        <v>5.2538254416497009E-5</v>
      </c>
      <c r="AH157" s="262" t="s">
        <v>493</v>
      </c>
      <c r="AI157" s="264">
        <f>COUNT(AE155:AE198)</f>
        <v>12</v>
      </c>
      <c r="AJ157" s="265">
        <f>COUNT(AF155:AF198)</f>
        <v>44</v>
      </c>
      <c r="AK157" s="262"/>
      <c r="AL157" s="262"/>
      <c r="AM157" s="12"/>
    </row>
    <row r="158" spans="3:39" x14ac:dyDescent="0.3">
      <c r="C158" s="21"/>
      <c r="D158" s="21">
        <v>0.86032898241875333</v>
      </c>
      <c r="E158" s="21">
        <v>0.79515348240763006</v>
      </c>
      <c r="F158" s="21">
        <v>0.91813966966096783</v>
      </c>
      <c r="H158" t="s">
        <v>408</v>
      </c>
      <c r="I158">
        <f>SQRT(K147/I147+K148/I148)</f>
        <v>3.3850324182787536E-2</v>
      </c>
      <c r="J158">
        <f>(ABS(J147-J148-L145))/I158</f>
        <v>9.629346700859843</v>
      </c>
      <c r="K158">
        <f>(K147/I147+K148/I148)^2/((K147/I147)^2/(I147-1)+(K148/I148)^2/(I148-1))</f>
        <v>44.48382358683341</v>
      </c>
      <c r="L158">
        <f>[3]!T_DIST_RT(J158,K158)</f>
        <v>9.4368957093138306E-13</v>
      </c>
      <c r="M158">
        <f>[3]!T_INV(1-M156,K158)</f>
        <v>1.6798370668897102</v>
      </c>
      <c r="P158" s="278" t="str">
        <f>IF(L158&lt;M156,"yes","no")</f>
        <v>yes</v>
      </c>
      <c r="Q158">
        <f>SQRT(J158^2/(J158^2+K158))</f>
        <v>0.82206637144206574</v>
      </c>
      <c r="S158" t="s">
        <v>504</v>
      </c>
      <c r="T158" s="246">
        <f>[3]!MWDIST(T152,T146,U146,1)</f>
        <v>2.2130926166815978E-13</v>
      </c>
      <c r="U158" s="242">
        <f>2*T158</f>
        <v>4.4261852333631956E-13</v>
      </c>
      <c r="AE158">
        <v>2.0277400874415801E-2</v>
      </c>
      <c r="AF158">
        <v>5.2934559650631907E-5</v>
      </c>
      <c r="AH158" s="12" t="s">
        <v>494</v>
      </c>
      <c r="AI158" s="241">
        <f>MEDIAN(AE155:AE198)</f>
        <v>5.0723504813041755E-2</v>
      </c>
      <c r="AJ158" s="242">
        <f>MEDIAN(AF155:AF198)</f>
        <v>0.16088944346624362</v>
      </c>
      <c r="AK158" s="12"/>
      <c r="AL158" s="12"/>
      <c r="AM158" s="12"/>
    </row>
    <row r="159" spans="3:39" x14ac:dyDescent="0.3">
      <c r="C159" s="21"/>
      <c r="D159" s="21">
        <v>0.87151345216636622</v>
      </c>
      <c r="E159" s="21">
        <v>0.79574172362681306</v>
      </c>
      <c r="F159" s="21">
        <v>0.91885452123723543</v>
      </c>
      <c r="H159" t="s">
        <v>409</v>
      </c>
      <c r="I159">
        <f>I158</f>
        <v>3.3850324182787536E-2</v>
      </c>
      <c r="J159" s="29">
        <f t="shared" ref="J159:K159" si="12">J158</f>
        <v>9.629346700859843</v>
      </c>
      <c r="K159" s="29">
        <f t="shared" si="12"/>
        <v>44.48382358683341</v>
      </c>
      <c r="L159">
        <f>[3]!T_DIST_2T(J159,K159)</f>
        <v>1.8873791418627661E-12</v>
      </c>
      <c r="M159">
        <f>[3]!T_INV_2T(M156,K159)</f>
        <v>2.0147486431328856</v>
      </c>
      <c r="N159">
        <f>(J147-J148)-M159*I159</f>
        <v>-0.39415640220944081</v>
      </c>
      <c r="O159">
        <f>(J147-J148)+M159*I159</f>
        <v>-0.25775661277568185</v>
      </c>
      <c r="P159" s="278" t="str">
        <f>IF(L159&lt;M156,"yes","no")</f>
        <v>yes</v>
      </c>
      <c r="Q159">
        <f>Q158</f>
        <v>0.82206637144206574</v>
      </c>
      <c r="S159" t="s">
        <v>505</v>
      </c>
      <c r="T159" s="247" t="s">
        <v>506</v>
      </c>
      <c r="U159" s="244" t="s">
        <v>506</v>
      </c>
      <c r="AE159">
        <v>3.9479724560061213E-2</v>
      </c>
      <c r="AF159">
        <v>3.3654746302190603E-3</v>
      </c>
      <c r="AH159" s="12" t="s">
        <v>495</v>
      </c>
      <c r="AI159" s="241" t="e">
        <f ca="1">[4]!RANK_SUM(AE155:AE198,AF155:AF198,1)</f>
        <v>#NAME?</v>
      </c>
      <c r="AJ159" s="242" t="e">
        <f ca="1">[4]!RANK_SUM(AF155:AF198,AE155:AE198,1)</f>
        <v>#NAME?</v>
      </c>
      <c r="AK159" s="12"/>
      <c r="AL159" s="12"/>
      <c r="AM159" s="12"/>
    </row>
    <row r="160" spans="3:39" x14ac:dyDescent="0.3">
      <c r="C160" s="21"/>
      <c r="D160" s="21">
        <v>0.87166700418523024</v>
      </c>
      <c r="E160" s="21">
        <v>0.87321020958705131</v>
      </c>
      <c r="F160" s="21">
        <v>0.92231423290203329</v>
      </c>
      <c r="H160" s="8"/>
      <c r="I160" s="8"/>
      <c r="J160" s="8"/>
      <c r="K160" s="8"/>
      <c r="L160" s="8"/>
      <c r="M160" s="8"/>
      <c r="N160" s="8"/>
      <c r="O160" s="8"/>
      <c r="P160" s="8"/>
      <c r="Q160" s="8"/>
      <c r="AE160">
        <v>4.0094733909166902E-2</v>
      </c>
      <c r="AF160">
        <v>4.1840320339952605E-3</v>
      </c>
      <c r="AH160" s="12" t="s">
        <v>496</v>
      </c>
      <c r="AI160" s="243" t="e">
        <f ca="1">AI157*AJ157+AI157*(AI157+1)/2-AI159</f>
        <v>#NAME?</v>
      </c>
      <c r="AJ160" s="244" t="e">
        <f ca="1">AI157*AJ157+AJ157*(AJ157+1)/2-AJ159</f>
        <v>#NAME?</v>
      </c>
      <c r="AK160" s="12"/>
      <c r="AL160" s="12"/>
      <c r="AM160" s="12"/>
    </row>
    <row r="161" spans="3:43" x14ac:dyDescent="0.3">
      <c r="C161" s="21"/>
      <c r="D161" s="21">
        <v>0.87327615489130439</v>
      </c>
      <c r="E161" s="21">
        <v>0.87921613599568271</v>
      </c>
      <c r="F161" s="21">
        <v>0.92835820895522392</v>
      </c>
      <c r="AE161">
        <v>6.1352275716916607E-2</v>
      </c>
      <c r="AF161">
        <v>4.2021095610751957E-3</v>
      </c>
      <c r="AH161" s="12"/>
      <c r="AI161" s="12"/>
      <c r="AJ161" s="12"/>
      <c r="AK161" s="12"/>
      <c r="AL161" s="12"/>
      <c r="AM161" s="12"/>
    </row>
    <row r="162" spans="3:43" x14ac:dyDescent="0.3">
      <c r="C162" s="21"/>
      <c r="D162" s="21">
        <v>0.87385100836877494</v>
      </c>
      <c r="E162" s="21">
        <v>0.90256896307822887</v>
      </c>
      <c r="F162" s="21">
        <v>0.93383494757063956</v>
      </c>
      <c r="AE162">
        <v>6.7100892895656294E-2</v>
      </c>
      <c r="AF162">
        <v>7.6372523348171425E-3</v>
      </c>
      <c r="AH162" s="12"/>
      <c r="AI162" s="153" t="s">
        <v>497</v>
      </c>
      <c r="AJ162" s="153" t="s">
        <v>498</v>
      </c>
      <c r="AK162" s="12"/>
      <c r="AL162" s="12"/>
      <c r="AM162" s="12"/>
      <c r="AN162" s="233"/>
      <c r="AO162" s="12"/>
      <c r="AP162" s="12"/>
      <c r="AQ162" s="12"/>
    </row>
    <row r="163" spans="3:43" x14ac:dyDescent="0.3">
      <c r="C163" s="21"/>
      <c r="D163" s="21">
        <v>0.88227826161670186</v>
      </c>
      <c r="E163" s="21">
        <v>0.93252553575005015</v>
      </c>
      <c r="F163" s="21">
        <v>0.93392712550607282</v>
      </c>
      <c r="AE163">
        <v>6.9838765536614458E-2</v>
      </c>
      <c r="AF163">
        <v>7.6425034911768441E-3</v>
      </c>
      <c r="AH163" s="262" t="s">
        <v>496</v>
      </c>
      <c r="AI163" s="266" t="e">
        <f ca="1">MIN(AI160,AJ160)</f>
        <v>#NAME?</v>
      </c>
      <c r="AJ163" s="262"/>
      <c r="AK163" s="262"/>
      <c r="AL163" s="262"/>
      <c r="AM163" s="262"/>
      <c r="AN163" s="263"/>
      <c r="AO163" s="262"/>
      <c r="AP163" s="262"/>
      <c r="AQ163" s="262"/>
    </row>
    <row r="164" spans="3:43" x14ac:dyDescent="0.3">
      <c r="C164" s="21"/>
      <c r="D164" s="21">
        <v>0.88680801745295879</v>
      </c>
      <c r="E164" s="21">
        <v>0.9419352690463505</v>
      </c>
      <c r="F164" s="21">
        <v>0.93401712038250939</v>
      </c>
      <c r="AE164">
        <v>9.3153364632237862E-2</v>
      </c>
      <c r="AF164">
        <v>1.5547607800796275E-2</v>
      </c>
      <c r="AH164" s="12" t="s">
        <v>312</v>
      </c>
      <c r="AI164" s="246">
        <f>AI157*AJ157/2</f>
        <v>264</v>
      </c>
      <c r="AJ164" s="12"/>
      <c r="AK164" s="12"/>
      <c r="AL164" s="12"/>
      <c r="AM164" s="12"/>
      <c r="AN164" s="233"/>
      <c r="AO164" s="12"/>
      <c r="AP164" s="153"/>
      <c r="AQ164" s="12"/>
    </row>
    <row r="165" spans="3:43" x14ac:dyDescent="0.3">
      <c r="C165" s="21"/>
      <c r="D165" s="21">
        <v>0.89548050482972574</v>
      </c>
      <c r="E165" s="21">
        <v>0.95362189600768288</v>
      </c>
      <c r="F165" s="21">
        <v>0.93464840024278162</v>
      </c>
      <c r="AE165">
        <v>0.12048546951117084</v>
      </c>
      <c r="AF165">
        <v>1.5892033326447702E-2</v>
      </c>
      <c r="AH165" s="12" t="s">
        <v>499</v>
      </c>
      <c r="AI165" s="246" t="e">
        <f ca="1">SQRT(AI164*(AI157+AJ157+1)/6*(1-[4]!TiesCorrection(AE155:AE198,AF155:AF198,2)/((AI157+AJ157)^3-AI157-AJ157)))</f>
        <v>#NAME?</v>
      </c>
      <c r="AJ165" s="12" t="s">
        <v>500</v>
      </c>
      <c r="AK165" s="12"/>
      <c r="AL165" s="12"/>
      <c r="AM165" s="12"/>
      <c r="AN165" s="233"/>
      <c r="AO165" s="12"/>
      <c r="AP165" s="153"/>
      <c r="AQ165" s="12"/>
    </row>
    <row r="166" spans="3:43" x14ac:dyDescent="0.3">
      <c r="C166" s="21"/>
      <c r="D166" s="21">
        <v>0.89604106602911193</v>
      </c>
      <c r="E166" s="21">
        <v>0.96181586444744338</v>
      </c>
      <c r="F166" s="21">
        <v>0.93607251181491147</v>
      </c>
      <c r="AE166">
        <v>0.36695255963548645</v>
      </c>
      <c r="AF166">
        <v>2.9048889692913027E-2</v>
      </c>
      <c r="AH166" s="12" t="s">
        <v>501</v>
      </c>
      <c r="AI166" s="246" t="e">
        <f ca="1">ABS(ABS(AI163-AI164)-1/2)/AI165</f>
        <v>#NAME?</v>
      </c>
      <c r="AJ166" s="12" t="s">
        <v>502</v>
      </c>
      <c r="AK166" s="12"/>
      <c r="AL166" s="12"/>
      <c r="AM166" s="12"/>
      <c r="AN166" s="233"/>
      <c r="AO166" s="12"/>
      <c r="AP166" s="12"/>
      <c r="AQ166" s="12"/>
    </row>
    <row r="167" spans="3:43" x14ac:dyDescent="0.3">
      <c r="C167" s="21"/>
      <c r="D167" s="21">
        <v>0.90183248584860409</v>
      </c>
      <c r="E167" s="21">
        <v>0.96376424933300997</v>
      </c>
      <c r="F167" s="21">
        <v>0.93734635991175541</v>
      </c>
      <c r="AF167">
        <v>6.7736104835065536E-2</v>
      </c>
      <c r="AH167" s="12" t="s">
        <v>407</v>
      </c>
      <c r="AI167" s="246" t="e">
        <f ca="1">AI166/SQRT(AI157+AJ157)</f>
        <v>#NAME?</v>
      </c>
      <c r="AJ167" s="12"/>
      <c r="AK167" s="12"/>
      <c r="AL167" s="12"/>
      <c r="AM167" s="12"/>
      <c r="AN167" s="233"/>
      <c r="AO167" s="12"/>
      <c r="AP167" s="12"/>
      <c r="AQ167" s="12"/>
    </row>
    <row r="168" spans="3:43" x14ac:dyDescent="0.3">
      <c r="C168" s="21"/>
      <c r="D168" s="21">
        <v>0.90607971541757615</v>
      </c>
      <c r="E168" s="21"/>
      <c r="F168" s="21">
        <v>0.93814901841885845</v>
      </c>
      <c r="AF168">
        <v>7.2981045376220563E-2</v>
      </c>
      <c r="AH168" s="262" t="s">
        <v>503</v>
      </c>
      <c r="AI168" s="266" t="e">
        <f ca="1">1-NORMSDIST(AI166)</f>
        <v>#NAME?</v>
      </c>
      <c r="AJ168" s="265" t="e">
        <f ca="1">2*AI168</f>
        <v>#NAME?</v>
      </c>
      <c r="AK168" s="262"/>
      <c r="AL168" s="262"/>
      <c r="AM168" s="262"/>
      <c r="AN168" s="263"/>
      <c r="AO168" s="262"/>
      <c r="AP168" s="262"/>
      <c r="AQ168" s="262"/>
    </row>
    <row r="169" spans="3:43" x14ac:dyDescent="0.3">
      <c r="C169" s="21"/>
      <c r="D169" s="21">
        <v>0.90772829509671626</v>
      </c>
      <c r="E169" s="21"/>
      <c r="F169" s="21">
        <v>0.94856052435078408</v>
      </c>
      <c r="AF169">
        <v>8.5458418810162542E-2</v>
      </c>
      <c r="AH169" s="12" t="s">
        <v>504</v>
      </c>
      <c r="AI169" s="246" t="e">
        <f ca="1">[4]!MWDIST(AI163,AI157,AJ157,1)</f>
        <v>#NAME?</v>
      </c>
      <c r="AJ169" s="242" t="e">
        <f ca="1">2*AI169</f>
        <v>#NAME?</v>
      </c>
      <c r="AK169" s="12"/>
      <c r="AL169" s="12"/>
      <c r="AM169" s="12"/>
      <c r="AN169" s="233"/>
      <c r="AO169" s="12"/>
      <c r="AP169" s="153"/>
      <c r="AQ169" s="12"/>
    </row>
    <row r="170" spans="3:43" x14ac:dyDescent="0.3">
      <c r="C170" s="21"/>
      <c r="D170" s="21"/>
      <c r="E170" s="21"/>
      <c r="F170" s="21">
        <v>0.94997285348638794</v>
      </c>
      <c r="AF170">
        <v>9.0665921430852767E-2</v>
      </c>
      <c r="AH170" s="12" t="s">
        <v>505</v>
      </c>
      <c r="AI170" s="247" t="s">
        <v>506</v>
      </c>
      <c r="AJ170" s="244" t="s">
        <v>506</v>
      </c>
      <c r="AK170" s="12"/>
      <c r="AL170" s="12"/>
      <c r="AM170" s="12"/>
      <c r="AN170" s="233"/>
      <c r="AO170" s="12"/>
      <c r="AP170" s="153"/>
      <c r="AQ170" s="12"/>
    </row>
    <row r="171" spans="3:43" x14ac:dyDescent="0.3">
      <c r="C171" s="21"/>
      <c r="D171" s="21"/>
      <c r="E171" s="21"/>
      <c r="F171" s="21">
        <v>0.95008029364533153</v>
      </c>
      <c r="AF171">
        <v>0.11050854094268513</v>
      </c>
      <c r="AH171" s="12"/>
      <c r="AI171" s="12"/>
      <c r="AJ171" s="12"/>
      <c r="AK171" s="12"/>
      <c r="AL171" s="12"/>
      <c r="AM171" s="12"/>
      <c r="AN171" s="233"/>
      <c r="AO171" s="12"/>
      <c r="AP171" s="12"/>
      <c r="AQ171" s="12"/>
    </row>
    <row r="172" spans="3:43" x14ac:dyDescent="0.3">
      <c r="C172" s="21"/>
      <c r="D172" s="21"/>
      <c r="E172" s="21"/>
      <c r="F172" s="21">
        <v>0.95507526308778479</v>
      </c>
      <c r="AF172">
        <v>0.11116260326415474</v>
      </c>
    </row>
    <row r="173" spans="3:43" x14ac:dyDescent="0.3">
      <c r="C173" s="21"/>
      <c r="D173" s="21"/>
      <c r="E173" s="21"/>
      <c r="F173" s="21">
        <v>0.95554889022195555</v>
      </c>
      <c r="AF173">
        <v>0.11502230756198115</v>
      </c>
    </row>
    <row r="174" spans="3:43" x14ac:dyDescent="0.3">
      <c r="C174" s="21"/>
      <c r="D174" s="21"/>
      <c r="E174" s="21"/>
      <c r="F174" s="21">
        <v>0.95953637090327737</v>
      </c>
      <c r="AF174">
        <v>0.12566860679289765</v>
      </c>
    </row>
    <row r="175" spans="3:43" x14ac:dyDescent="0.3">
      <c r="C175" s="21"/>
      <c r="D175" s="21"/>
      <c r="E175" s="21"/>
      <c r="F175" s="21">
        <v>0.96645642201834858</v>
      </c>
      <c r="AF175">
        <v>0.13462151394422311</v>
      </c>
    </row>
    <row r="176" spans="3:43" x14ac:dyDescent="0.3">
      <c r="C176" s="21"/>
      <c r="D176" s="21"/>
      <c r="E176" s="21"/>
      <c r="F176" s="21">
        <v>0.97056379821958461</v>
      </c>
      <c r="AF176">
        <v>0.1566134143975163</v>
      </c>
    </row>
    <row r="177" spans="3:32" x14ac:dyDescent="0.3">
      <c r="C177" s="21"/>
      <c r="D177" s="21"/>
      <c r="E177" s="21"/>
      <c r="F177" s="21">
        <v>0.9738688098113909</v>
      </c>
      <c r="AF177">
        <v>0.16516547253497096</v>
      </c>
    </row>
    <row r="178" spans="3:32" x14ac:dyDescent="0.3">
      <c r="C178" s="21"/>
      <c r="D178" s="21"/>
      <c r="E178" s="21"/>
      <c r="F178" s="21">
        <v>0.97483926686498412</v>
      </c>
      <c r="AF178">
        <v>0.17097798189923005</v>
      </c>
    </row>
    <row r="179" spans="3:32" x14ac:dyDescent="0.3">
      <c r="C179" s="21"/>
      <c r="D179" s="21"/>
      <c r="E179" s="21"/>
      <c r="F179" s="21">
        <v>0.97523670166982268</v>
      </c>
      <c r="AF179">
        <v>0.17180820335066435</v>
      </c>
    </row>
    <row r="180" spans="3:32" x14ac:dyDescent="0.3">
      <c r="C180" s="21"/>
      <c r="D180" s="21"/>
      <c r="E180" s="21"/>
      <c r="F180" s="21">
        <v>0.97673687786648544</v>
      </c>
      <c r="AF180">
        <v>0.17353039523841371</v>
      </c>
    </row>
    <row r="181" spans="3:32" x14ac:dyDescent="0.3">
      <c r="C181" s="21"/>
      <c r="D181" s="21"/>
      <c r="E181" s="21"/>
      <c r="F181" s="21">
        <v>0.97951605174892187</v>
      </c>
      <c r="AF181">
        <v>0.20376123744050767</v>
      </c>
    </row>
    <row r="182" spans="3:32" x14ac:dyDescent="0.3">
      <c r="C182" s="21"/>
      <c r="D182" s="21"/>
      <c r="E182" s="21"/>
      <c r="F182" s="21">
        <v>0.98222677036430617</v>
      </c>
      <c r="AF182">
        <v>0.20526638464839678</v>
      </c>
    </row>
    <row r="183" spans="3:32" x14ac:dyDescent="0.3">
      <c r="C183" s="21"/>
      <c r="D183" s="21"/>
      <c r="E183" s="21"/>
      <c r="F183" s="21">
        <v>0.98277564858490563</v>
      </c>
      <c r="AF183">
        <v>0.20638939910784571</v>
      </c>
    </row>
    <row r="184" spans="3:32" x14ac:dyDescent="0.3">
      <c r="C184" s="21"/>
      <c r="D184" s="21"/>
      <c r="E184" s="21"/>
      <c r="F184" s="21">
        <v>0.98811265832743289</v>
      </c>
      <c r="AF184">
        <v>0.2083180987202925</v>
      </c>
    </row>
    <row r="185" spans="3:32" x14ac:dyDescent="0.3">
      <c r="AF185">
        <v>0.21303226659613858</v>
      </c>
    </row>
    <row r="186" spans="3:32" x14ac:dyDescent="0.3"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  <c r="R186" s="249"/>
      <c r="S186" s="249"/>
      <c r="T186" s="249"/>
      <c r="U186" s="249"/>
      <c r="V186" s="249"/>
      <c r="W186" s="249"/>
      <c r="X186" s="249"/>
      <c r="Y186" s="249"/>
      <c r="Z186" s="249"/>
      <c r="AA186" s="249"/>
      <c r="AF186">
        <v>0.21932783454388771</v>
      </c>
    </row>
    <row r="187" spans="3:32" x14ac:dyDescent="0.3"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  <c r="R187" s="249"/>
      <c r="S187" s="249"/>
      <c r="T187" s="249"/>
      <c r="U187" s="249"/>
      <c r="V187" s="249"/>
      <c r="W187" s="249"/>
      <c r="X187" s="249"/>
      <c r="Y187" s="249"/>
      <c r="Z187" s="249"/>
      <c r="AA187" s="249"/>
      <c r="AF187">
        <v>0.23533320304866132</v>
      </c>
    </row>
    <row r="188" spans="3:32" x14ac:dyDescent="0.3"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  <c r="R188" s="249"/>
      <c r="S188" s="249"/>
      <c r="T188" s="249"/>
      <c r="U188" s="249"/>
      <c r="V188" s="249"/>
      <c r="W188" s="249"/>
      <c r="X188" s="249"/>
      <c r="Y188" s="249"/>
      <c r="Z188" s="249"/>
      <c r="AA188" s="249"/>
      <c r="AF188">
        <v>0.23544787814204224</v>
      </c>
    </row>
    <row r="189" spans="3:32" x14ac:dyDescent="0.3">
      <c r="C189" s="295" t="s">
        <v>607</v>
      </c>
      <c r="D189" s="295"/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  <c r="AA189" s="295"/>
      <c r="AF189">
        <v>0.24692137464202032</v>
      </c>
    </row>
    <row r="190" spans="3:32" x14ac:dyDescent="0.3">
      <c r="AF190">
        <v>0.25341739411574526</v>
      </c>
    </row>
    <row r="191" spans="3:32" ht="15" thickBot="1" x14ac:dyDescent="0.35">
      <c r="C191" s="290" t="s">
        <v>48</v>
      </c>
      <c r="D191" s="290" t="s">
        <v>46</v>
      </c>
      <c r="E191" s="290" t="s">
        <v>202</v>
      </c>
      <c r="F191" s="290" t="s">
        <v>600</v>
      </c>
      <c r="H191" s="248" t="s">
        <v>286</v>
      </c>
      <c r="R191" t="s">
        <v>446</v>
      </c>
      <c r="U191" t="s">
        <v>447</v>
      </c>
      <c r="V191">
        <v>0.05</v>
      </c>
      <c r="AF191">
        <v>0.27808121432278154</v>
      </c>
    </row>
    <row r="192" spans="3:32" ht="15" thickTop="1" x14ac:dyDescent="0.3">
      <c r="C192">
        <v>9.7955771715175985E-2</v>
      </c>
      <c r="D192">
        <v>0.47978026572516952</v>
      </c>
      <c r="E192">
        <v>0.21345656192236603</v>
      </c>
      <c r="F192">
        <v>0.70698256314019869</v>
      </c>
      <c r="R192" s="191" t="s">
        <v>448</v>
      </c>
      <c r="S192" s="191" t="s">
        <v>312</v>
      </c>
      <c r="T192" s="191" t="s">
        <v>449</v>
      </c>
      <c r="U192" s="191" t="s">
        <v>450</v>
      </c>
      <c r="V192" s="191" t="s">
        <v>205</v>
      </c>
      <c r="W192" s="191" t="s">
        <v>451</v>
      </c>
      <c r="AF192">
        <v>0.3125646427887378</v>
      </c>
    </row>
    <row r="193" spans="3:38" ht="15" thickBot="1" x14ac:dyDescent="0.35">
      <c r="C193">
        <v>0.10618401206636498</v>
      </c>
      <c r="D193">
        <v>0.84137093509647809</v>
      </c>
      <c r="E193">
        <v>0.28367269984917043</v>
      </c>
      <c r="F193">
        <v>0.74904417147970381</v>
      </c>
      <c r="H193" t="s">
        <v>287</v>
      </c>
      <c r="M193" t="s">
        <v>288</v>
      </c>
      <c r="N193">
        <v>0.05</v>
      </c>
      <c r="R193" t="str">
        <f>C191</f>
        <v>G-SBR</v>
      </c>
      <c r="S193">
        <f>AVERAGE(C192:C250)</f>
        <v>0.72885744960899101</v>
      </c>
      <c r="T193">
        <f>COUNT(C192:C250)</f>
        <v>30</v>
      </c>
      <c r="U193">
        <f>DEVSQ(C192:C250)</f>
        <v>1.7535541287762391</v>
      </c>
      <c r="AF193">
        <v>0.3273008323424495</v>
      </c>
    </row>
    <row r="194" spans="3:38" ht="15" thickTop="1" x14ac:dyDescent="0.3">
      <c r="C194">
        <v>0.11921084704448508</v>
      </c>
      <c r="D194">
        <v>0.84703562781044617</v>
      </c>
      <c r="E194">
        <v>0.36442087752131419</v>
      </c>
      <c r="F194">
        <v>0.81642854610557669</v>
      </c>
      <c r="H194" s="191" t="s">
        <v>289</v>
      </c>
      <c r="I194" s="191" t="s">
        <v>290</v>
      </c>
      <c r="J194" s="191" t="s">
        <v>291</v>
      </c>
      <c r="K194" s="191" t="s">
        <v>292</v>
      </c>
      <c r="L194" s="191" t="s">
        <v>293</v>
      </c>
      <c r="M194" s="191" t="s">
        <v>294</v>
      </c>
      <c r="N194" s="191" t="s">
        <v>295</v>
      </c>
      <c r="O194" s="191" t="s">
        <v>296</v>
      </c>
      <c r="P194" s="191" t="s">
        <v>297</v>
      </c>
      <c r="R194" t="str">
        <f>D191</f>
        <v>S-SBR</v>
      </c>
      <c r="S194">
        <f>AVERAGE(D192:D250)</f>
        <v>0.87266191228428047</v>
      </c>
      <c r="T194">
        <f>COUNT(D192:D250)</f>
        <v>44</v>
      </c>
      <c r="U194">
        <f>DEVSQ(D192:D250)</f>
        <v>0.17195154254840853</v>
      </c>
      <c r="AF194">
        <v>0.34265350877192985</v>
      </c>
    </row>
    <row r="195" spans="3:38" x14ac:dyDescent="0.3">
      <c r="C195">
        <v>0.47055415445436571</v>
      </c>
      <c r="D195">
        <v>0.84812923499950899</v>
      </c>
      <c r="E195">
        <v>0.36826178747361021</v>
      </c>
      <c r="F195">
        <v>0.84787570809730095</v>
      </c>
      <c r="H195" t="str">
        <f>C191</f>
        <v>G-SBR</v>
      </c>
      <c r="I195">
        <f>COUNT(C192:C250)</f>
        <v>30</v>
      </c>
      <c r="J195">
        <f>SUM(C192:C250)</f>
        <v>21.86572348826973</v>
      </c>
      <c r="K195">
        <f>AVERAGE(C192:C250)</f>
        <v>0.72885744960899101</v>
      </c>
      <c r="L195">
        <f>_xlfn.VAR.S(C192:C250)</f>
        <v>6.0467383750905032E-2</v>
      </c>
      <c r="M195">
        <f>DEVSQ(C192:C250)</f>
        <v>1.7535541287762391</v>
      </c>
      <c r="N195">
        <f>SQRT(K203/I195)</f>
        <v>2.8802040550034148E-2</v>
      </c>
      <c r="O195">
        <f>K195-N195*_xlfn.T.INV.2T(N193,J203)</f>
        <v>0.67202437542830706</v>
      </c>
      <c r="P195">
        <f>K195+N195*_xlfn.T.INV.2T(N193,J203)</f>
        <v>0.78569052378967497</v>
      </c>
      <c r="R195" t="str">
        <f>E191</f>
        <v>MEDIA</v>
      </c>
      <c r="S195">
        <f>AVERAGE(E192:E250)</f>
        <v>0.60567773837361427</v>
      </c>
      <c r="T195">
        <f>COUNT(E192:E250)</f>
        <v>51</v>
      </c>
      <c r="U195">
        <f>DEVSQ(E192:E250)</f>
        <v>2.3950561966324453</v>
      </c>
      <c r="AF195">
        <v>0.34376029654036244</v>
      </c>
    </row>
    <row r="196" spans="3:38" x14ac:dyDescent="0.3">
      <c r="C196">
        <v>0.5770180360721443</v>
      </c>
      <c r="D196">
        <v>0.84886813808715345</v>
      </c>
      <c r="E196">
        <v>0.37285714285714289</v>
      </c>
      <c r="F196">
        <v>0.84965761511216054</v>
      </c>
      <c r="H196" t="str">
        <f>D191</f>
        <v>S-SBR</v>
      </c>
      <c r="I196">
        <f>COUNT(D192:D250)</f>
        <v>44</v>
      </c>
      <c r="J196">
        <f>SUM(D192:D250)</f>
        <v>38.397124140508339</v>
      </c>
      <c r="K196">
        <f>AVERAGE(D192:D250)</f>
        <v>0.87266191228428047</v>
      </c>
      <c r="L196">
        <f>_xlfn.VAR.S(D192:D250)</f>
        <v>3.9988730825211288E-3</v>
      </c>
      <c r="M196">
        <f>DEVSQ(D192:D250)</f>
        <v>0.17195154254840853</v>
      </c>
      <c r="N196">
        <f>SQRT(K203/I196)</f>
        <v>2.3782502255465781E-2</v>
      </c>
      <c r="O196">
        <f>K196-N196*_xlfn.T.INV.2T(N193,J203)</f>
        <v>0.8257335457840268</v>
      </c>
      <c r="P196">
        <f>K196+N196*_xlfn.T.INV.2T(N193,J203)</f>
        <v>0.91959027878453414</v>
      </c>
      <c r="R196" t="str">
        <f>F191</f>
        <v>N-SBR</v>
      </c>
      <c r="S196">
        <f>AVERAGE(F192:F250)</f>
        <v>0.91235096667657278</v>
      </c>
      <c r="T196">
        <f>COUNT(F192:F250)</f>
        <v>59</v>
      </c>
      <c r="U196">
        <f>DEVSQ(F192:F250)</f>
        <v>0.15904884721028931</v>
      </c>
      <c r="AF196">
        <v>0.34992629321897611</v>
      </c>
    </row>
    <row r="197" spans="3:38" x14ac:dyDescent="0.3">
      <c r="C197">
        <v>0.60620010191948359</v>
      </c>
      <c r="D197">
        <v>0.84893900184842885</v>
      </c>
      <c r="E197">
        <v>0.37658830228585372</v>
      </c>
      <c r="F197">
        <v>0.85895557655954624</v>
      </c>
      <c r="H197" t="str">
        <f>E191</f>
        <v>MEDIA</v>
      </c>
      <c r="I197">
        <f>COUNT(E192:E250)</f>
        <v>51</v>
      </c>
      <c r="J197">
        <f>SUM(E192:E250)</f>
        <v>30.889564657054326</v>
      </c>
      <c r="K197">
        <f>AVERAGE(E192:E250)</f>
        <v>0.60567773837361427</v>
      </c>
      <c r="L197">
        <f>_xlfn.VAR.S(E192:E250)</f>
        <v>4.7901123932649128E-2</v>
      </c>
      <c r="M197">
        <f>DEVSQ(E192:E250)</f>
        <v>2.3950561966324453</v>
      </c>
      <c r="N197">
        <f>SQRT(K203/I197)</f>
        <v>2.2090156709238452E-2</v>
      </c>
      <c r="O197">
        <f>K197-N197*_xlfn.T.INV.2T(N193,J203)</f>
        <v>0.56208876026846422</v>
      </c>
      <c r="P197">
        <f>K197+N197*_xlfn.T.INV.2T(N193,J203)</f>
        <v>0.64926671647876433</v>
      </c>
      <c r="R197" s="8"/>
      <c r="S197" s="8"/>
      <c r="T197" s="8">
        <f>SUM(T193:T196)</f>
        <v>184</v>
      </c>
      <c r="U197" s="8">
        <f>SUM(U193:U196)</f>
        <v>4.4796107151673814</v>
      </c>
      <c r="V197" s="8">
        <f>T197-COUNT(T193:T196)</f>
        <v>180</v>
      </c>
      <c r="W197" s="8">
        <f>[2]!QCRIT(COUNT(T193:T196),V197,V191,2)</f>
        <v>3.6676666666666664</v>
      </c>
      <c r="AF197">
        <v>0.35374984656928932</v>
      </c>
    </row>
    <row r="198" spans="3:38" ht="15" thickBot="1" x14ac:dyDescent="0.35">
      <c r="C198">
        <v>0.61320235171541271</v>
      </c>
      <c r="D198">
        <v>0.85599669148056257</v>
      </c>
      <c r="E198">
        <v>0.38706546088110844</v>
      </c>
      <c r="F198">
        <v>0.85942156705656148</v>
      </c>
      <c r="H198" t="str">
        <f>F191</f>
        <v>N-SBR</v>
      </c>
      <c r="I198">
        <f>COUNT(F192:F250)</f>
        <v>59</v>
      </c>
      <c r="J198">
        <f>SUM(F192:F250)</f>
        <v>53.828707033917794</v>
      </c>
      <c r="K198">
        <f>AVERAGE(F192:F250)</f>
        <v>0.91235096667657278</v>
      </c>
      <c r="L198">
        <f>_xlfn.VAR.S(F192:F250)</f>
        <v>2.7422215036256776E-3</v>
      </c>
      <c r="M198">
        <f>DEVSQ(F192:F250)</f>
        <v>0.15904884721028931</v>
      </c>
      <c r="N198">
        <f>SQRT(K203/I198)</f>
        <v>2.053798720823603E-2</v>
      </c>
      <c r="O198">
        <f>K198-N198*_xlfn.T.INV.2T(N193,J203)</f>
        <v>0.87182477727343233</v>
      </c>
      <c r="P198">
        <f>K198+N198*_xlfn.T.INV.2T(N193,J203)</f>
        <v>0.95287715607971324</v>
      </c>
      <c r="R198" t="s">
        <v>452</v>
      </c>
      <c r="AF198">
        <v>0.35557024793388431</v>
      </c>
    </row>
    <row r="199" spans="3:38" ht="15" thickTop="1" x14ac:dyDescent="0.3">
      <c r="C199">
        <v>0.61965054226200722</v>
      </c>
      <c r="D199">
        <v>0.85898167006109982</v>
      </c>
      <c r="E199">
        <v>0.38937651821862346</v>
      </c>
      <c r="F199">
        <v>0.86749256689791876</v>
      </c>
      <c r="H199" s="8"/>
      <c r="I199" s="8"/>
      <c r="J199" s="8"/>
      <c r="K199" s="8"/>
      <c r="L199" s="8"/>
      <c r="M199" s="8"/>
      <c r="N199" s="8"/>
      <c r="O199" s="8"/>
      <c r="P199" s="8"/>
      <c r="R199" s="191" t="s">
        <v>309</v>
      </c>
      <c r="S199" s="191" t="s">
        <v>310</v>
      </c>
      <c r="T199" s="191" t="s">
        <v>312</v>
      </c>
      <c r="U199" s="191" t="s">
        <v>401</v>
      </c>
      <c r="V199" s="191" t="s">
        <v>453</v>
      </c>
      <c r="W199" s="191" t="s">
        <v>404</v>
      </c>
      <c r="X199" s="191" t="s">
        <v>405</v>
      </c>
      <c r="Y199" s="191" t="s">
        <v>311</v>
      </c>
      <c r="Z199" s="191" t="s">
        <v>454</v>
      </c>
      <c r="AA199" s="191" t="s">
        <v>397</v>
      </c>
    </row>
    <row r="200" spans="3:38" ht="15" thickBot="1" x14ac:dyDescent="0.35">
      <c r="C200">
        <v>0.62038834951456323</v>
      </c>
      <c r="D200">
        <v>0.8707910271546635</v>
      </c>
      <c r="E200">
        <v>0.3980995673754345</v>
      </c>
      <c r="F200">
        <v>0.8678564240187856</v>
      </c>
      <c r="H200" t="s">
        <v>298</v>
      </c>
      <c r="R200" s="8" t="str">
        <f>R193</f>
        <v>G-SBR</v>
      </c>
      <c r="S200" s="8" t="str">
        <f>R194</f>
        <v>S-SBR</v>
      </c>
      <c r="T200" s="8">
        <f>ABS(S193-S194)</f>
        <v>0.14380446267528946</v>
      </c>
      <c r="U200" s="8">
        <f>SQRT(U197/V197/HARMEAN(T193,T194))</f>
        <v>2.6411786700042145E-2</v>
      </c>
      <c r="V200" s="8">
        <f>T200/U200</f>
        <v>5.44470786124666</v>
      </c>
      <c r="W200" s="8">
        <f>T200-U200*W$197</f>
        <v>4.6934832988434885E-2</v>
      </c>
      <c r="X200" s="8">
        <f>T200+U200*W$197</f>
        <v>0.24067409236214404</v>
      </c>
      <c r="Y200" s="8">
        <f>[2]!QDIST(V200,COUNT($T$193:$T$196),V$197)</f>
        <v>9.3620622893231253E-4</v>
      </c>
      <c r="Z200" s="8">
        <f>U200*W$197</f>
        <v>9.6869629686854572E-2</v>
      </c>
      <c r="AA200" s="8">
        <f>T200*SQRT(V$197/U$197)</f>
        <v>0.91156675676430343</v>
      </c>
      <c r="AE200" s="249"/>
      <c r="AF200" s="249"/>
      <c r="AG200" s="249"/>
      <c r="AH200" s="249"/>
      <c r="AI200" s="249"/>
      <c r="AJ200" s="249"/>
      <c r="AK200" s="249"/>
      <c r="AL200" s="249"/>
    </row>
    <row r="201" spans="3:38" ht="15" thickTop="1" x14ac:dyDescent="0.3">
      <c r="C201">
        <v>0.68256628117378648</v>
      </c>
      <c r="D201">
        <v>0.87217873698609316</v>
      </c>
      <c r="E201">
        <v>0.41148689823278484</v>
      </c>
      <c r="F201">
        <v>0.87625692296626623</v>
      </c>
      <c r="H201" s="191" t="s">
        <v>299</v>
      </c>
      <c r="I201" s="191" t="s">
        <v>294</v>
      </c>
      <c r="J201" s="191" t="s">
        <v>205</v>
      </c>
      <c r="K201" s="191" t="s">
        <v>300</v>
      </c>
      <c r="L201" s="191" t="s">
        <v>91</v>
      </c>
      <c r="M201" s="191" t="s">
        <v>301</v>
      </c>
      <c r="N201" s="191" t="s">
        <v>302</v>
      </c>
      <c r="O201" s="191" t="s">
        <v>303</v>
      </c>
      <c r="P201" s="191" t="s">
        <v>304</v>
      </c>
      <c r="R201" s="12" t="str">
        <f>R193</f>
        <v>G-SBR</v>
      </c>
      <c r="S201" s="12" t="str">
        <f>R195</f>
        <v>MEDIA</v>
      </c>
      <c r="T201" s="12">
        <f>ABS(S193-S195)</f>
        <v>0.12317971123537674</v>
      </c>
      <c r="U201" s="12">
        <f>SQRT(U197/V197/HARMEAN(T193,T195))</f>
        <v>2.5666442714997767E-2</v>
      </c>
      <c r="V201" s="12">
        <f t="shared" ref="V201:V205" si="13">T201/U201</f>
        <v>4.7992514039897971</v>
      </c>
      <c r="W201" s="12">
        <f t="shared" ref="W201:W205" si="14">T201-U201*W$197</f>
        <v>2.9043754837669938E-2</v>
      </c>
      <c r="X201" s="12">
        <f t="shared" ref="X201:X205" si="15">T201+U201*W$197</f>
        <v>0.21731566763308355</v>
      </c>
      <c r="Y201" s="12">
        <f>[2]!QDIST(V201,COUNT($T$193:$T$196),V$197)</f>
        <v>4.6702339351109012E-3</v>
      </c>
      <c r="Z201" s="12">
        <f t="shared" ref="Z201:Z205" si="16">U201*W$197</f>
        <v>9.4135956397706805E-2</v>
      </c>
      <c r="AA201" s="12">
        <f t="shared" ref="AA201:AA205" si="17">T201*SQRT(V$197/U$197)</f>
        <v>0.78082785319075143</v>
      </c>
      <c r="AE201" s="249"/>
      <c r="AF201" s="249"/>
      <c r="AG201" s="249"/>
      <c r="AH201" s="249"/>
      <c r="AI201" s="249"/>
      <c r="AJ201" s="249"/>
      <c r="AK201" s="249"/>
      <c r="AL201" s="249"/>
    </row>
    <row r="202" spans="3:38" x14ac:dyDescent="0.3">
      <c r="C202">
        <v>0.7097282791009728</v>
      </c>
      <c r="D202">
        <v>0.87244792563263895</v>
      </c>
      <c r="E202">
        <v>0.41471902703494762</v>
      </c>
      <c r="F202">
        <v>0.88102999181364883</v>
      </c>
      <c r="H202" t="s">
        <v>305</v>
      </c>
      <c r="I202">
        <f>I204-I203</f>
        <v>3.0279491010178461</v>
      </c>
      <c r="J202">
        <f>COUNTA(H195:H198)-1</f>
        <v>3</v>
      </c>
      <c r="K202">
        <f>I202/J202</f>
        <v>1.0093163670059486</v>
      </c>
      <c r="L202">
        <f>K202/K203</f>
        <v>40.556413852198396</v>
      </c>
      <c r="M202">
        <f>_xlfn.F.DIST.RT(L202,J202,J203)</f>
        <v>4.5125827611652111E-20</v>
      </c>
      <c r="N202">
        <f>_xlfn.F.INV.RT(N193,J202,J203)</f>
        <v>2.6547917714616922</v>
      </c>
      <c r="O202">
        <f>SQRT(DEVSQ(K195:K198)/(K203*J202))</f>
        <v>0.88976249689668441</v>
      </c>
      <c r="P202">
        <f>(I204-J204*K203)/(I204+K203)</f>
        <v>0.39207565640397463</v>
      </c>
      <c r="R202" s="12" t="str">
        <f>R193</f>
        <v>G-SBR</v>
      </c>
      <c r="S202" s="12" t="str">
        <f>R196</f>
        <v>N-SBR</v>
      </c>
      <c r="T202" s="12">
        <f>ABS(S193-S196)</f>
        <v>0.18349351706758177</v>
      </c>
      <c r="U202" s="12">
        <f>SQRT(U197/V197/HARMEAN(T193,T196))</f>
        <v>2.5013660851737379E-2</v>
      </c>
      <c r="V202" s="12">
        <f t="shared" si="13"/>
        <v>7.3357321887106668</v>
      </c>
      <c r="W202" s="12">
        <f t="shared" si="14"/>
        <v>9.1751746950359647E-2</v>
      </c>
      <c r="X202" s="12">
        <f t="shared" si="15"/>
        <v>0.27523528718480389</v>
      </c>
      <c r="Y202" s="12">
        <f>[2]!QDIST(V202,COUNT($T$193:$T$196),V$197)</f>
        <v>3.39782218494733E-6</v>
      </c>
      <c r="Z202" s="12">
        <f t="shared" si="16"/>
        <v>9.1741770117222121E-2</v>
      </c>
      <c r="AA202" s="12">
        <f t="shared" si="17"/>
        <v>1.1631529865541024</v>
      </c>
      <c r="AE202" s="249"/>
      <c r="AF202" s="249"/>
      <c r="AG202" s="249"/>
      <c r="AH202" s="249"/>
      <c r="AI202" s="249"/>
      <c r="AJ202" s="249"/>
      <c r="AK202" s="249"/>
      <c r="AL202" s="249"/>
    </row>
    <row r="203" spans="3:38" x14ac:dyDescent="0.3">
      <c r="C203">
        <v>0.79240673233537584</v>
      </c>
      <c r="D203">
        <v>0.87412401165210152</v>
      </c>
      <c r="E203">
        <v>0.41814156323381418</v>
      </c>
      <c r="F203">
        <v>0.88394506866416978</v>
      </c>
      <c r="H203" t="s">
        <v>306</v>
      </c>
      <c r="I203">
        <f>SUM(M195:M198)</f>
        <v>4.4796107151673814</v>
      </c>
      <c r="J203">
        <f>J204-J202</f>
        <v>180</v>
      </c>
      <c r="K203">
        <f>I203/J203</f>
        <v>2.488672619537434E-2</v>
      </c>
      <c r="R203" s="12" t="str">
        <f>R194</f>
        <v>S-SBR</v>
      </c>
      <c r="S203" s="12" t="str">
        <f>R195</f>
        <v>MEDIA</v>
      </c>
      <c r="T203" s="12">
        <f>ABS(S194-S195)</f>
        <v>0.2669841739106662</v>
      </c>
      <c r="U203" s="12">
        <f>SQRT(U197/V197/HARMEAN(T194,T195))</f>
        <v>2.2951932783209648E-2</v>
      </c>
      <c r="V203" s="12">
        <f t="shared" si="13"/>
        <v>11.632317697705044</v>
      </c>
      <c r="W203" s="12">
        <f t="shared" si="14"/>
        <v>0.18280413510611429</v>
      </c>
      <c r="X203" s="12">
        <f t="shared" si="15"/>
        <v>0.35116421271521814</v>
      </c>
      <c r="Y203" s="12">
        <f>[2]!QDIST(V203,COUNT($T$193:$T$196),V$197)</f>
        <v>1.553202011450594E-13</v>
      </c>
      <c r="Z203" s="12">
        <f t="shared" si="16"/>
        <v>8.418003880455191E-2</v>
      </c>
      <c r="AA203" s="12">
        <f t="shared" si="17"/>
        <v>1.6923946099550549</v>
      </c>
      <c r="AE203" s="295" t="s">
        <v>570</v>
      </c>
      <c r="AF203" s="295"/>
      <c r="AG203" s="295"/>
      <c r="AH203" s="295"/>
      <c r="AI203" s="295"/>
      <c r="AJ203" s="295"/>
      <c r="AK203" s="295"/>
      <c r="AL203" s="295"/>
    </row>
    <row r="204" spans="3:38" x14ac:dyDescent="0.3">
      <c r="C204">
        <v>0.80510652760371304</v>
      </c>
      <c r="D204">
        <v>0.8744876794159131</v>
      </c>
      <c r="E204">
        <v>0.4197711605429606</v>
      </c>
      <c r="F204">
        <v>0.88613800627301242</v>
      </c>
      <c r="H204" s="16" t="s">
        <v>307</v>
      </c>
      <c r="I204" s="16">
        <f>DEVSQ(C192:F250)</f>
        <v>7.5075598161852275</v>
      </c>
      <c r="J204" s="16">
        <f>COUNT(C192:F250)-1</f>
        <v>183</v>
      </c>
      <c r="K204" s="16">
        <f>I204/J204</f>
        <v>4.1024917028334579E-2</v>
      </c>
      <c r="L204" s="16"/>
      <c r="M204" s="16"/>
      <c r="N204" s="16"/>
      <c r="O204" s="16"/>
      <c r="P204" s="16"/>
      <c r="R204" s="12" t="str">
        <f>R194</f>
        <v>S-SBR</v>
      </c>
      <c r="S204" s="12" t="str">
        <f>R196</f>
        <v>N-SBR</v>
      </c>
      <c r="T204" s="12">
        <f>ABS(S194-S196)</f>
        <v>3.9689054392292311E-2</v>
      </c>
      <c r="U204" s="12">
        <f>SQRT(U197/V197/HARMEAN(T194,T196))</f>
        <v>2.2219544685894242E-2</v>
      </c>
      <c r="V204" s="12">
        <f t="shared" si="13"/>
        <v>1.7862226680769178</v>
      </c>
      <c r="W204" s="12">
        <f t="shared" si="14"/>
        <v>-4.1804829000672464E-2</v>
      </c>
      <c r="X204" s="12">
        <f t="shared" si="15"/>
        <v>0.12118293778525709</v>
      </c>
      <c r="Y204" s="12">
        <f>[2]!QDIST(V204,COUNT($T$193:$T$196),V$197)</f>
        <v>0.58762970736856324</v>
      </c>
      <c r="Z204" s="12">
        <f t="shared" si="16"/>
        <v>8.1493883392964775E-2</v>
      </c>
      <c r="AA204" s="12">
        <f t="shared" si="17"/>
        <v>0.25158622978979889</v>
      </c>
      <c r="AE204" t="s">
        <v>48</v>
      </c>
      <c r="AF204" t="s">
        <v>46</v>
      </c>
      <c r="AH204" t="s">
        <v>492</v>
      </c>
    </row>
    <row r="205" spans="3:38" x14ac:dyDescent="0.3">
      <c r="C205">
        <v>0.81208869305664122</v>
      </c>
      <c r="D205">
        <v>0.87510051491853003</v>
      </c>
      <c r="E205">
        <v>0.42110823554436833</v>
      </c>
      <c r="F205">
        <v>0.88618009934305397</v>
      </c>
      <c r="R205" s="16" t="str">
        <f>R195</f>
        <v>MEDIA</v>
      </c>
      <c r="S205" s="16" t="str">
        <f>R196</f>
        <v>N-SBR</v>
      </c>
      <c r="T205" s="16">
        <f>ABS(S195-S196)</f>
        <v>0.30667322830295851</v>
      </c>
      <c r="U205" s="16">
        <f>SQRT(U197/V197/HARMEAN(T195,T196))</f>
        <v>2.1328196618612405E-2</v>
      </c>
      <c r="V205" s="16">
        <f t="shared" si="13"/>
        <v>14.378769747243188</v>
      </c>
      <c r="W205" s="16">
        <f t="shared" si="14"/>
        <v>0.22844851250476109</v>
      </c>
      <c r="X205" s="16">
        <f t="shared" si="15"/>
        <v>0.38489794410115596</v>
      </c>
      <c r="Y205" s="16">
        <f>[2]!QDIST(V205,COUNT($T$193:$T$196),V$197)</f>
        <v>-7.1942451995710144E-14</v>
      </c>
      <c r="Z205" s="16">
        <f t="shared" si="16"/>
        <v>7.8224715798197425E-2</v>
      </c>
      <c r="AA205" s="16">
        <f t="shared" si="17"/>
        <v>1.9439808397448537</v>
      </c>
      <c r="AE205">
        <v>253</v>
      </c>
      <c r="AF205">
        <v>470</v>
      </c>
    </row>
    <row r="206" spans="3:38" x14ac:dyDescent="0.3">
      <c r="C206">
        <v>0.81323213419283291</v>
      </c>
      <c r="D206">
        <v>0.87642484969939871</v>
      </c>
      <c r="E206">
        <v>0.44181763056166151</v>
      </c>
      <c r="F206">
        <v>0.88967081085307687</v>
      </c>
      <c r="H206" s="248" t="s">
        <v>393</v>
      </c>
      <c r="S206" s="248" t="s">
        <v>492</v>
      </c>
      <c r="AE206">
        <v>264</v>
      </c>
      <c r="AF206">
        <v>481</v>
      </c>
      <c r="AI206" t="str">
        <f>AE204</f>
        <v>G-SBR</v>
      </c>
      <c r="AJ206" t="str">
        <f>AF204</f>
        <v>S-SBR</v>
      </c>
    </row>
    <row r="207" spans="3:38" x14ac:dyDescent="0.3">
      <c r="C207">
        <v>0.84528650646950088</v>
      </c>
      <c r="D207">
        <v>0.87665194496347887</v>
      </c>
      <c r="E207">
        <v>0.44548469191023371</v>
      </c>
      <c r="F207">
        <v>0.89030616432734133</v>
      </c>
      <c r="AE207">
        <v>272</v>
      </c>
      <c r="AF207">
        <v>551</v>
      </c>
      <c r="AH207" t="s">
        <v>493</v>
      </c>
      <c r="AI207" s="239">
        <f>COUNT(AE205:AE248)</f>
        <v>30</v>
      </c>
      <c r="AJ207" s="240">
        <f>COUNT(AF205:AF248)</f>
        <v>44</v>
      </c>
    </row>
    <row r="208" spans="3:38" ht="15" thickBot="1" x14ac:dyDescent="0.35">
      <c r="C208">
        <v>0.84641877058177817</v>
      </c>
      <c r="D208">
        <v>0.87930294509397655</v>
      </c>
      <c r="E208">
        <v>0.44914087003954722</v>
      </c>
      <c r="F208">
        <v>0.89481540930979131</v>
      </c>
      <c r="H208" t="s">
        <v>394</v>
      </c>
      <c r="K208" t="s">
        <v>395</v>
      </c>
      <c r="L208">
        <v>0</v>
      </c>
      <c r="T208" t="str">
        <f>C191</f>
        <v>G-SBR</v>
      </c>
      <c r="U208" t="str">
        <f>D191</f>
        <v>S-SBR</v>
      </c>
      <c r="AE208">
        <v>274</v>
      </c>
      <c r="AF208">
        <v>555</v>
      </c>
      <c r="AH208" t="s">
        <v>494</v>
      </c>
      <c r="AI208" s="241">
        <f>MEDIAN(AE205:AE248)</f>
        <v>589</v>
      </c>
      <c r="AJ208" s="242">
        <f>MEDIAN(AF205:AF248)</f>
        <v>613</v>
      </c>
    </row>
    <row r="209" spans="3:36" ht="15" thickTop="1" x14ac:dyDescent="0.3">
      <c r="C209">
        <v>0.84829034193161368</v>
      </c>
      <c r="D209">
        <v>0.87944129554655881</v>
      </c>
      <c r="E209">
        <v>0.46252915694768421</v>
      </c>
      <c r="F209">
        <v>0.89725663044304282</v>
      </c>
      <c r="H209" s="191" t="s">
        <v>396</v>
      </c>
      <c r="I209" s="191" t="s">
        <v>290</v>
      </c>
      <c r="J209" s="191" t="s">
        <v>292</v>
      </c>
      <c r="K209" s="191" t="s">
        <v>293</v>
      </c>
      <c r="L209" s="191" t="s">
        <v>397</v>
      </c>
      <c r="S209" t="s">
        <v>493</v>
      </c>
      <c r="T209" s="239">
        <f>COUNT(C192:C221)</f>
        <v>30</v>
      </c>
      <c r="U209" s="240">
        <f>COUNT(D192:D235)</f>
        <v>44</v>
      </c>
      <c r="AE209">
        <v>299</v>
      </c>
      <c r="AF209">
        <v>559</v>
      </c>
      <c r="AH209" t="s">
        <v>495</v>
      </c>
      <c r="AI209" s="241" t="e">
        <f ca="1">[4]!RANK_SUM(AE205:AE248,AF205:AF248,1)</f>
        <v>#NAME?</v>
      </c>
      <c r="AJ209" s="242" t="e">
        <f ca="1">[4]!RANK_SUM(AF205:AF248,AE205:AE248,1)</f>
        <v>#NAME?</v>
      </c>
    </row>
    <row r="210" spans="3:36" x14ac:dyDescent="0.3">
      <c r="C210">
        <v>0.87273514364423455</v>
      </c>
      <c r="D210">
        <v>0.87980739116818041</v>
      </c>
      <c r="E210">
        <v>0.46991219930044975</v>
      </c>
      <c r="F210">
        <v>0.8984101399369917</v>
      </c>
      <c r="H210" t="str">
        <f>C191</f>
        <v>G-SBR</v>
      </c>
      <c r="I210">
        <f>COUNT(C192:C221)</f>
        <v>30</v>
      </c>
      <c r="J210">
        <f>AVERAGE(C192:C221)</f>
        <v>0.72885744960899101</v>
      </c>
      <c r="K210">
        <f>_xlfn.VAR.S(C192:C221)</f>
        <v>6.0467383750905032E-2</v>
      </c>
      <c r="S210" t="s">
        <v>494</v>
      </c>
      <c r="T210" s="241">
        <f>MEDIAN(C192:C221)</f>
        <v>0.82925932033116689</v>
      </c>
      <c r="U210" s="242">
        <f>MEDIAN(D192:D235)</f>
        <v>0.88188257146801163</v>
      </c>
      <c r="AE210">
        <v>322</v>
      </c>
      <c r="AF210">
        <v>560</v>
      </c>
      <c r="AH210" t="s">
        <v>496</v>
      </c>
      <c r="AI210" s="243" t="e">
        <f ca="1">AI207*AJ207+AI207*(AI207+1)/2-AI209</f>
        <v>#NAME?</v>
      </c>
      <c r="AJ210" s="244" t="e">
        <f ca="1">AI207*AJ207+AJ207*(AJ207+1)/2-AJ209</f>
        <v>#NAME?</v>
      </c>
    </row>
    <row r="211" spans="3:36" x14ac:dyDescent="0.3">
      <c r="C211">
        <v>0.88578487013420582</v>
      </c>
      <c r="D211">
        <v>0.8798868778280543</v>
      </c>
      <c r="E211">
        <v>0.47497296128055383</v>
      </c>
      <c r="F211">
        <v>0.89928768716383201</v>
      </c>
      <c r="H211" t="str">
        <f>D191</f>
        <v>S-SBR</v>
      </c>
      <c r="I211">
        <f>COUNT(D192:D235)</f>
        <v>44</v>
      </c>
      <c r="J211">
        <f>AVERAGE(D192:D235)</f>
        <v>0.87266191228428047</v>
      </c>
      <c r="K211">
        <f>_xlfn.VAR.S(D192:D235)</f>
        <v>3.9988730825211288E-3</v>
      </c>
      <c r="S211" t="s">
        <v>495</v>
      </c>
      <c r="T211" s="241">
        <f>[2]!RANK_SUM(C192:C221,D192:D235,1)</f>
        <v>909</v>
      </c>
      <c r="U211" s="242">
        <f>[2]!RANK_SUM(D192:D235,C192:C221,1)</f>
        <v>1866</v>
      </c>
      <c r="AE211">
        <v>365</v>
      </c>
      <c r="AF211">
        <v>569</v>
      </c>
    </row>
    <row r="212" spans="3:36" x14ac:dyDescent="0.3">
      <c r="C212">
        <v>0.89086277997897634</v>
      </c>
      <c r="D212">
        <v>0.88069012797074964</v>
      </c>
      <c r="E212">
        <v>0.47595009439382741</v>
      </c>
      <c r="F212">
        <v>0.90035240940779904</v>
      </c>
      <c r="H212" s="8" t="s">
        <v>398</v>
      </c>
      <c r="I212" s="8"/>
      <c r="J212" s="8"/>
      <c r="K212" s="8">
        <f>((I210-1)*K210+(I211-1)*K211)/(I210+I211-2)</f>
        <v>2.6743134323953536E-2</v>
      </c>
      <c r="L212" s="8">
        <f>ABS(J210-J211-L208)/SQRT(K212)</f>
        <v>0.87935899598228429</v>
      </c>
      <c r="S212" t="s">
        <v>496</v>
      </c>
      <c r="T212" s="243">
        <f>T209*U209+T209*(T209+1)/2-T211</f>
        <v>876</v>
      </c>
      <c r="U212" s="244">
        <f>T209*U209+U209*(U209+1)/2-U211</f>
        <v>444</v>
      </c>
      <c r="AE212">
        <v>373</v>
      </c>
      <c r="AF212">
        <v>573</v>
      </c>
      <c r="AI212" s="183" t="s">
        <v>497</v>
      </c>
      <c r="AJ212" s="183" t="s">
        <v>498</v>
      </c>
    </row>
    <row r="213" spans="3:36" x14ac:dyDescent="0.3">
      <c r="C213">
        <v>0.89248035167177298</v>
      </c>
      <c r="D213">
        <v>0.8810085752497836</v>
      </c>
      <c r="E213">
        <v>0.49911584117887842</v>
      </c>
      <c r="F213">
        <v>0.9010892748324193</v>
      </c>
      <c r="AE213">
        <v>377</v>
      </c>
      <c r="AF213">
        <v>574</v>
      </c>
      <c r="AH213" t="s">
        <v>496</v>
      </c>
      <c r="AI213" s="245" t="e">
        <f ca="1">MIN(AI210,AJ210)</f>
        <v>#NAME?</v>
      </c>
    </row>
    <row r="214" spans="3:36" ht="15" thickBot="1" x14ac:dyDescent="0.35">
      <c r="C214">
        <v>0.89379363187468075</v>
      </c>
      <c r="D214">
        <v>0.88275656768623956</v>
      </c>
      <c r="E214">
        <v>0.51250620347394538</v>
      </c>
      <c r="F214">
        <v>0.9045295896998371</v>
      </c>
      <c r="H214" t="s">
        <v>399</v>
      </c>
      <c r="L214" t="s">
        <v>288</v>
      </c>
      <c r="M214">
        <v>0.05</v>
      </c>
      <c r="T214" s="287" t="s">
        <v>497</v>
      </c>
      <c r="U214" s="287" t="s">
        <v>498</v>
      </c>
      <c r="AE214">
        <v>379</v>
      </c>
      <c r="AF214">
        <v>576</v>
      </c>
      <c r="AH214" t="s">
        <v>312</v>
      </c>
      <c r="AI214" s="246">
        <f>AI207*AJ207/2</f>
        <v>660</v>
      </c>
    </row>
    <row r="215" spans="3:36" ht="15" thickTop="1" x14ac:dyDescent="0.3">
      <c r="C215">
        <v>0.89862716202590553</v>
      </c>
      <c r="D215">
        <v>0.88453356445004727</v>
      </c>
      <c r="E215">
        <v>0.51309352517985607</v>
      </c>
      <c r="F215">
        <v>0.90526358541142071</v>
      </c>
      <c r="H215" s="191" t="s">
        <v>400</v>
      </c>
      <c r="I215" s="191" t="s">
        <v>401</v>
      </c>
      <c r="J215" s="191" t="s">
        <v>402</v>
      </c>
      <c r="K215" s="191" t="s">
        <v>205</v>
      </c>
      <c r="L215" s="191" t="s">
        <v>311</v>
      </c>
      <c r="M215" s="191" t="s">
        <v>403</v>
      </c>
      <c r="N215" s="191" t="s">
        <v>404</v>
      </c>
      <c r="O215" s="191" t="s">
        <v>405</v>
      </c>
      <c r="P215" s="191" t="s">
        <v>406</v>
      </c>
      <c r="Q215" s="191" t="s">
        <v>407</v>
      </c>
      <c r="S215" t="s">
        <v>496</v>
      </c>
      <c r="T215" s="245">
        <f>MIN(T212,U212)</f>
        <v>444</v>
      </c>
      <c r="AE215">
        <v>401</v>
      </c>
      <c r="AF215">
        <v>579</v>
      </c>
      <c r="AH215" t="s">
        <v>499</v>
      </c>
      <c r="AI215" s="246" t="e">
        <f ca="1">SQRT(AI214*(AI207+AJ207+1)/6*(1-[4]!TiesCorrection(AE205:AE248,AF205:AF248,2)/((AI207+AJ207)^3-AI207-AJ207)))</f>
        <v>#NAME?</v>
      </c>
      <c r="AJ215" t="s">
        <v>500</v>
      </c>
    </row>
    <row r="216" spans="3:36" x14ac:dyDescent="0.3">
      <c r="C216">
        <v>0.90461464508892808</v>
      </c>
      <c r="D216">
        <v>0.88468419834965684</v>
      </c>
      <c r="E216">
        <v>0.52907968483470069</v>
      </c>
      <c r="F216">
        <v>0.9072571933614848</v>
      </c>
      <c r="H216" t="s">
        <v>408</v>
      </c>
      <c r="I216">
        <f>SQRT(K212*(1/I210+1/I211))</f>
        <v>3.8719973116739526E-2</v>
      </c>
      <c r="J216">
        <f>(ABS(J210-J211-L208))/I216</f>
        <v>3.7139608088498264</v>
      </c>
      <c r="K216">
        <f>I210+I211-2</f>
        <v>72</v>
      </c>
      <c r="L216">
        <f>_xlfn.T.DIST.RT(J216,K216)</f>
        <v>1.9981692069603459E-4</v>
      </c>
      <c r="M216">
        <f>_xlfn.T.INV.2T(M214*2,K216)</f>
        <v>1.6662936961315378</v>
      </c>
      <c r="P216" s="287" t="str">
        <f>IF(L216&lt;M214,"yes","no")</f>
        <v>yes</v>
      </c>
      <c r="Q216">
        <f>SQRT(J216^2/(J216^2+K216))</f>
        <v>0.40096836666022667</v>
      </c>
      <c r="S216" t="s">
        <v>312</v>
      </c>
      <c r="T216" s="246">
        <f>T209*U209/2</f>
        <v>660</v>
      </c>
      <c r="AE216">
        <v>440</v>
      </c>
      <c r="AF216">
        <v>582</v>
      </c>
      <c r="AH216" t="s">
        <v>501</v>
      </c>
      <c r="AI216" s="246" t="e">
        <f ca="1">ABS(ABS(AI213-AI214)-1/2)/AI215</f>
        <v>#NAME?</v>
      </c>
      <c r="AJ216" t="s">
        <v>502</v>
      </c>
    </row>
    <row r="217" spans="3:36" x14ac:dyDescent="0.3">
      <c r="C217">
        <v>0.90687597301504919</v>
      </c>
      <c r="D217">
        <v>0.8858759654354974</v>
      </c>
      <c r="E217">
        <v>0.56589941022280466</v>
      </c>
      <c r="F217">
        <v>0.90763197586726996</v>
      </c>
      <c r="H217" t="s">
        <v>409</v>
      </c>
      <c r="I217">
        <f>I216</f>
        <v>3.8719973116739526E-2</v>
      </c>
      <c r="J217" s="29">
        <f t="shared" ref="J217:K217" si="18">J216</f>
        <v>3.7139608088498264</v>
      </c>
      <c r="K217" s="29">
        <f t="shared" si="18"/>
        <v>72</v>
      </c>
      <c r="L217">
        <f>_xlfn.T.DIST.2T(J217,K217)</f>
        <v>3.9963384139206918E-4</v>
      </c>
      <c r="M217">
        <f>_xlfn.T.INV.2T(M214,K217)</f>
        <v>1.9934635666618719</v>
      </c>
      <c r="N217">
        <f>(J210-J211)-M217*I217</f>
        <v>-0.22099131838563682</v>
      </c>
      <c r="O217">
        <f>(J210-J211)+M217*I217</f>
        <v>-6.6617606964942094E-2</v>
      </c>
      <c r="P217" s="287" t="str">
        <f>IF(L217&lt;M214,"yes","no")</f>
        <v>yes</v>
      </c>
      <c r="Q217">
        <f>Q216</f>
        <v>0.40096836666022667</v>
      </c>
      <c r="S217" t="s">
        <v>499</v>
      </c>
      <c r="T217" s="246">
        <f>SQRT(T216*(T209+U209+1)/6*(1-[2]!TiesCorrection(C192:C221,D192:D235,2)/((T209+U209)^3-T209-U209)))</f>
        <v>90.829510622924744</v>
      </c>
      <c r="U217" t="s">
        <v>500</v>
      </c>
      <c r="AE217">
        <v>472</v>
      </c>
      <c r="AF217">
        <v>583</v>
      </c>
      <c r="AH217" t="s">
        <v>407</v>
      </c>
      <c r="AI217" s="246" t="e">
        <f ca="1">AI216/SQRT(AI207+AJ207)</f>
        <v>#NAME?</v>
      </c>
    </row>
    <row r="218" spans="3:36" x14ac:dyDescent="0.3">
      <c r="C218">
        <v>0.9108374384236454</v>
      </c>
      <c r="D218">
        <v>0.88676297169811313</v>
      </c>
      <c r="E218">
        <v>0.56684247265958265</v>
      </c>
      <c r="F218">
        <v>0.91004151530877009</v>
      </c>
      <c r="H218" s="8"/>
      <c r="I218" s="8"/>
      <c r="J218" s="8"/>
      <c r="K218" s="8"/>
      <c r="L218" s="8"/>
      <c r="M218" s="8"/>
      <c r="N218" s="8"/>
      <c r="O218" s="8"/>
      <c r="P218" s="8"/>
      <c r="Q218" s="8"/>
      <c r="S218" t="s">
        <v>501</v>
      </c>
      <c r="T218" s="246">
        <f>ABS(ABS(T215-T216)-1/2)/T217</f>
        <v>2.3725769138473072</v>
      </c>
      <c r="U218" t="s">
        <v>502</v>
      </c>
      <c r="AE218">
        <v>544</v>
      </c>
      <c r="AF218">
        <v>584</v>
      </c>
      <c r="AH218" t="s">
        <v>503</v>
      </c>
      <c r="AI218" s="245" t="e">
        <f ca="1">1-NORMSDIST(AI216)</f>
        <v>#NAME?</v>
      </c>
      <c r="AJ218" s="240" t="e">
        <f ca="1">2*AI218</f>
        <v>#NAME?</v>
      </c>
    </row>
    <row r="219" spans="3:36" ht="15" thickBot="1" x14ac:dyDescent="0.35">
      <c r="C219">
        <v>0.91914429062529035</v>
      </c>
      <c r="D219">
        <v>0.88762174734699817</v>
      </c>
      <c r="E219">
        <v>0.57138080401246305</v>
      </c>
      <c r="F219">
        <v>0.91010778785066737</v>
      </c>
      <c r="H219" t="s">
        <v>410</v>
      </c>
      <c r="L219" t="s">
        <v>288</v>
      </c>
      <c r="M219">
        <f>M214</f>
        <v>0.05</v>
      </c>
      <c r="S219" t="s">
        <v>407</v>
      </c>
      <c r="T219" s="246">
        <f>T218/SQRT(T209+U209)</f>
        <v>0.27580646397284742</v>
      </c>
      <c r="AE219">
        <v>566</v>
      </c>
      <c r="AF219">
        <v>585</v>
      </c>
      <c r="AH219" t="s">
        <v>504</v>
      </c>
      <c r="AI219" s="246" t="e">
        <f ca="1">[4]!MWDIST(AI213,AI207,AJ207,1)</f>
        <v>#NAME?</v>
      </c>
      <c r="AJ219" s="242" t="e">
        <f ca="1">2*AI219</f>
        <v>#NAME?</v>
      </c>
    </row>
    <row r="220" spans="3:36" ht="15" thickTop="1" x14ac:dyDescent="0.3">
      <c r="C220">
        <v>0.94474341886037994</v>
      </c>
      <c r="D220">
        <v>0.88777381944970823</v>
      </c>
      <c r="E220">
        <v>0.57741096753860699</v>
      </c>
      <c r="F220">
        <v>0.91023159636062867</v>
      </c>
      <c r="H220" s="191" t="s">
        <v>400</v>
      </c>
      <c r="I220" s="191" t="s">
        <v>401</v>
      </c>
      <c r="J220" s="191" t="s">
        <v>402</v>
      </c>
      <c r="K220" s="191" t="s">
        <v>205</v>
      </c>
      <c r="L220" s="191" t="s">
        <v>311</v>
      </c>
      <c r="M220" s="191" t="s">
        <v>403</v>
      </c>
      <c r="N220" s="191" t="s">
        <v>404</v>
      </c>
      <c r="O220" s="191" t="s">
        <v>405</v>
      </c>
      <c r="P220" s="191" t="s">
        <v>406</v>
      </c>
      <c r="Q220" s="191" t="s">
        <v>407</v>
      </c>
      <c r="S220" t="s">
        <v>503</v>
      </c>
      <c r="T220" s="245">
        <f>1-_xlfn.NORM.S.DIST(T218,TRUE)</f>
        <v>8.8322424642681696E-3</v>
      </c>
      <c r="U220" s="240">
        <f>2*T220</f>
        <v>1.7664484928536339E-2</v>
      </c>
      <c r="AE220">
        <v>612</v>
      </c>
      <c r="AF220">
        <v>588</v>
      </c>
      <c r="AH220" t="s">
        <v>505</v>
      </c>
      <c r="AI220" s="247" t="s">
        <v>506</v>
      </c>
      <c r="AJ220" s="244" t="s">
        <v>506</v>
      </c>
    </row>
    <row r="221" spans="3:36" x14ac:dyDescent="0.3">
      <c r="C221">
        <v>0.95973534971644625</v>
      </c>
      <c r="D221">
        <v>0.88926453547815421</v>
      </c>
      <c r="E221">
        <v>0.59358127395807847</v>
      </c>
      <c r="F221">
        <v>0.91052505010020035</v>
      </c>
      <c r="H221" t="s">
        <v>408</v>
      </c>
      <c r="I221">
        <f>SQRT(K210/I210+K211/I211)</f>
        <v>4.5896219207160284E-2</v>
      </c>
      <c r="J221">
        <f>(ABS(J210-J211-L208))/I221</f>
        <v>3.1332529162413989</v>
      </c>
      <c r="K221">
        <f>(K210/I210+K211/I211)^2/((K210/I210)^2/(I210-1)+(K211/I211)^2/(I211-1))</f>
        <v>31.630838166150173</v>
      </c>
      <c r="L221">
        <f>[2]!T_DIST_RT(J221,K221)</f>
        <v>1.856502844591823E-3</v>
      </c>
      <c r="M221">
        <f>[2]!T_INV(1-M219,K221)</f>
        <v>1.694478137886539</v>
      </c>
      <c r="P221" s="287" t="str">
        <f>IF(L221&lt;M219,"yes","no")</f>
        <v>yes</v>
      </c>
      <c r="Q221">
        <f>SQRT(J221^2/(J221^2+K221))</f>
        <v>0.48667952569527223</v>
      </c>
      <c r="S221" t="s">
        <v>504</v>
      </c>
      <c r="T221" s="246">
        <f>[2]!MWDIST(T215,T209,U209,1)</f>
        <v>8.5033881631531825E-3</v>
      </c>
      <c r="U221" s="242">
        <f>2*T221</f>
        <v>1.7006776326306365E-2</v>
      </c>
      <c r="AE221">
        <v>616</v>
      </c>
      <c r="AF221">
        <v>596</v>
      </c>
    </row>
    <row r="222" spans="3:36" x14ac:dyDescent="0.3">
      <c r="D222">
        <v>0.88956824108953925</v>
      </c>
      <c r="E222">
        <v>0.60069218619344056</v>
      </c>
      <c r="F222">
        <v>0.91474084256489041</v>
      </c>
      <c r="H222" t="s">
        <v>409</v>
      </c>
      <c r="I222">
        <f>I221</f>
        <v>4.5896219207160284E-2</v>
      </c>
      <c r="J222" s="29">
        <f t="shared" ref="J222:K222" si="19">J221</f>
        <v>3.1332529162413989</v>
      </c>
      <c r="K222" s="29">
        <f t="shared" si="19"/>
        <v>31.630838166150173</v>
      </c>
      <c r="L222">
        <f>[2]!T_DIST_2T(J222,K222)</f>
        <v>3.713005689183646E-3</v>
      </c>
      <c r="M222">
        <f>[2]!T_INV_2T(M219,K222)</f>
        <v>2.0378661014154846</v>
      </c>
      <c r="N222">
        <f>(J210-J211)-M222*I222</f>
        <v>-0.23733481198069567</v>
      </c>
      <c r="O222">
        <f>(J210-J211)+M222*I222</f>
        <v>-5.0274113369883244E-2</v>
      </c>
      <c r="P222" s="287" t="str">
        <f>IF(L222&lt;M219,"yes","no")</f>
        <v>yes</v>
      </c>
      <c r="Q222">
        <f>Q221</f>
        <v>0.48667952569527223</v>
      </c>
      <c r="S222" t="s">
        <v>505</v>
      </c>
      <c r="T222" s="247" t="s">
        <v>506</v>
      </c>
      <c r="U222" s="244" t="s">
        <v>506</v>
      </c>
      <c r="AE222">
        <v>618</v>
      </c>
      <c r="AF222">
        <v>600</v>
      </c>
    </row>
    <row r="223" spans="3:36" x14ac:dyDescent="0.3">
      <c r="D223">
        <v>0.89068097953706804</v>
      </c>
      <c r="E223">
        <v>0.63913645621181259</v>
      </c>
      <c r="F223">
        <v>0.91515522581574582</v>
      </c>
      <c r="H223" s="8"/>
      <c r="I223" s="8"/>
      <c r="J223" s="8"/>
      <c r="K223" s="8"/>
      <c r="L223" s="8"/>
      <c r="M223" s="8"/>
      <c r="N223" s="8"/>
      <c r="O223" s="8"/>
      <c r="P223" s="8"/>
      <c r="Q223" s="8"/>
      <c r="AE223">
        <v>630</v>
      </c>
      <c r="AF223">
        <v>603</v>
      </c>
    </row>
    <row r="224" spans="3:36" x14ac:dyDescent="0.3">
      <c r="D224">
        <v>0.89103035546903153</v>
      </c>
      <c r="E224">
        <v>0.64761030817465781</v>
      </c>
      <c r="F224">
        <v>0.91813966966096783</v>
      </c>
      <c r="AE224">
        <v>640</v>
      </c>
      <c r="AF224">
        <v>610</v>
      </c>
    </row>
    <row r="225" spans="4:32" x14ac:dyDescent="0.3">
      <c r="D225">
        <v>0.89130558926404457</v>
      </c>
      <c r="E225">
        <v>0.65364066893591832</v>
      </c>
      <c r="F225">
        <v>0.91885452123723543</v>
      </c>
      <c r="H225" s="248" t="s">
        <v>393</v>
      </c>
      <c r="S225" s="248" t="s">
        <v>492</v>
      </c>
      <c r="AE225">
        <v>653</v>
      </c>
      <c r="AF225">
        <v>610</v>
      </c>
    </row>
    <row r="226" spans="4:32" x14ac:dyDescent="0.3">
      <c r="D226">
        <v>0.89374583721859602</v>
      </c>
      <c r="E226">
        <v>0.65379569575471697</v>
      </c>
      <c r="F226">
        <v>0.92231423290203329</v>
      </c>
      <c r="AE226">
        <v>662</v>
      </c>
      <c r="AF226">
        <v>611</v>
      </c>
    </row>
    <row r="227" spans="4:32" ht="15" thickBot="1" x14ac:dyDescent="0.35">
      <c r="D227">
        <v>0.89506590794496865</v>
      </c>
      <c r="E227">
        <v>0.77439590712317985</v>
      </c>
      <c r="F227">
        <v>0.92835820895522392</v>
      </c>
      <c r="H227" t="s">
        <v>394</v>
      </c>
      <c r="K227" t="s">
        <v>395</v>
      </c>
      <c r="L227">
        <v>0</v>
      </c>
      <c r="T227" t="str">
        <f>E191</f>
        <v>MEDIA</v>
      </c>
      <c r="U227" t="str">
        <f>F191</f>
        <v>N-SBR</v>
      </c>
      <c r="AE227">
        <v>724</v>
      </c>
      <c r="AF227">
        <v>615</v>
      </c>
    </row>
    <row r="228" spans="4:32" ht="15" thickTop="1" x14ac:dyDescent="0.3">
      <c r="D228">
        <v>0.89667947310647644</v>
      </c>
      <c r="E228">
        <v>0.80261191094327744</v>
      </c>
      <c r="F228">
        <v>0.93383494757063956</v>
      </c>
      <c r="H228" s="191" t="s">
        <v>396</v>
      </c>
      <c r="I228" s="191" t="s">
        <v>290</v>
      </c>
      <c r="J228" s="191" t="s">
        <v>292</v>
      </c>
      <c r="K228" s="191" t="s">
        <v>293</v>
      </c>
      <c r="L228" s="191" t="s">
        <v>397</v>
      </c>
      <c r="S228" t="s">
        <v>493</v>
      </c>
      <c r="T228" s="239">
        <f>COUNT(E192:E242)</f>
        <v>51</v>
      </c>
      <c r="U228" s="240">
        <f>COUNT(F192:F250)</f>
        <v>59</v>
      </c>
      <c r="AE228">
        <v>746</v>
      </c>
      <c r="AF228">
        <v>620</v>
      </c>
    </row>
    <row r="229" spans="4:32" x14ac:dyDescent="0.3">
      <c r="D229">
        <v>0.89773652934499559</v>
      </c>
      <c r="E229">
        <v>0.81280961923847694</v>
      </c>
      <c r="F229">
        <v>0.93392712550607282</v>
      </c>
      <c r="H229" t="str">
        <f>E191</f>
        <v>MEDIA</v>
      </c>
      <c r="I229">
        <f>COUNT(E192:E242)</f>
        <v>51</v>
      </c>
      <c r="J229">
        <f>AVERAGE(E192:E242)</f>
        <v>0.60567773837361427</v>
      </c>
      <c r="K229">
        <f>_xlfn.VAR.S(E192:E242)</f>
        <v>4.7901123932649128E-2</v>
      </c>
      <c r="S229" t="s">
        <v>494</v>
      </c>
      <c r="T229" s="241">
        <f>MEDIAN(E192:E242)</f>
        <v>0.56589941022280466</v>
      </c>
      <c r="U229" s="242">
        <f>MEDIAN(F192:F250)</f>
        <v>0.91052505010020035</v>
      </c>
      <c r="AE229">
        <v>772</v>
      </c>
      <c r="AF229">
        <v>636</v>
      </c>
    </row>
    <row r="230" spans="4:32" x14ac:dyDescent="0.3">
      <c r="D230">
        <v>0.90735829222932007</v>
      </c>
      <c r="E230">
        <v>0.82606482931412462</v>
      </c>
      <c r="F230">
        <v>0.93401712038250939</v>
      </c>
      <c r="H230" t="str">
        <f>F191</f>
        <v>N-SBR</v>
      </c>
      <c r="I230">
        <f>COUNT(F192:F250)</f>
        <v>59</v>
      </c>
      <c r="J230">
        <f>AVERAGE(F192:F250)</f>
        <v>0.91235096667657278</v>
      </c>
      <c r="K230">
        <f>_xlfn.VAR.S(F192:F250)</f>
        <v>2.7422215036256776E-3</v>
      </c>
      <c r="S230" t="s">
        <v>495</v>
      </c>
      <c r="T230" s="241">
        <f>[2]!RANK_SUM(E192:E242,F192:F250,1)</f>
        <v>1725</v>
      </c>
      <c r="U230" s="242">
        <f>[2]!RANK_SUM(F192:F250,E192:E242,1)</f>
        <v>4380</v>
      </c>
      <c r="AE230">
        <v>787</v>
      </c>
      <c r="AF230">
        <v>637</v>
      </c>
    </row>
    <row r="231" spans="4:32" x14ac:dyDescent="0.3">
      <c r="D231">
        <v>0.90745261148234013</v>
      </c>
      <c r="E231">
        <v>0.84709113607990005</v>
      </c>
      <c r="F231">
        <v>0.93464840024278162</v>
      </c>
      <c r="H231" s="8" t="s">
        <v>398</v>
      </c>
      <c r="I231" s="8"/>
      <c r="J231" s="8"/>
      <c r="K231" s="8">
        <f>((I229-1)*K229+(I230-1)*K230)/(I229+I230-2)</f>
        <v>2.3649120776321721E-2</v>
      </c>
      <c r="L231" s="8">
        <f>ABS(J229-J230-L227)/SQRT(K231)</f>
        <v>1.9941984086241118</v>
      </c>
      <c r="S231" t="s">
        <v>496</v>
      </c>
      <c r="T231" s="243">
        <f>T228*U228+T228*(T228+1)/2-T230</f>
        <v>2610</v>
      </c>
      <c r="U231" s="244">
        <f>T228*U228+U228*(U228+1)/2-U230</f>
        <v>399</v>
      </c>
      <c r="AE231">
        <v>840</v>
      </c>
      <c r="AF231">
        <v>637</v>
      </c>
    </row>
    <row r="232" spans="4:32" x14ac:dyDescent="0.3">
      <c r="D232">
        <v>0.9082408518296341</v>
      </c>
      <c r="E232">
        <v>0.85566139644505546</v>
      </c>
      <c r="F232">
        <v>0.93607251181491147</v>
      </c>
      <c r="AE232">
        <v>889</v>
      </c>
      <c r="AF232">
        <v>637</v>
      </c>
    </row>
    <row r="233" spans="4:32" ht="15" thickBot="1" x14ac:dyDescent="0.35">
      <c r="D233">
        <v>0.9105638275351069</v>
      </c>
      <c r="E233">
        <v>0.87333102732618473</v>
      </c>
      <c r="F233">
        <v>0.93734635991175541</v>
      </c>
      <c r="H233" t="s">
        <v>399</v>
      </c>
      <c r="L233" t="s">
        <v>288</v>
      </c>
      <c r="M233">
        <v>0.05</v>
      </c>
      <c r="T233" s="287" t="s">
        <v>497</v>
      </c>
      <c r="U233" s="287" t="s">
        <v>498</v>
      </c>
      <c r="AE233">
        <v>4112</v>
      </c>
      <c r="AF233">
        <v>656</v>
      </c>
    </row>
    <row r="234" spans="4:32" ht="15" thickTop="1" x14ac:dyDescent="0.3">
      <c r="D234">
        <v>0.9119206695266896</v>
      </c>
      <c r="E234">
        <v>0.88324787478073141</v>
      </c>
      <c r="F234">
        <v>0.93814901841885845</v>
      </c>
      <c r="H234" s="191" t="s">
        <v>400</v>
      </c>
      <c r="I234" s="191" t="s">
        <v>401</v>
      </c>
      <c r="J234" s="191" t="s">
        <v>402</v>
      </c>
      <c r="K234" s="191" t="s">
        <v>205</v>
      </c>
      <c r="L234" s="191" t="s">
        <v>311</v>
      </c>
      <c r="M234" s="191" t="s">
        <v>403</v>
      </c>
      <c r="N234" s="191" t="s">
        <v>404</v>
      </c>
      <c r="O234" s="191" t="s">
        <v>405</v>
      </c>
      <c r="P234" s="191" t="s">
        <v>406</v>
      </c>
      <c r="Q234" s="191" t="s">
        <v>407</v>
      </c>
      <c r="S234" t="s">
        <v>496</v>
      </c>
      <c r="T234" s="245">
        <f>MIN(T231,U231)</f>
        <v>399</v>
      </c>
      <c r="AE234">
        <v>4205</v>
      </c>
      <c r="AF234">
        <v>659</v>
      </c>
    </row>
    <row r="235" spans="4:32" x14ac:dyDescent="0.3">
      <c r="D235">
        <v>0.91505613664715479</v>
      </c>
      <c r="E235">
        <v>0.90580079230333888</v>
      </c>
      <c r="F235">
        <v>0.94856052435078408</v>
      </c>
      <c r="H235" t="s">
        <v>408</v>
      </c>
      <c r="I235">
        <f>SQRT(K231*(1/I229+1/I230))</f>
        <v>2.9403074771985817E-2</v>
      </c>
      <c r="J235">
        <f>(ABS(J229-J230-L227))/I235</f>
        <v>10.429971378202447</v>
      </c>
      <c r="K235">
        <f>I229+I230-2</f>
        <v>108</v>
      </c>
      <c r="L235">
        <f>_xlfn.T.DIST.RT(J235,K235)</f>
        <v>2.4460589829569845E-18</v>
      </c>
      <c r="M235">
        <f>_xlfn.T.INV.2T(M233*2,K235)</f>
        <v>1.6590851435958269</v>
      </c>
      <c r="P235" s="287" t="str">
        <f>IF(L235&lt;M233,"yes","no")</f>
        <v>yes</v>
      </c>
      <c r="Q235">
        <f>SQRT(J235^2/(J235^2+K235))</f>
        <v>0.70838474555907371</v>
      </c>
      <c r="S235" t="s">
        <v>312</v>
      </c>
      <c r="T235" s="246">
        <f>T228*U228/2</f>
        <v>1504.5</v>
      </c>
      <c r="AF235">
        <v>666</v>
      </c>
    </row>
    <row r="236" spans="4:32" x14ac:dyDescent="0.3">
      <c r="E236">
        <v>0.93265006343059353</v>
      </c>
      <c r="F236">
        <v>0.94997285348638794</v>
      </c>
      <c r="H236" t="s">
        <v>409</v>
      </c>
      <c r="I236">
        <f>I235</f>
        <v>2.9403074771985817E-2</v>
      </c>
      <c r="J236" s="29">
        <f t="shared" ref="J236:K236" si="20">J235</f>
        <v>10.429971378202447</v>
      </c>
      <c r="K236" s="29">
        <f t="shared" si="20"/>
        <v>108</v>
      </c>
      <c r="L236">
        <f>_xlfn.T.DIST.2T(J236,K236)</f>
        <v>4.892117965913969E-18</v>
      </c>
      <c r="M236">
        <f>_xlfn.T.INV.2T(M233,K236)</f>
        <v>1.982173483307728</v>
      </c>
      <c r="N236">
        <f>(J229-J230)-M236*I236</f>
        <v>-0.36495522344370324</v>
      </c>
      <c r="O236">
        <f>(J229-J230)+M236*I236</f>
        <v>-0.24839123316221379</v>
      </c>
      <c r="P236" s="287" t="str">
        <f>IF(L236&lt;M233,"yes","no")</f>
        <v>yes</v>
      </c>
      <c r="Q236">
        <f>Q235</f>
        <v>0.70838474555907371</v>
      </c>
      <c r="S236" t="s">
        <v>499</v>
      </c>
      <c r="T236" s="246">
        <f>SQRT(T235*(T228+U228+1)/6*(1-[2]!TiesCorrection(E192:E242,F192:F250,2)/((T228+U228)^3-T228-U228)))</f>
        <v>166.83300033266801</v>
      </c>
      <c r="U236" t="s">
        <v>500</v>
      </c>
      <c r="AF236">
        <v>677</v>
      </c>
    </row>
    <row r="237" spans="4:32" x14ac:dyDescent="0.3">
      <c r="E237">
        <v>0.94206074330624745</v>
      </c>
      <c r="F237">
        <v>0.95008029364533153</v>
      </c>
      <c r="H237" s="8"/>
      <c r="I237" s="8"/>
      <c r="J237" s="8"/>
      <c r="K237" s="8"/>
      <c r="L237" s="8"/>
      <c r="M237" s="8"/>
      <c r="N237" s="8"/>
      <c r="O237" s="8"/>
      <c r="P237" s="8"/>
      <c r="Q237" s="8"/>
      <c r="S237" t="s">
        <v>501</v>
      </c>
      <c r="T237" s="246">
        <f>ABS(ABS(T234-T235)-1/2)/T236</f>
        <v>6.623389843715632</v>
      </c>
      <c r="U237" t="s">
        <v>502</v>
      </c>
      <c r="AF237">
        <v>709</v>
      </c>
    </row>
    <row r="238" spans="4:32" ht="15" thickBot="1" x14ac:dyDescent="0.35">
      <c r="E238">
        <v>0.95375274423710199</v>
      </c>
      <c r="F238">
        <v>0.95507526308778479</v>
      </c>
      <c r="H238" t="s">
        <v>410</v>
      </c>
      <c r="L238" t="s">
        <v>288</v>
      </c>
      <c r="M238">
        <f>M233</f>
        <v>0.05</v>
      </c>
      <c r="S238" t="s">
        <v>407</v>
      </c>
      <c r="T238" s="246">
        <f>T237/SQRT(T228+U228)</f>
        <v>0.63151544299720652</v>
      </c>
      <c r="AF238">
        <v>721</v>
      </c>
    </row>
    <row r="239" spans="4:32" ht="15" thickTop="1" x14ac:dyDescent="0.3">
      <c r="E239">
        <v>0.96390971805638859</v>
      </c>
      <c r="F239">
        <v>0.95554889022195555</v>
      </c>
      <c r="H239" s="191" t="s">
        <v>400</v>
      </c>
      <c r="I239" s="191" t="s">
        <v>401</v>
      </c>
      <c r="J239" s="191" t="s">
        <v>402</v>
      </c>
      <c r="K239" s="191" t="s">
        <v>205</v>
      </c>
      <c r="L239" s="191" t="s">
        <v>311</v>
      </c>
      <c r="M239" s="191" t="s">
        <v>403</v>
      </c>
      <c r="N239" s="191" t="s">
        <v>404</v>
      </c>
      <c r="O239" s="191" t="s">
        <v>405</v>
      </c>
      <c r="P239" s="191" t="s">
        <v>406</v>
      </c>
      <c r="Q239" s="191" t="s">
        <v>407</v>
      </c>
      <c r="S239" t="s">
        <v>503</v>
      </c>
      <c r="T239" s="245">
        <f>1-_xlfn.NORM.S.DIST(T237,TRUE)</f>
        <v>1.7552626019323725E-11</v>
      </c>
      <c r="U239" s="240">
        <f>2*T239</f>
        <v>3.510525203864745E-11</v>
      </c>
      <c r="AF239">
        <v>750</v>
      </c>
    </row>
    <row r="240" spans="4:32" x14ac:dyDescent="0.3">
      <c r="E240">
        <v>0.96561817740761702</v>
      </c>
      <c r="F240">
        <v>0.95953637090327737</v>
      </c>
      <c r="H240" t="s">
        <v>408</v>
      </c>
      <c r="I240">
        <f>SQRT(K229/I229+K230/I230)</f>
        <v>3.1396115281026683E-2</v>
      </c>
      <c r="J240">
        <f>(ABS(J229-J230-L227))/I240</f>
        <v>9.7678717751519866</v>
      </c>
      <c r="K240">
        <f>(K229/I229+K230/I230)^2/((K229/I229)^2/(I229-1)+(K230/I230)^2/(I230-1))</f>
        <v>54.954944329136666</v>
      </c>
      <c r="L240">
        <f>[2]!T_DIST_RT(J240,K240)</f>
        <v>6.4837024638109142E-14</v>
      </c>
      <c r="M240">
        <f>[2]!T_INV(1-M238,K240)</f>
        <v>1.6730574644324514</v>
      </c>
      <c r="P240" s="287" t="str">
        <f>IF(L240&lt;M238,"yes","no")</f>
        <v>yes</v>
      </c>
      <c r="Q240">
        <f>SQRT(J240^2/(J240^2+K240))</f>
        <v>0.79657146723978589</v>
      </c>
      <c r="S240" t="s">
        <v>504</v>
      </c>
      <c r="T240" s="246">
        <f>[2]!MWDIST(T234,T228,U228,1)</f>
        <v>5.3494021984897232E-13</v>
      </c>
      <c r="U240" s="242">
        <f>2*T240</f>
        <v>1.0698804396979446E-12</v>
      </c>
      <c r="AF240">
        <v>761</v>
      </c>
    </row>
    <row r="241" spans="5:38" x14ac:dyDescent="0.3">
      <c r="E241">
        <v>0.98232546288432143</v>
      </c>
      <c r="F241">
        <v>0.96645642201834858</v>
      </c>
      <c r="H241" t="s">
        <v>409</v>
      </c>
      <c r="I241">
        <f>I240</f>
        <v>3.1396115281026683E-2</v>
      </c>
      <c r="J241" s="29">
        <f t="shared" ref="J241:K241" si="21">J240</f>
        <v>9.7678717751519866</v>
      </c>
      <c r="K241" s="29">
        <f t="shared" si="21"/>
        <v>54.954944329136666</v>
      </c>
      <c r="L241">
        <f>[2]!T_DIST_2T(J241,K241)</f>
        <v>1.2967404927621828E-13</v>
      </c>
      <c r="M241">
        <f>[2]!T_INV_2T(M238,K241)</f>
        <v>2.0040817148838546</v>
      </c>
      <c r="N241">
        <f>(J229-J230)-M241*I241</f>
        <v>-0.36959360885604964</v>
      </c>
      <c r="O241">
        <f>(J229-J230)+M241*I241</f>
        <v>-0.24375284774986739</v>
      </c>
      <c r="P241" s="287" t="str">
        <f>IF(L241&lt;M238,"yes","no")</f>
        <v>yes</v>
      </c>
      <c r="Q241">
        <f>Q240</f>
        <v>0.79657146723978589</v>
      </c>
      <c r="S241" t="s">
        <v>505</v>
      </c>
      <c r="T241" s="247" t="s">
        <v>506</v>
      </c>
      <c r="U241" s="244" t="s">
        <v>506</v>
      </c>
      <c r="AF241">
        <v>795</v>
      </c>
    </row>
    <row r="242" spans="5:38" x14ac:dyDescent="0.3">
      <c r="E242">
        <v>0.98561434844087226</v>
      </c>
      <c r="F242">
        <v>0.97056379821958461</v>
      </c>
      <c r="H242" s="8"/>
      <c r="I242" s="8"/>
      <c r="J242" s="8"/>
      <c r="K242" s="8"/>
      <c r="L242" s="8"/>
      <c r="M242" s="8"/>
      <c r="N242" s="8"/>
      <c r="O242" s="8"/>
      <c r="P242" s="8"/>
      <c r="Q242" s="8"/>
      <c r="AF242">
        <v>809</v>
      </c>
    </row>
    <row r="243" spans="5:38" x14ac:dyDescent="0.3">
      <c r="F243">
        <v>0.9738688098113909</v>
      </c>
      <c r="AF243">
        <v>1058</v>
      </c>
    </row>
    <row r="244" spans="5:38" x14ac:dyDescent="0.3">
      <c r="F244">
        <v>0.97483926686498412</v>
      </c>
      <c r="AF244">
        <v>1061</v>
      </c>
    </row>
    <row r="245" spans="5:38" x14ac:dyDescent="0.3">
      <c r="F245">
        <v>0.97523670166982268</v>
      </c>
      <c r="AF245">
        <v>1105</v>
      </c>
    </row>
    <row r="246" spans="5:38" x14ac:dyDescent="0.3">
      <c r="F246">
        <v>0.97673687786648544</v>
      </c>
      <c r="AF246">
        <v>1176</v>
      </c>
    </row>
    <row r="247" spans="5:38" x14ac:dyDescent="0.3">
      <c r="F247">
        <v>0.97951605174892187</v>
      </c>
      <c r="AF247">
        <v>2117</v>
      </c>
    </row>
    <row r="248" spans="5:38" x14ac:dyDescent="0.3">
      <c r="F248">
        <v>0.98222677036430617</v>
      </c>
      <c r="AF248">
        <v>2434</v>
      </c>
    </row>
    <row r="249" spans="5:38" x14ac:dyDescent="0.3">
      <c r="F249">
        <v>0.98277564858490563</v>
      </c>
    </row>
    <row r="250" spans="5:38" x14ac:dyDescent="0.3">
      <c r="F250">
        <v>0.98811265832743289</v>
      </c>
      <c r="AE250" s="249"/>
      <c r="AF250" s="249"/>
      <c r="AG250" s="249"/>
      <c r="AH250" s="249"/>
      <c r="AI250" s="249"/>
      <c r="AJ250" s="249"/>
      <c r="AK250" s="249"/>
      <c r="AL250" s="249"/>
    </row>
    <row r="251" spans="5:38" x14ac:dyDescent="0.3">
      <c r="AE251" s="249"/>
      <c r="AF251" s="249"/>
      <c r="AG251" s="249"/>
      <c r="AH251" s="249"/>
      <c r="AI251" s="249"/>
      <c r="AJ251" s="249"/>
      <c r="AK251" s="249"/>
      <c r="AL251" s="249"/>
    </row>
    <row r="252" spans="5:38" x14ac:dyDescent="0.3">
      <c r="AE252" s="249"/>
      <c r="AF252" s="249"/>
      <c r="AG252" s="249"/>
      <c r="AH252" s="249"/>
      <c r="AI252" s="249"/>
      <c r="AJ252" s="249"/>
      <c r="AK252" s="249"/>
      <c r="AL252" s="249"/>
    </row>
    <row r="253" spans="5:38" x14ac:dyDescent="0.3">
      <c r="AE253" s="295" t="s">
        <v>571</v>
      </c>
      <c r="AF253" s="295"/>
      <c r="AG253" s="295"/>
      <c r="AH253" s="295"/>
      <c r="AI253" s="295"/>
      <c r="AJ253" s="295"/>
      <c r="AK253" s="295"/>
      <c r="AL253" s="295"/>
    </row>
    <row r="254" spans="5:38" x14ac:dyDescent="0.3">
      <c r="AE254" t="s">
        <v>48</v>
      </c>
      <c r="AF254" t="s">
        <v>46</v>
      </c>
      <c r="AH254" t="s">
        <v>492</v>
      </c>
    </row>
    <row r="255" spans="5:38" x14ac:dyDescent="0.3">
      <c r="AE255">
        <v>355</v>
      </c>
      <c r="AF255">
        <v>1890</v>
      </c>
    </row>
    <row r="256" spans="5:38" x14ac:dyDescent="0.3">
      <c r="AE256">
        <v>1100</v>
      </c>
      <c r="AF256">
        <v>2210</v>
      </c>
      <c r="AI256" t="str">
        <f>AE254</f>
        <v>G-SBR</v>
      </c>
      <c r="AJ256" t="str">
        <f>AF254</f>
        <v>S-SBR</v>
      </c>
    </row>
    <row r="257" spans="31:38" x14ac:dyDescent="0.3">
      <c r="AE257">
        <v>1340</v>
      </c>
      <c r="AF257">
        <v>2480</v>
      </c>
      <c r="AH257" t="s">
        <v>493</v>
      </c>
      <c r="AI257" s="239">
        <f>COUNT(AE255:AE274)</f>
        <v>11</v>
      </c>
      <c r="AJ257" s="240">
        <f>COUNT(AF255:AF274)</f>
        <v>20</v>
      </c>
    </row>
    <row r="258" spans="31:38" x14ac:dyDescent="0.3">
      <c r="AE258">
        <v>1710</v>
      </c>
      <c r="AF258">
        <v>2480</v>
      </c>
      <c r="AH258" t="s">
        <v>494</v>
      </c>
      <c r="AI258" s="241">
        <f>MEDIAN(AE255:AE274)</f>
        <v>1850</v>
      </c>
      <c r="AJ258" s="242">
        <f>MEDIAN(AF255:AF274)</f>
        <v>3595</v>
      </c>
    </row>
    <row r="259" spans="31:38" x14ac:dyDescent="0.3">
      <c r="AE259">
        <v>1760</v>
      </c>
      <c r="AF259">
        <v>2895</v>
      </c>
      <c r="AH259" t="s">
        <v>495</v>
      </c>
      <c r="AI259" s="241" t="e">
        <f ca="1">[4]!RANK_SUM(AE255:AE265,AF255:AF265,1)</f>
        <v>#NAME?</v>
      </c>
      <c r="AJ259" s="242" t="e">
        <f ca="1">[4]!RANK_SUM(AF255:AF265,AE255:AE265,1)</f>
        <v>#NAME?</v>
      </c>
    </row>
    <row r="260" spans="31:38" x14ac:dyDescent="0.3">
      <c r="AE260">
        <v>1850</v>
      </c>
      <c r="AF260">
        <v>2900</v>
      </c>
      <c r="AH260" t="s">
        <v>496</v>
      </c>
      <c r="AI260" s="243" t="e">
        <f ca="1">AI257*AJ257+AI257*(AI257+1)/2-AI259</f>
        <v>#NAME?</v>
      </c>
      <c r="AJ260" s="244" t="e">
        <f ca="1">AI257*AJ257+AJ257*(AJ257+1)/2-AJ259</f>
        <v>#NAME?</v>
      </c>
    </row>
    <row r="261" spans="31:38" x14ac:dyDescent="0.3">
      <c r="AE261">
        <v>2260</v>
      </c>
      <c r="AF261">
        <v>3250</v>
      </c>
    </row>
    <row r="262" spans="31:38" x14ac:dyDescent="0.3">
      <c r="AE262">
        <v>2428</v>
      </c>
      <c r="AF262">
        <v>3294</v>
      </c>
      <c r="AI262" s="183" t="s">
        <v>497</v>
      </c>
      <c r="AJ262" s="183" t="s">
        <v>498</v>
      </c>
    </row>
    <row r="263" spans="31:38" x14ac:dyDescent="0.3">
      <c r="AE263">
        <v>2450</v>
      </c>
      <c r="AF263">
        <v>3550</v>
      </c>
      <c r="AH263" t="s">
        <v>496</v>
      </c>
      <c r="AI263" s="245" t="e">
        <f ca="1">MIN(AI260,AJ260)</f>
        <v>#NAME?</v>
      </c>
    </row>
    <row r="264" spans="31:38" x14ac:dyDescent="0.3">
      <c r="AE264">
        <v>2570</v>
      </c>
      <c r="AF264">
        <v>3580</v>
      </c>
      <c r="AH264" t="s">
        <v>312</v>
      </c>
      <c r="AI264" s="246">
        <f>AI257*AJ257/2</f>
        <v>110</v>
      </c>
    </row>
    <row r="265" spans="31:38" x14ac:dyDescent="0.3">
      <c r="AE265">
        <v>4680</v>
      </c>
      <c r="AF265">
        <v>3610</v>
      </c>
      <c r="AH265" t="s">
        <v>499</v>
      </c>
      <c r="AI265" s="246" t="e">
        <f ca="1">SQRT(AI264*(AI257+AJ257+1)/6*(1-[4]!TiesCorrection(AE255:AE265,AF255:AF265,2)/((AI257+AJ257)^3-AI257-AJ257)))</f>
        <v>#NAME?</v>
      </c>
      <c r="AJ265" t="s">
        <v>500</v>
      </c>
    </row>
    <row r="266" spans="31:38" x14ac:dyDescent="0.3">
      <c r="AF266">
        <v>3720</v>
      </c>
      <c r="AH266" t="s">
        <v>501</v>
      </c>
      <c r="AI266" s="246" t="e">
        <f ca="1">ABS(ABS(AI263-AI264)-1/2)/AI265</f>
        <v>#NAME?</v>
      </c>
      <c r="AJ266" t="s">
        <v>502</v>
      </c>
    </row>
    <row r="267" spans="31:38" x14ac:dyDescent="0.3">
      <c r="AF267">
        <v>3820</v>
      </c>
      <c r="AH267" t="s">
        <v>407</v>
      </c>
      <c r="AI267" s="246" t="e">
        <f ca="1">AI266/SQRT(AI257+AJ257)</f>
        <v>#NAME?</v>
      </c>
    </row>
    <row r="268" spans="31:38" x14ac:dyDescent="0.3">
      <c r="AF268">
        <v>3850</v>
      </c>
      <c r="AH268" t="s">
        <v>503</v>
      </c>
      <c r="AI268" s="245" t="e">
        <f ca="1">1-NORMSDIST(AI266)</f>
        <v>#NAME?</v>
      </c>
      <c r="AJ268" s="240" t="e">
        <f ca="1">2*AI268</f>
        <v>#NAME?</v>
      </c>
    </row>
    <row r="269" spans="31:38" x14ac:dyDescent="0.3">
      <c r="AF269">
        <v>4030</v>
      </c>
      <c r="AH269" t="s">
        <v>504</v>
      </c>
      <c r="AI269" s="246" t="e">
        <f ca="1">[4]!MWDIST(AI263,AI257,AJ257,1)</f>
        <v>#NAME?</v>
      </c>
      <c r="AJ269" s="242" t="e">
        <f ca="1">2*AI269</f>
        <v>#NAME?</v>
      </c>
    </row>
    <row r="270" spans="31:38" x14ac:dyDescent="0.3">
      <c r="AF270">
        <v>4351.6000000000004</v>
      </c>
      <c r="AH270" t="s">
        <v>505</v>
      </c>
      <c r="AI270" s="247" t="s">
        <v>506</v>
      </c>
      <c r="AJ270" s="244" t="s">
        <v>506</v>
      </c>
    </row>
    <row r="271" spans="31:38" x14ac:dyDescent="0.3">
      <c r="AF271">
        <v>4600</v>
      </c>
    </row>
    <row r="272" spans="31:38" x14ac:dyDescent="0.3">
      <c r="AE272" s="30"/>
      <c r="AF272" s="30">
        <v>4640</v>
      </c>
      <c r="AG272" s="30"/>
      <c r="AH272" s="30"/>
      <c r="AI272" s="30"/>
      <c r="AJ272" s="30"/>
      <c r="AK272" s="30"/>
      <c r="AL272" s="30"/>
    </row>
    <row r="273" spans="31:38" x14ac:dyDescent="0.3">
      <c r="AE273" s="30"/>
      <c r="AF273" s="30">
        <v>5280</v>
      </c>
      <c r="AG273" s="30"/>
      <c r="AH273" s="30"/>
      <c r="AI273" s="30"/>
      <c r="AJ273" s="30"/>
      <c r="AK273" s="30"/>
      <c r="AL273" s="30"/>
    </row>
    <row r="274" spans="31:38" x14ac:dyDescent="0.3">
      <c r="AE274" s="30"/>
      <c r="AF274" s="30">
        <v>6230</v>
      </c>
      <c r="AG274" s="30"/>
      <c r="AH274" s="30"/>
      <c r="AI274" s="30"/>
      <c r="AJ274" s="30"/>
      <c r="AK274" s="30"/>
      <c r="AL274" s="30"/>
    </row>
    <row r="276" spans="31:38" x14ac:dyDescent="0.3">
      <c r="AE276" s="249"/>
      <c r="AF276" s="249"/>
      <c r="AG276" s="249"/>
      <c r="AH276" s="249"/>
      <c r="AI276" s="249"/>
      <c r="AJ276" s="249"/>
      <c r="AK276" s="249"/>
      <c r="AL276" s="249"/>
    </row>
    <row r="277" spans="31:38" x14ac:dyDescent="0.3">
      <c r="AE277" s="249"/>
      <c r="AF277" s="249"/>
      <c r="AG277" s="249"/>
      <c r="AH277" s="249"/>
      <c r="AI277" s="249"/>
      <c r="AJ277" s="249"/>
      <c r="AK277" s="249"/>
      <c r="AL277" s="249"/>
    </row>
    <row r="278" spans="31:38" x14ac:dyDescent="0.3">
      <c r="AE278" s="249"/>
      <c r="AF278" s="249"/>
      <c r="AG278" s="249"/>
      <c r="AH278" s="249"/>
      <c r="AI278" s="249"/>
      <c r="AJ278" s="249"/>
      <c r="AK278" s="249"/>
      <c r="AL278" s="249"/>
    </row>
    <row r="279" spans="31:38" x14ac:dyDescent="0.3">
      <c r="AE279" s="370" t="s">
        <v>578</v>
      </c>
      <c r="AF279" s="370"/>
      <c r="AG279" s="370"/>
      <c r="AH279" s="370"/>
      <c r="AI279" s="370"/>
      <c r="AJ279" s="370"/>
      <c r="AK279" s="370"/>
      <c r="AL279" s="370"/>
    </row>
    <row r="280" spans="31:38" x14ac:dyDescent="0.3">
      <c r="AE280" t="s">
        <v>48</v>
      </c>
      <c r="AF280" t="s">
        <v>46</v>
      </c>
      <c r="AH280" t="s">
        <v>492</v>
      </c>
    </row>
    <row r="281" spans="31:38" x14ac:dyDescent="0.3">
      <c r="AE281">
        <v>2.1000000000000001E-2</v>
      </c>
      <c r="AF281">
        <v>2.1000000000000001E-2</v>
      </c>
    </row>
    <row r="282" spans="31:38" x14ac:dyDescent="0.3">
      <c r="AE282">
        <v>2.5999999999999999E-2</v>
      </c>
      <c r="AF282">
        <v>2.7199999999999998E-2</v>
      </c>
      <c r="AI282" t="str">
        <f>AE280</f>
        <v>G-SBR</v>
      </c>
      <c r="AJ282" t="str">
        <f>AF280</f>
        <v>S-SBR</v>
      </c>
    </row>
    <row r="283" spans="31:38" x14ac:dyDescent="0.3">
      <c r="AE283">
        <v>3.6999999999999998E-2</v>
      </c>
      <c r="AF283">
        <v>3.6999999999999998E-2</v>
      </c>
      <c r="AH283" t="s">
        <v>493</v>
      </c>
      <c r="AI283" s="239">
        <f>COUNT(AE281:AE287)</f>
        <v>7</v>
      </c>
      <c r="AJ283" s="240">
        <f>COUNT(AF281:AF287)</f>
        <v>7</v>
      </c>
    </row>
    <row r="284" spans="31:38" x14ac:dyDescent="0.3">
      <c r="AE284">
        <v>4.2000000000000003E-2</v>
      </c>
      <c r="AF284">
        <v>4.5999999999999999E-2</v>
      </c>
      <c r="AH284" t="s">
        <v>494</v>
      </c>
      <c r="AI284" s="241">
        <f>MEDIAN(AE281:AE287)</f>
        <v>4.2000000000000003E-2</v>
      </c>
      <c r="AJ284" s="242">
        <f>MEDIAN(AF281:AF287)</f>
        <v>4.5999999999999999E-2</v>
      </c>
    </row>
    <row r="285" spans="31:38" x14ac:dyDescent="0.3">
      <c r="AE285">
        <v>4.5999999999999999E-2</v>
      </c>
      <c r="AF285">
        <v>4.7E-2</v>
      </c>
      <c r="AH285" t="s">
        <v>495</v>
      </c>
      <c r="AI285" s="241" t="e">
        <f ca="1">[4]!RANK_SUM(AE281:AE287,AF281:AF287,1)</f>
        <v>#NAME?</v>
      </c>
      <c r="AJ285" s="242" t="e">
        <f ca="1">[4]!RANK_SUM(AF281:AF287,AE281:AE287,1)</f>
        <v>#NAME?</v>
      </c>
    </row>
    <row r="286" spans="31:38" x14ac:dyDescent="0.3">
      <c r="AE286">
        <v>7.2099999999999997E-2</v>
      </c>
      <c r="AF286">
        <v>5.8000000000000003E-2</v>
      </c>
      <c r="AH286" t="s">
        <v>496</v>
      </c>
      <c r="AI286" s="243" t="e">
        <f ca="1">AI283*AJ283+AI283*(AI283+1)/2-AI285</f>
        <v>#NAME?</v>
      </c>
      <c r="AJ286" s="244" t="e">
        <f ca="1">AI283*AJ283+AJ283*(AJ283+1)/2-AJ285</f>
        <v>#NAME?</v>
      </c>
    </row>
    <row r="287" spans="31:38" x14ac:dyDescent="0.3">
      <c r="AE287">
        <v>8.8999999999999996E-2</v>
      </c>
      <c r="AF287">
        <v>6.8000000000000005E-2</v>
      </c>
    </row>
    <row r="288" spans="31:38" x14ac:dyDescent="0.3">
      <c r="AI288" s="183" t="s">
        <v>497</v>
      </c>
      <c r="AJ288" s="183" t="s">
        <v>498</v>
      </c>
    </row>
    <row r="289" spans="31:38" x14ac:dyDescent="0.3">
      <c r="AH289" t="s">
        <v>496</v>
      </c>
      <c r="AI289" s="245" t="e">
        <f ca="1">MIN(AI286,AJ286)</f>
        <v>#NAME?</v>
      </c>
    </row>
    <row r="290" spans="31:38" x14ac:dyDescent="0.3">
      <c r="AH290" t="s">
        <v>312</v>
      </c>
      <c r="AI290" s="246">
        <f>AI283*AJ283/2</f>
        <v>24.5</v>
      </c>
    </row>
    <row r="291" spans="31:38" x14ac:dyDescent="0.3">
      <c r="AH291" t="s">
        <v>499</v>
      </c>
      <c r="AI291" s="246" t="e">
        <f ca="1">SQRT(AI290*(AI283+AJ283+1)/6*(1-[4]!TiesCorrection(AE281:AE287,AF281:AF287,2)/((AI283+AJ283)^3-AI283-AJ283)))</f>
        <v>#NAME?</v>
      </c>
      <c r="AJ291" t="s">
        <v>500</v>
      </c>
    </row>
    <row r="292" spans="31:38" x14ac:dyDescent="0.3">
      <c r="AH292" t="s">
        <v>501</v>
      </c>
      <c r="AI292" s="246" t="e">
        <f ca="1">ABS(ABS(AI289-AI290)-1/2)/AI291</f>
        <v>#NAME?</v>
      </c>
      <c r="AJ292" t="s">
        <v>502</v>
      </c>
    </row>
    <row r="293" spans="31:38" x14ac:dyDescent="0.3">
      <c r="AH293" t="s">
        <v>407</v>
      </c>
      <c r="AI293" s="246" t="e">
        <f ca="1">AI292/SQRT(AI283+AJ283)</f>
        <v>#NAME?</v>
      </c>
    </row>
    <row r="294" spans="31:38" x14ac:dyDescent="0.3">
      <c r="AH294" t="s">
        <v>503</v>
      </c>
      <c r="AI294" s="245" t="e">
        <f ca="1">1-NORMSDIST(AI292)</f>
        <v>#NAME?</v>
      </c>
      <c r="AJ294" s="240" t="e">
        <f ca="1">2*AI294</f>
        <v>#NAME?</v>
      </c>
    </row>
    <row r="295" spans="31:38" x14ac:dyDescent="0.3">
      <c r="AH295" t="s">
        <v>504</v>
      </c>
      <c r="AI295" s="246" t="e">
        <f ca="1">[4]!MWDIST(AI289,AI283,AJ283,1)</f>
        <v>#NAME?</v>
      </c>
      <c r="AJ295" s="242" t="e">
        <f ca="1">2*AI295</f>
        <v>#NAME?</v>
      </c>
    </row>
    <row r="296" spans="31:38" x14ac:dyDescent="0.3">
      <c r="AH296" t="s">
        <v>505</v>
      </c>
      <c r="AI296" s="247" t="s">
        <v>506</v>
      </c>
      <c r="AJ296" s="244" t="s">
        <v>506</v>
      </c>
    </row>
    <row r="298" spans="31:38" x14ac:dyDescent="0.3">
      <c r="AE298" s="249"/>
      <c r="AF298" s="249"/>
      <c r="AG298" s="249"/>
      <c r="AH298" s="249"/>
      <c r="AI298" s="249"/>
      <c r="AJ298" s="249"/>
      <c r="AK298" s="249"/>
      <c r="AL298" s="249"/>
    </row>
    <row r="299" spans="31:38" x14ac:dyDescent="0.3">
      <c r="AE299" s="249"/>
      <c r="AF299" s="249"/>
      <c r="AG299" s="249"/>
      <c r="AH299" s="249"/>
      <c r="AI299" s="249"/>
      <c r="AJ299" s="249"/>
      <c r="AK299" s="249"/>
      <c r="AL299" s="249"/>
    </row>
    <row r="300" spans="31:38" x14ac:dyDescent="0.3">
      <c r="AE300" s="249"/>
      <c r="AF300" s="249"/>
      <c r="AG300" s="249"/>
      <c r="AH300" s="249"/>
      <c r="AI300" s="249"/>
      <c r="AJ300" s="249"/>
      <c r="AK300" s="249"/>
      <c r="AL300" s="249"/>
    </row>
  </sheetData>
  <mergeCells count="14">
    <mergeCell ref="C124:AA124"/>
    <mergeCell ref="AE279:AL279"/>
    <mergeCell ref="AE103:AL103"/>
    <mergeCell ref="AE153:AL153"/>
    <mergeCell ref="AE203:AL203"/>
    <mergeCell ref="AE253:AL253"/>
    <mergeCell ref="C189:AA189"/>
    <mergeCell ref="C1:AA1"/>
    <mergeCell ref="C3:AA3"/>
    <mergeCell ref="C2:AA2"/>
    <mergeCell ref="C68:AA68"/>
    <mergeCell ref="AE3:AL3"/>
    <mergeCell ref="AE53:AL53"/>
    <mergeCell ref="AE2:AL2"/>
  </mergeCells>
  <pageMargins left="0.7" right="0.7" top="0.75" bottom="0.75" header="0.3" footer="0.3"/>
  <pageSetup paperSize="9" orientation="portrait" r:id="rId1"/>
  <tableParts count="1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7030A0"/>
  </sheetPr>
  <dimension ref="A1:P138"/>
  <sheetViews>
    <sheetView zoomScale="80" zoomScaleNormal="80" workbookViewId="0">
      <selection activeCell="M43" sqref="M43"/>
    </sheetView>
  </sheetViews>
  <sheetFormatPr defaultRowHeight="14.4" outlineLevelRow="1" x14ac:dyDescent="0.3"/>
  <cols>
    <col min="1" max="1" width="17.77734375" customWidth="1"/>
    <col min="11" max="11" width="8.88671875" customWidth="1"/>
  </cols>
  <sheetData>
    <row r="1" spans="1:1" s="182" customFormat="1" ht="20.399999999999999" thickBot="1" x14ac:dyDescent="0.45">
      <c r="A1" s="182" t="s">
        <v>279</v>
      </c>
    </row>
    <row r="2" spans="1:1" ht="15" thickTop="1" x14ac:dyDescent="0.3"/>
    <row r="3" spans="1:1" s="185" customFormat="1" ht="18" thickBot="1" x14ac:dyDescent="0.4">
      <c r="A3" s="185" t="s">
        <v>280</v>
      </c>
    </row>
    <row r="4" spans="1:1" s="29" customFormat="1" ht="15" hidden="1" outlineLevel="1" thickTop="1" x14ac:dyDescent="0.3">
      <c r="A4" s="188" t="s">
        <v>283</v>
      </c>
    </row>
    <row r="5" spans="1:1" s="29" customFormat="1" hidden="1" outlineLevel="1" x14ac:dyDescent="0.3"/>
    <row r="6" spans="1:1" s="29" customFormat="1" hidden="1" outlineLevel="1" x14ac:dyDescent="0.3"/>
    <row r="7" spans="1:1" s="29" customFormat="1" hidden="1" outlineLevel="1" x14ac:dyDescent="0.3"/>
    <row r="8" spans="1:1" s="29" customFormat="1" hidden="1" outlineLevel="1" x14ac:dyDescent="0.3"/>
    <row r="9" spans="1:1" s="29" customFormat="1" hidden="1" outlineLevel="1" x14ac:dyDescent="0.3"/>
    <row r="10" spans="1:1" s="29" customFormat="1" hidden="1" outlineLevel="1" x14ac:dyDescent="0.3"/>
    <row r="11" spans="1:1" s="29" customFormat="1" hidden="1" outlineLevel="1" x14ac:dyDescent="0.3"/>
    <row r="12" spans="1:1" s="29" customFormat="1" hidden="1" outlineLevel="1" x14ac:dyDescent="0.3"/>
    <row r="13" spans="1:1" s="29" customFormat="1" hidden="1" outlineLevel="1" x14ac:dyDescent="0.3"/>
    <row r="14" spans="1:1" s="29" customFormat="1" hidden="1" outlineLevel="1" x14ac:dyDescent="0.3"/>
    <row r="15" spans="1:1" s="29" customFormat="1" hidden="1" outlineLevel="1" x14ac:dyDescent="0.3"/>
    <row r="16" spans="1:1" s="29" customFormat="1" hidden="1" outlineLevel="1" x14ac:dyDescent="0.3"/>
    <row r="17" s="29" customFormat="1" hidden="1" outlineLevel="1" x14ac:dyDescent="0.3"/>
    <row r="18" s="29" customFormat="1" hidden="1" outlineLevel="1" x14ac:dyDescent="0.3"/>
    <row r="19" s="29" customFormat="1" hidden="1" outlineLevel="1" x14ac:dyDescent="0.3"/>
    <row r="20" s="29" customFormat="1" hidden="1" outlineLevel="1" x14ac:dyDescent="0.3"/>
    <row r="21" hidden="1" outlineLevel="1" x14ac:dyDescent="0.3"/>
    <row r="22" hidden="1" outlineLevel="1" x14ac:dyDescent="0.3"/>
    <row r="23" hidden="1" outlineLevel="1" x14ac:dyDescent="0.3"/>
    <row r="24" hidden="1" outlineLevel="1" x14ac:dyDescent="0.3"/>
    <row r="25" hidden="1" outlineLevel="1" x14ac:dyDescent="0.3"/>
    <row r="26" hidden="1" outlineLevel="1" x14ac:dyDescent="0.3"/>
    <row r="27" hidden="1" outlineLevel="1" x14ac:dyDescent="0.3"/>
    <row r="28" hidden="1" outlineLevel="1" x14ac:dyDescent="0.3"/>
    <row r="29" hidden="1" outlineLevel="1" x14ac:dyDescent="0.3"/>
    <row r="30" hidden="1" outlineLevel="1" x14ac:dyDescent="0.3"/>
    <row r="31" s="29" customFormat="1" hidden="1" outlineLevel="1" x14ac:dyDescent="0.3"/>
    <row r="32" s="29" customFormat="1" ht="15" collapsed="1" thickTop="1" x14ac:dyDescent="0.3"/>
    <row r="33" spans="1:16" s="185" customFormat="1" ht="18" thickBot="1" x14ac:dyDescent="0.4">
      <c r="A33" s="185" t="s">
        <v>281</v>
      </c>
    </row>
    <row r="34" spans="1:16" s="29" customFormat="1" ht="15" thickTop="1" x14ac:dyDescent="0.3">
      <c r="A34" s="29" t="s">
        <v>313</v>
      </c>
    </row>
    <row r="35" spans="1:16" s="29" customFormat="1" x14ac:dyDescent="0.3"/>
    <row r="36" spans="1:16" x14ac:dyDescent="0.3">
      <c r="A36" s="371" t="s">
        <v>273</v>
      </c>
      <c r="B36" s="371"/>
      <c r="C36" s="371"/>
      <c r="D36" s="371"/>
      <c r="E36" s="371"/>
      <c r="F36" s="371" t="s">
        <v>274</v>
      </c>
      <c r="G36" s="371"/>
      <c r="H36" s="371"/>
      <c r="I36" s="371"/>
      <c r="K36" s="188" t="s">
        <v>314</v>
      </c>
    </row>
    <row r="37" spans="1:16" x14ac:dyDescent="0.3">
      <c r="A37" s="183" t="s">
        <v>1</v>
      </c>
      <c r="B37" s="183" t="s">
        <v>271</v>
      </c>
      <c r="C37" s="183" t="s">
        <v>47</v>
      </c>
      <c r="D37" s="183" t="s">
        <v>272</v>
      </c>
      <c r="E37" s="183" t="s">
        <v>231</v>
      </c>
      <c r="F37" s="183" t="s">
        <v>275</v>
      </c>
      <c r="G37" s="183" t="s">
        <v>276</v>
      </c>
      <c r="H37" s="183" t="s">
        <v>277</v>
      </c>
      <c r="I37" s="183" t="s">
        <v>278</v>
      </c>
      <c r="K37" s="366" t="s">
        <v>284</v>
      </c>
      <c r="L37" s="372"/>
      <c r="M37" s="189" t="s">
        <v>271</v>
      </c>
      <c r="N37" s="189" t="s">
        <v>202</v>
      </c>
      <c r="O37" s="189" t="s">
        <v>272</v>
      </c>
      <c r="P37" s="189" t="s">
        <v>231</v>
      </c>
    </row>
    <row r="38" spans="1:16" x14ac:dyDescent="0.3">
      <c r="A38" s="22">
        <f>'1-Influent'!B4</f>
        <v>1</v>
      </c>
      <c r="B38" s="6">
        <f>'S-SBR'!AM4</f>
        <v>0.25614629459999999</v>
      </c>
      <c r="C38" s="6">
        <f>'1-Media'!AP4</f>
        <v>4.2803081850937369E-2</v>
      </c>
      <c r="D38" s="6">
        <f>'G-SBR'!AM4</f>
        <v>0.38379048345580186</v>
      </c>
      <c r="E38" s="6">
        <f>'1-LTP'!AJ4</f>
        <v>0.22571113884366678</v>
      </c>
      <c r="F38" s="6">
        <f>IFERROR(LOG(2+B38),0)</f>
        <v>0.35336725704782046</v>
      </c>
      <c r="G38" s="6">
        <f>IFERROR(LOG(2+C38),0)</f>
        <v>0.31022650437727889</v>
      </c>
      <c r="H38" s="6">
        <f>IFERROR(LOG(2+D38),0)</f>
        <v>0.37726808165644005</v>
      </c>
      <c r="I38" s="6">
        <f>IFERROR(LOG(2+E38),0)</f>
        <v>0.34746879928592306</v>
      </c>
      <c r="K38" s="373" t="s">
        <v>285</v>
      </c>
      <c r="L38" s="373"/>
      <c r="M38" s="6">
        <v>1.8415870000000004E-2</v>
      </c>
      <c r="N38" s="6">
        <v>4.2803081850937369E-2</v>
      </c>
      <c r="O38" s="6">
        <v>9.0617308827127922E-3</v>
      </c>
      <c r="P38" s="6">
        <v>8.9840831964971991E-3</v>
      </c>
    </row>
    <row r="39" spans="1:16" x14ac:dyDescent="0.3">
      <c r="A39" s="22">
        <f>'1-Influent'!B5</f>
        <v>2</v>
      </c>
      <c r="B39" s="6"/>
      <c r="C39" s="6"/>
      <c r="D39" s="6"/>
      <c r="E39" s="6">
        <f>'1-LTP'!AJ5</f>
        <v>0.227293960324077</v>
      </c>
      <c r="F39" s="6"/>
      <c r="G39" s="6"/>
      <c r="H39" s="6"/>
      <c r="I39" s="6">
        <f>IFERROR(LOG(2+E39),0)</f>
        <v>0.34777753940564982</v>
      </c>
      <c r="M39" s="6">
        <v>0.25614629459999999</v>
      </c>
      <c r="N39" s="6">
        <v>6.1982645922834624E-2</v>
      </c>
      <c r="O39" s="6">
        <v>6.7290796588757737E-2</v>
      </c>
      <c r="P39" s="6">
        <v>1.8396279917676343E-2</v>
      </c>
    </row>
    <row r="40" spans="1:16" x14ac:dyDescent="0.3">
      <c r="A40" s="22">
        <f>'1-Influent'!B6</f>
        <v>3</v>
      </c>
      <c r="B40" s="6"/>
      <c r="C40" s="6"/>
      <c r="D40" s="6"/>
      <c r="E40" s="6"/>
      <c r="F40" s="6"/>
      <c r="G40" s="6"/>
      <c r="H40" s="6"/>
      <c r="I40" s="6"/>
      <c r="M40" s="6">
        <v>0.62958412799999985</v>
      </c>
      <c r="N40" s="6">
        <v>6.2262537610735469E-2</v>
      </c>
      <c r="O40" s="6">
        <v>6.8543913250220009E-2</v>
      </c>
      <c r="P40" s="6">
        <v>3.0629197336666737E-2</v>
      </c>
    </row>
    <row r="41" spans="1:16" x14ac:dyDescent="0.3">
      <c r="A41" s="22">
        <f>'1-Influent'!B7</f>
        <v>4</v>
      </c>
      <c r="B41" s="6"/>
      <c r="C41" s="6"/>
      <c r="D41" s="6"/>
      <c r="E41" s="6"/>
      <c r="F41" s="6"/>
      <c r="G41" s="6"/>
      <c r="H41" s="6"/>
      <c r="I41" s="6"/>
      <c r="M41" s="6">
        <v>0.67039440300000019</v>
      </c>
      <c r="N41" s="6">
        <v>7.2402933399040484E-2</v>
      </c>
      <c r="O41" s="6">
        <v>7.6292308998669706E-2</v>
      </c>
      <c r="P41" s="6">
        <v>4.5682680721797972E-2</v>
      </c>
    </row>
    <row r="42" spans="1:16" x14ac:dyDescent="0.3">
      <c r="A42" s="22">
        <f>'1-Influent'!B8</f>
        <v>5</v>
      </c>
      <c r="B42" s="6"/>
      <c r="C42" s="6"/>
      <c r="D42" s="6"/>
      <c r="E42" s="6"/>
      <c r="F42" s="6"/>
      <c r="G42" s="6"/>
      <c r="H42" s="6"/>
      <c r="I42" s="6"/>
      <c r="M42" s="6">
        <v>0.69172625200000004</v>
      </c>
      <c r="N42" s="6">
        <v>8.7234937356820544E-2</v>
      </c>
      <c r="O42" s="6">
        <v>0.10608086335549018</v>
      </c>
      <c r="P42" s="6">
        <v>4.9185632085794101E-2</v>
      </c>
    </row>
    <row r="43" spans="1:16" x14ac:dyDescent="0.3">
      <c r="A43" s="22">
        <f>'1-Influent'!B9</f>
        <v>6</v>
      </c>
      <c r="B43" s="6"/>
      <c r="C43" s="6"/>
      <c r="D43" s="6"/>
      <c r="E43" s="6"/>
      <c r="F43" s="6"/>
      <c r="G43" s="6"/>
      <c r="H43" s="6"/>
      <c r="I43" s="6"/>
      <c r="M43" s="6">
        <v>0.71222391500000004</v>
      </c>
      <c r="N43" s="6">
        <v>8.7513764373956471E-2</v>
      </c>
      <c r="O43" s="6">
        <v>0.12026807192074039</v>
      </c>
      <c r="P43" s="6">
        <v>5.1422584931130173E-2</v>
      </c>
    </row>
    <row r="44" spans="1:16" x14ac:dyDescent="0.3">
      <c r="A44" s="22">
        <f>'1-Influent'!B10</f>
        <v>7</v>
      </c>
      <c r="B44" s="6">
        <f>'S-SBR'!AM10</f>
        <v>0.78823994199999992</v>
      </c>
      <c r="C44" s="6">
        <f>'1-Media'!AP10</f>
        <v>0.130157304</v>
      </c>
      <c r="D44" s="6"/>
      <c r="E44" s="6"/>
      <c r="F44" s="6">
        <f t="shared" ref="F44:G46" si="0">IFERROR(LOG(2+B44),0)</f>
        <v>0.4453301442476168</v>
      </c>
      <c r="G44" s="6">
        <f t="shared" si="0"/>
        <v>0.32841167561557877</v>
      </c>
      <c r="H44" s="6"/>
      <c r="I44" s="6"/>
      <c r="M44" s="6">
        <v>0.72490909919999968</v>
      </c>
      <c r="N44" s="6">
        <v>8.7728429474033712E-2</v>
      </c>
      <c r="O44" s="6">
        <v>0.16751879279361928</v>
      </c>
      <c r="P44" s="6">
        <v>5.4195266166453669E-2</v>
      </c>
    </row>
    <row r="45" spans="1:16" x14ac:dyDescent="0.3">
      <c r="A45" s="22">
        <f>'1-Influent'!B11</f>
        <v>8</v>
      </c>
      <c r="B45" s="6">
        <f>'S-SBR'!AM11</f>
        <v>0.79016799000000015</v>
      </c>
      <c r="C45" s="6">
        <f>'1-Media'!AP11</f>
        <v>0.42986629614067529</v>
      </c>
      <c r="D45" s="6"/>
      <c r="E45" s="6"/>
      <c r="F45" s="6">
        <f t="shared" si="0"/>
        <v>0.4456303519953449</v>
      </c>
      <c r="G45" s="6">
        <f t="shared" si="0"/>
        <v>0.38558237711853671</v>
      </c>
      <c r="H45" s="6"/>
      <c r="I45" s="6"/>
      <c r="M45" s="6">
        <v>0.74295776520000001</v>
      </c>
      <c r="N45" s="6">
        <v>9.0166081752626526E-2</v>
      </c>
      <c r="O45" s="6">
        <v>0.19675159663865543</v>
      </c>
      <c r="P45" s="6">
        <v>7.1999253338919045E-2</v>
      </c>
    </row>
    <row r="46" spans="1:16" x14ac:dyDescent="0.3">
      <c r="A46" s="22">
        <f>'1-Influent'!B12</f>
        <v>9</v>
      </c>
      <c r="B46" s="6">
        <f>'S-SBR'!AM12</f>
        <v>0.9299929400000001</v>
      </c>
      <c r="C46" s="6">
        <f>'1-Media'!AP12</f>
        <v>6.1982645922834624E-2</v>
      </c>
      <c r="D46" s="6"/>
      <c r="E46" s="6"/>
      <c r="F46" s="6">
        <f t="shared" si="0"/>
        <v>0.46686657389583769</v>
      </c>
      <c r="G46" s="6">
        <f t="shared" si="0"/>
        <v>0.31428500584969615</v>
      </c>
      <c r="H46" s="6"/>
      <c r="I46" s="6"/>
      <c r="M46" s="6">
        <v>0.74976772920000023</v>
      </c>
      <c r="N46" s="6">
        <v>0.130157304</v>
      </c>
      <c r="O46" s="6">
        <v>0.21261330761812922</v>
      </c>
      <c r="P46" s="6">
        <v>8.0014802586233891E-2</v>
      </c>
    </row>
    <row r="47" spans="1:16" x14ac:dyDescent="0.3">
      <c r="A47" s="22">
        <f>'1-Influent'!B13</f>
        <v>10</v>
      </c>
      <c r="B47" s="6"/>
      <c r="C47" s="6"/>
      <c r="D47" s="6"/>
      <c r="E47" s="6"/>
      <c r="F47" s="6"/>
      <c r="G47" s="6"/>
      <c r="H47" s="6"/>
      <c r="I47" s="6"/>
      <c r="M47" s="6">
        <v>0.77900792299999999</v>
      </c>
      <c r="N47" s="6">
        <v>0.15107948972187452</v>
      </c>
      <c r="O47" s="6">
        <v>0.2475404751097855</v>
      </c>
      <c r="P47" s="6">
        <v>0.13701874219444932</v>
      </c>
    </row>
    <row r="48" spans="1:16" x14ac:dyDescent="0.3">
      <c r="A48" s="22">
        <f>'1-Influent'!B14</f>
        <v>11</v>
      </c>
      <c r="B48" s="6">
        <f>'S-SBR'!AM14</f>
        <v>0.96334056000000001</v>
      </c>
      <c r="C48" s="6"/>
      <c r="D48" s="6"/>
      <c r="E48" s="6"/>
      <c r="F48" s="6">
        <f>IFERROR(LOG(2+B48),0)</f>
        <v>0.47178156536111221</v>
      </c>
      <c r="G48" s="6"/>
      <c r="H48" s="6"/>
      <c r="I48" s="6"/>
      <c r="M48" s="6">
        <v>0.78823994199999992</v>
      </c>
      <c r="N48" s="6">
        <v>0.2166652986203324</v>
      </c>
      <c r="O48" s="6">
        <v>0.27192510583123342</v>
      </c>
      <c r="P48" s="6">
        <v>0.1800513803242412</v>
      </c>
    </row>
    <row r="49" spans="1:16" x14ac:dyDescent="0.3">
      <c r="A49" s="22">
        <f>'1-Influent'!B15</f>
        <v>12</v>
      </c>
      <c r="B49" s="6">
        <f>'S-SBR'!AM15</f>
        <v>1.8415870000000004E-2</v>
      </c>
      <c r="C49" s="6"/>
      <c r="D49" s="6"/>
      <c r="E49" s="6"/>
      <c r="F49" s="6">
        <f>IFERROR(LOG(2+B49),0)</f>
        <v>0.30501065220746321</v>
      </c>
      <c r="G49" s="6"/>
      <c r="H49" s="6"/>
      <c r="I49" s="6"/>
      <c r="M49" s="6">
        <v>0.79016799000000015</v>
      </c>
      <c r="N49" s="6">
        <v>0.24318898785013118</v>
      </c>
      <c r="O49" s="6">
        <v>0.28438145750839267</v>
      </c>
      <c r="P49" s="6">
        <v>0.21921294306785669</v>
      </c>
    </row>
    <row r="50" spans="1:16" x14ac:dyDescent="0.3">
      <c r="A50" s="22">
        <f>'1-Influent'!B16</f>
        <v>13</v>
      </c>
      <c r="B50" s="6"/>
      <c r="C50" s="6"/>
      <c r="D50" s="6"/>
      <c r="E50" s="6">
        <f>'1-LTP'!AJ16</f>
        <v>0.13701874219444932</v>
      </c>
      <c r="F50" s="6"/>
      <c r="G50" s="6"/>
      <c r="H50" s="6"/>
      <c r="I50" s="6">
        <f>IFERROR(LOG(2+E50),0)</f>
        <v>0.32980833105313573</v>
      </c>
      <c r="M50" s="6">
        <v>0.79604420840000012</v>
      </c>
      <c r="N50" s="6">
        <v>0.25739414898768614</v>
      </c>
      <c r="O50" s="6">
        <v>0.34759442836810933</v>
      </c>
      <c r="P50" s="6">
        <v>0.22571113884366678</v>
      </c>
    </row>
    <row r="51" spans="1:16" x14ac:dyDescent="0.3">
      <c r="A51" s="22">
        <f>'1-Influent'!B17</f>
        <v>14</v>
      </c>
      <c r="B51" s="6"/>
      <c r="C51" s="6"/>
      <c r="D51" s="6"/>
      <c r="E51" s="6">
        <f>'1-LTP'!AJ17</f>
        <v>4.5682680721797972E-2</v>
      </c>
      <c r="F51" s="6"/>
      <c r="G51" s="6"/>
      <c r="H51" s="6"/>
      <c r="I51" s="6">
        <f>IFERROR(LOG(2+E51),0)</f>
        <v>0.31083826833054984</v>
      </c>
      <c r="M51" s="6">
        <v>0.80254176300000002</v>
      </c>
      <c r="N51" s="6">
        <v>0.2720464548125669</v>
      </c>
      <c r="O51" s="6">
        <v>0.38379048345580186</v>
      </c>
      <c r="P51" s="6">
        <v>0.227293960324077</v>
      </c>
    </row>
    <row r="52" spans="1:16" x14ac:dyDescent="0.3">
      <c r="A52" s="22">
        <f>'1-Influent'!B18</f>
        <v>15</v>
      </c>
      <c r="B52" s="6">
        <f>'S-SBR'!AM18</f>
        <v>0.71222391500000004</v>
      </c>
      <c r="C52" s="6">
        <f>'1-Media'!AP18</f>
        <v>8.7513764373956471E-2</v>
      </c>
      <c r="D52" s="6">
        <f>'G-SBR'!AM18</f>
        <v>0.46041116620649664</v>
      </c>
      <c r="E52" s="6">
        <f>'1-LTP'!AJ18</f>
        <v>0</v>
      </c>
      <c r="F52" s="6">
        <f t="shared" ref="F52:H53" si="1">IFERROR(LOG(2+B52),0)</f>
        <v>0.43332554103375753</v>
      </c>
      <c r="G52" s="6">
        <f t="shared" si="1"/>
        <v>0.31962934775896823</v>
      </c>
      <c r="H52" s="6">
        <f t="shared" si="1"/>
        <v>0.39100768933645291</v>
      </c>
      <c r="I52" s="6">
        <f>IFERROR(LOG(2+E52),0)</f>
        <v>0.3010299956639812</v>
      </c>
      <c r="M52" s="6">
        <v>0.8132106400000001</v>
      </c>
      <c r="N52" s="6">
        <v>0.40323739105071432</v>
      </c>
      <c r="O52" s="6">
        <v>0.39093819889541415</v>
      </c>
      <c r="P52" s="6">
        <v>0.23062228486025618</v>
      </c>
    </row>
    <row r="53" spans="1:16" x14ac:dyDescent="0.3">
      <c r="A53" s="22">
        <f>'1-Influent'!B19</f>
        <v>16</v>
      </c>
      <c r="B53" s="6">
        <f>'S-SBR'!AM19</f>
        <v>0.92741764799999993</v>
      </c>
      <c r="C53" s="6">
        <f>'1-Media'!AP19</f>
        <v>8.7234937356820544E-2</v>
      </c>
      <c r="D53" s="6">
        <f>'G-SBR'!AM19</f>
        <v>0.19675159663865543</v>
      </c>
      <c r="E53" s="6">
        <f>'1-LTP'!AJ19</f>
        <v>0</v>
      </c>
      <c r="F53" s="6">
        <f t="shared" si="1"/>
        <v>0.46648468665738901</v>
      </c>
      <c r="G53" s="6">
        <f t="shared" si="1"/>
        <v>0.31957133562756618</v>
      </c>
      <c r="H53" s="6">
        <f t="shared" si="1"/>
        <v>0.34178095072647069</v>
      </c>
      <c r="I53" s="6">
        <f>IFERROR(LOG(2+E53),0)</f>
        <v>0.3010299956639812</v>
      </c>
      <c r="M53" s="6">
        <v>0.81886292000000005</v>
      </c>
      <c r="N53" s="6">
        <v>0.42986629614067529</v>
      </c>
      <c r="O53" s="6">
        <v>0.46041116620649664</v>
      </c>
      <c r="P53" s="6">
        <v>0.33029028423484624</v>
      </c>
    </row>
    <row r="54" spans="1:16" x14ac:dyDescent="0.3">
      <c r="A54" s="22">
        <f>'1-Influent'!B20</f>
        <v>17</v>
      </c>
      <c r="B54" s="6"/>
      <c r="C54" s="6"/>
      <c r="D54" s="6"/>
      <c r="E54" s="6"/>
      <c r="F54" s="6"/>
      <c r="G54" s="6"/>
      <c r="H54" s="6"/>
      <c r="I54" s="6"/>
      <c r="M54" s="6">
        <v>0.82220626399999996</v>
      </c>
      <c r="N54" s="6">
        <v>0.47486084158016739</v>
      </c>
      <c r="O54" s="6">
        <v>1.3137553012550109</v>
      </c>
      <c r="P54" s="6"/>
    </row>
    <row r="55" spans="1:16" x14ac:dyDescent="0.3">
      <c r="A55" s="22">
        <f>'1-Influent'!B21</f>
        <v>18</v>
      </c>
      <c r="B55" s="6"/>
      <c r="C55" s="6"/>
      <c r="D55" s="6"/>
      <c r="E55" s="6"/>
      <c r="F55" s="6"/>
      <c r="G55" s="6"/>
      <c r="H55" s="6"/>
      <c r="I55" s="6"/>
      <c r="M55" s="6">
        <v>0.83093187599999974</v>
      </c>
      <c r="N55" s="6">
        <v>0.50785750199718727</v>
      </c>
      <c r="O55" s="6"/>
      <c r="P55" s="6"/>
    </row>
    <row r="56" spans="1:16" x14ac:dyDescent="0.3">
      <c r="A56" s="22">
        <f>'1-Influent'!B22</f>
        <v>19</v>
      </c>
      <c r="B56" s="6"/>
      <c r="C56" s="6"/>
      <c r="D56" s="6"/>
      <c r="E56" s="6"/>
      <c r="F56" s="6"/>
      <c r="G56" s="6"/>
      <c r="H56" s="6"/>
      <c r="I56" s="6"/>
      <c r="M56" s="6">
        <v>0.8464472959999999</v>
      </c>
      <c r="N56" s="6"/>
      <c r="O56" s="6"/>
      <c r="P56" s="6"/>
    </row>
    <row r="57" spans="1:16" x14ac:dyDescent="0.3">
      <c r="A57" s="22">
        <f>'1-Influent'!B23</f>
        <v>20</v>
      </c>
      <c r="B57" s="6"/>
      <c r="C57" s="6"/>
      <c r="D57" s="6"/>
      <c r="E57" s="6"/>
      <c r="F57" s="6"/>
      <c r="G57" s="6"/>
      <c r="H57" s="6"/>
      <c r="I57" s="6"/>
      <c r="M57" s="6">
        <v>0.85961029799999999</v>
      </c>
      <c r="N57" s="6"/>
      <c r="O57" s="6"/>
      <c r="P57" s="6"/>
    </row>
    <row r="58" spans="1:16" x14ac:dyDescent="0.3">
      <c r="A58" s="22">
        <f>'1-Influent'!B24</f>
        <v>21</v>
      </c>
      <c r="B58" s="6"/>
      <c r="C58" s="6"/>
      <c r="D58" s="6"/>
      <c r="E58" s="6"/>
      <c r="F58" s="6"/>
      <c r="G58" s="6"/>
      <c r="H58" s="6"/>
      <c r="I58" s="6"/>
      <c r="M58" s="6">
        <v>0.90862898399999981</v>
      </c>
      <c r="N58" s="6"/>
      <c r="O58" s="6"/>
      <c r="P58" s="6"/>
    </row>
    <row r="59" spans="1:16" x14ac:dyDescent="0.3">
      <c r="A59" s="22">
        <f>'1-Influent'!B25</f>
        <v>22</v>
      </c>
      <c r="B59" s="6"/>
      <c r="C59" s="6"/>
      <c r="D59" s="6"/>
      <c r="E59" s="6"/>
      <c r="F59" s="6"/>
      <c r="G59" s="6"/>
      <c r="H59" s="6"/>
      <c r="I59" s="6"/>
      <c r="M59" s="6">
        <v>0.92741764799999993</v>
      </c>
      <c r="N59" s="6"/>
      <c r="O59" s="6"/>
      <c r="P59" s="6"/>
    </row>
    <row r="60" spans="1:16" x14ac:dyDescent="0.3">
      <c r="A60" s="22">
        <f>'1-Influent'!B26</f>
        <v>23</v>
      </c>
      <c r="B60" s="6"/>
      <c r="C60" s="6"/>
      <c r="D60" s="6"/>
      <c r="E60" s="6"/>
      <c r="F60" s="6"/>
      <c r="G60" s="6"/>
      <c r="H60" s="6"/>
      <c r="I60" s="6"/>
      <c r="M60" s="6">
        <v>0.9299929400000001</v>
      </c>
      <c r="N60" s="6"/>
      <c r="O60" s="6"/>
      <c r="P60" s="6"/>
    </row>
    <row r="61" spans="1:16" x14ac:dyDescent="0.3">
      <c r="A61" s="22">
        <f>'1-Influent'!B27</f>
        <v>24</v>
      </c>
      <c r="B61" s="6"/>
      <c r="C61" s="6"/>
      <c r="D61" s="6"/>
      <c r="E61" s="6"/>
      <c r="F61" s="6"/>
      <c r="G61" s="6"/>
      <c r="H61" s="6"/>
      <c r="I61" s="6"/>
      <c r="M61" s="6">
        <v>0.96334056000000001</v>
      </c>
      <c r="N61" s="6"/>
      <c r="O61" s="6"/>
      <c r="P61" s="6"/>
    </row>
    <row r="62" spans="1:16" x14ac:dyDescent="0.3">
      <c r="A62" s="22">
        <f>'1-Influent'!B28</f>
        <v>25</v>
      </c>
      <c r="B62" s="6"/>
      <c r="C62" s="6"/>
      <c r="D62" s="6"/>
      <c r="E62" s="6"/>
      <c r="F62" s="6"/>
      <c r="G62" s="6"/>
      <c r="H62" s="6"/>
      <c r="I62" s="6"/>
    </row>
    <row r="63" spans="1:16" x14ac:dyDescent="0.3">
      <c r="A63" s="22">
        <f>'1-Influent'!B29</f>
        <v>26</v>
      </c>
      <c r="B63" s="6"/>
      <c r="C63" s="6"/>
      <c r="D63" s="6"/>
      <c r="E63" s="6"/>
      <c r="F63" s="6"/>
      <c r="G63" s="6"/>
      <c r="H63" s="6"/>
      <c r="I63" s="6"/>
    </row>
    <row r="64" spans="1:16" x14ac:dyDescent="0.3">
      <c r="A64" s="22">
        <f>'1-Influent'!B30</f>
        <v>27</v>
      </c>
      <c r="B64" s="6"/>
      <c r="C64" s="6"/>
      <c r="D64" s="6"/>
      <c r="E64" s="6"/>
      <c r="F64" s="6"/>
      <c r="G64" s="6"/>
      <c r="H64" s="6"/>
      <c r="I64" s="6"/>
    </row>
    <row r="65" spans="1:9" x14ac:dyDescent="0.3">
      <c r="A65" s="22">
        <f>'1-Influent'!B31</f>
        <v>28</v>
      </c>
      <c r="B65" s="6">
        <f>'S-SBR'!AM31</f>
        <v>0.77900792299999999</v>
      </c>
      <c r="C65" s="6"/>
      <c r="D65" s="6">
        <f>'G-SBR'!AM31</f>
        <v>6.7290796588757737E-2</v>
      </c>
      <c r="E65" s="6"/>
      <c r="F65" s="6">
        <f t="shared" ref="F65:F77" si="2">IFERROR(LOG(2+B65),0)</f>
        <v>0.44388978496027043</v>
      </c>
      <c r="G65" s="6"/>
      <c r="H65" s="6">
        <f t="shared" ref="H65:H72" si="3">IFERROR(LOG(2+D65),0)</f>
        <v>0.31540157119478524</v>
      </c>
      <c r="I65" s="6"/>
    </row>
    <row r="66" spans="1:9" x14ac:dyDescent="0.3">
      <c r="A66" s="22">
        <f>'1-Influent'!B32</f>
        <v>29</v>
      </c>
      <c r="B66" s="6">
        <f>'S-SBR'!AM32</f>
        <v>0.67039440300000019</v>
      </c>
      <c r="C66" s="6">
        <f>'1-Media'!AP32</f>
        <v>8.7728429474033712E-2</v>
      </c>
      <c r="D66" s="6">
        <f>'G-SBR'!AM32</f>
        <v>0.39093819889541415</v>
      </c>
      <c r="E66" s="6"/>
      <c r="F66" s="6">
        <f t="shared" si="2"/>
        <v>0.42657540907874458</v>
      </c>
      <c r="G66" s="6">
        <f>IFERROR(LOG(2+C66),0)</f>
        <v>0.31967400522513406</v>
      </c>
      <c r="H66" s="6">
        <f t="shared" si="3"/>
        <v>0.37856835059274113</v>
      </c>
      <c r="I66" s="6"/>
    </row>
    <row r="67" spans="1:9" x14ac:dyDescent="0.3">
      <c r="A67" s="22">
        <f>'1-Influent'!B33</f>
        <v>30</v>
      </c>
      <c r="B67" s="6">
        <f>'S-SBR'!AM33</f>
        <v>0.79604420840000012</v>
      </c>
      <c r="C67" s="6">
        <f>'1-Media'!AP33</f>
        <v>0.24318898785013118</v>
      </c>
      <c r="D67" s="6">
        <f>'G-SBR'!AM33</f>
        <v>1.3137553012550109</v>
      </c>
      <c r="E67" s="6">
        <f>'1-LTP'!AJ33</f>
        <v>1.8396279917676343E-2</v>
      </c>
      <c r="F67" s="6">
        <f t="shared" si="2"/>
        <v>0.44654403378050761</v>
      </c>
      <c r="G67" s="6">
        <f>IFERROR(LOG(2+C67),0)</f>
        <v>0.35086586427530347</v>
      </c>
      <c r="H67" s="6">
        <f t="shared" si="3"/>
        <v>0.5203204355141281</v>
      </c>
      <c r="I67" s="6">
        <f>IFERROR(LOG(2+E67),0)</f>
        <v>0.30500643706723007</v>
      </c>
    </row>
    <row r="68" spans="1:9" x14ac:dyDescent="0.3">
      <c r="A68" s="22">
        <f>'1-Influent'!B34</f>
        <v>31</v>
      </c>
      <c r="B68" s="6">
        <f>'S-SBR'!AM34</f>
        <v>0.81886292000000005</v>
      </c>
      <c r="C68" s="6">
        <f>'1-Media'!AP34</f>
        <v>0.25739414898768614</v>
      </c>
      <c r="D68" s="6">
        <f>'G-SBR'!AM34</f>
        <v>0.28438145750839267</v>
      </c>
      <c r="E68" s="6"/>
      <c r="F68" s="6">
        <f t="shared" si="2"/>
        <v>0.45007395684532026</v>
      </c>
      <c r="G68" s="6">
        <f>IFERROR(LOG(2+C68),0)</f>
        <v>0.35360739504829786</v>
      </c>
      <c r="H68" s="6">
        <f t="shared" si="3"/>
        <v>0.35876862630692213</v>
      </c>
      <c r="I68" s="6"/>
    </row>
    <row r="69" spans="1:9" x14ac:dyDescent="0.3">
      <c r="A69" s="22">
        <f>'1-Influent'!B35</f>
        <v>32</v>
      </c>
      <c r="B69" s="6">
        <f>'S-SBR'!AM35</f>
        <v>0.8464472959999999</v>
      </c>
      <c r="C69" s="6">
        <f>'1-Media'!AP35</f>
        <v>0.40323739105071432</v>
      </c>
      <c r="D69" s="6">
        <f>'G-SBR'!AM35</f>
        <v>0.34759442836810933</v>
      </c>
      <c r="E69" s="6"/>
      <c r="F69" s="6">
        <f t="shared" si="2"/>
        <v>0.45430314695020946</v>
      </c>
      <c r="G69" s="6">
        <f>IFERROR(LOG(2+C69),0)</f>
        <v>0.3807966723982551</v>
      </c>
      <c r="H69" s="6">
        <f t="shared" si="3"/>
        <v>0.37062307011574919</v>
      </c>
      <c r="I69" s="6"/>
    </row>
    <row r="70" spans="1:9" x14ac:dyDescent="0.3">
      <c r="A70" s="22">
        <f>'1-Influent'!B36</f>
        <v>33</v>
      </c>
      <c r="B70" s="6">
        <f>'S-SBR'!AM36</f>
        <v>0.8132106400000001</v>
      </c>
      <c r="C70" s="6"/>
      <c r="D70" s="6">
        <f>'G-SBR'!AM36</f>
        <v>0.2475404751097855</v>
      </c>
      <c r="E70" s="6"/>
      <c r="F70" s="6">
        <f t="shared" si="2"/>
        <v>0.4492022513137236</v>
      </c>
      <c r="G70" s="6"/>
      <c r="H70" s="6">
        <f t="shared" si="3"/>
        <v>0.35170752152141965</v>
      </c>
      <c r="I70" s="6"/>
    </row>
    <row r="71" spans="1:9" x14ac:dyDescent="0.3">
      <c r="A71" s="22">
        <f>'1-Influent'!B37</f>
        <v>34</v>
      </c>
      <c r="B71" s="6">
        <f>'S-SBR'!AM37</f>
        <v>0.85961029799999999</v>
      </c>
      <c r="C71" s="6">
        <f>'1-Media'!AP37</f>
        <v>0.2166652986203324</v>
      </c>
      <c r="D71" s="6">
        <f>'G-SBR'!AM37</f>
        <v>0.27192510583123342</v>
      </c>
      <c r="E71" s="6">
        <f>'1-LTP'!AJ37</f>
        <v>3.0629197336666737E-2</v>
      </c>
      <c r="F71" s="6">
        <f t="shared" si="2"/>
        <v>0.45630685237384089</v>
      </c>
      <c r="G71" s="6">
        <f>IFERROR(LOG(2+C71),0)</f>
        <v>0.34570012255254412</v>
      </c>
      <c r="H71" s="6">
        <f t="shared" si="3"/>
        <v>0.35639401072721671</v>
      </c>
      <c r="I71" s="6">
        <f>IFERROR(LOG(2+E71),0)</f>
        <v>0.30763062638226535</v>
      </c>
    </row>
    <row r="72" spans="1:9" x14ac:dyDescent="0.3">
      <c r="A72" s="22">
        <f>'1-Influent'!B38</f>
        <v>35</v>
      </c>
      <c r="B72" s="6">
        <f>'S-SBR'!AM38</f>
        <v>0.72490909919999968</v>
      </c>
      <c r="C72" s="6">
        <f>'1-Media'!AP38</f>
        <v>0.47486084158016739</v>
      </c>
      <c r="D72" s="6">
        <f>'G-SBR'!AM38</f>
        <v>0.16751879279361928</v>
      </c>
      <c r="E72" s="6"/>
      <c r="F72" s="6">
        <f t="shared" si="2"/>
        <v>0.4353520191358517</v>
      </c>
      <c r="G72" s="6">
        <f>IFERROR(LOG(2+C72),0)</f>
        <v>0.39355078410476901</v>
      </c>
      <c r="H72" s="6">
        <f t="shared" si="3"/>
        <v>0.33596287157901472</v>
      </c>
      <c r="I72" s="6"/>
    </row>
    <row r="73" spans="1:9" x14ac:dyDescent="0.3">
      <c r="A73" s="22">
        <f>'1-Influent'!B39</f>
        <v>36</v>
      </c>
      <c r="B73" s="6">
        <f>'S-SBR'!AM39</f>
        <v>0.69172625200000004</v>
      </c>
      <c r="C73" s="6">
        <f>'1-Media'!AP39</f>
        <v>6.2262537610735469E-2</v>
      </c>
      <c r="D73" s="6">
        <f>'G-SBR'!AM39</f>
        <v>9.0617308827127922E-3</v>
      </c>
      <c r="E73" s="6"/>
      <c r="F73" s="6">
        <f t="shared" si="2"/>
        <v>0.43003089013922335</v>
      </c>
      <c r="G73" s="6">
        <f>IFERROR(LOG(2+C73),0)</f>
        <v>0.31434395259527659</v>
      </c>
      <c r="H73" s="6"/>
      <c r="I73" s="6"/>
    </row>
    <row r="74" spans="1:9" x14ac:dyDescent="0.3">
      <c r="A74" s="22">
        <f>'1-Influent'!B40</f>
        <v>37</v>
      </c>
      <c r="B74" s="6">
        <f>'S-SBR'!AM40</f>
        <v>0.90862898399999981</v>
      </c>
      <c r="C74" s="6">
        <f>'1-Media'!AP40</f>
        <v>0.15107948972187452</v>
      </c>
      <c r="D74" s="6">
        <f>'G-SBR'!AM40</f>
        <v>0.21261330761812922</v>
      </c>
      <c r="E74" s="6">
        <f>'1-LTP'!AJ40</f>
        <v>5.4195266166453669E-2</v>
      </c>
      <c r="F74" s="6">
        <f t="shared" si="2"/>
        <v>0.46368832747679317</v>
      </c>
      <c r="G74" s="6">
        <f>IFERROR(LOG(2+C74),0)</f>
        <v>0.3326564593459555</v>
      </c>
      <c r="H74" s="6">
        <f t="shared" ref="H74:I77" si="4">IFERROR(LOG(2+D74),0)</f>
        <v>0.34490552009903813</v>
      </c>
      <c r="I74" s="6">
        <f t="shared" si="4"/>
        <v>0.31264172406549229</v>
      </c>
    </row>
    <row r="75" spans="1:9" x14ac:dyDescent="0.3">
      <c r="A75" s="22">
        <f>'1-Influent'!B41</f>
        <v>38</v>
      </c>
      <c r="B75" s="6">
        <f>'S-SBR'!AM41</f>
        <v>0.74295776520000001</v>
      </c>
      <c r="C75" s="6">
        <f>'1-Media'!AP41</f>
        <v>0</v>
      </c>
      <c r="D75" s="6">
        <f>'G-SBR'!AM41</f>
        <v>0.10608086335549018</v>
      </c>
      <c r="E75" s="6">
        <f>'1-LTP'!AJ41</f>
        <v>7.1999253338919045E-2</v>
      </c>
      <c r="F75" s="6">
        <f t="shared" si="2"/>
        <v>0.43821912058965629</v>
      </c>
      <c r="G75" s="6">
        <f>IFERROR(LOG(2+C75),0)</f>
        <v>0.3010299956639812</v>
      </c>
      <c r="H75" s="6">
        <f t="shared" si="4"/>
        <v>0.32347504198473748</v>
      </c>
      <c r="I75" s="6">
        <f t="shared" si="4"/>
        <v>0.31638959457182197</v>
      </c>
    </row>
    <row r="76" spans="1:9" x14ac:dyDescent="0.3">
      <c r="A76" s="22">
        <f>'1-Influent'!B42</f>
        <v>39</v>
      </c>
      <c r="B76" s="6">
        <f>'S-SBR'!AM42</f>
        <v>0.82220626399999996</v>
      </c>
      <c r="C76" s="6"/>
      <c r="D76" s="6">
        <f>'G-SBR'!AM42</f>
        <v>6.8543913250220009E-2</v>
      </c>
      <c r="E76" s="6">
        <f>'1-LTP'!AJ42</f>
        <v>4.9185632085794101E-2</v>
      </c>
      <c r="F76" s="6">
        <f t="shared" si="2"/>
        <v>0.4505887514606518</v>
      </c>
      <c r="G76" s="6"/>
      <c r="H76" s="6">
        <f t="shared" si="4"/>
        <v>0.31566474499455677</v>
      </c>
      <c r="I76" s="6">
        <f t="shared" si="4"/>
        <v>0.31158130214880292</v>
      </c>
    </row>
    <row r="77" spans="1:9" x14ac:dyDescent="0.3">
      <c r="A77" s="22">
        <f>'1-Influent'!B43</f>
        <v>40</v>
      </c>
      <c r="B77" s="6">
        <f>'S-SBR'!AM43</f>
        <v>0.80254176300000002</v>
      </c>
      <c r="C77" s="6"/>
      <c r="D77" s="6">
        <f>'G-SBR'!AM43</f>
        <v>7.6292308998669706E-2</v>
      </c>
      <c r="E77" s="6">
        <f>'1-LTP'!AJ43</f>
        <v>5.1422584931130173E-2</v>
      </c>
      <c r="F77" s="6">
        <f t="shared" si="2"/>
        <v>0.44755209309762856</v>
      </c>
      <c r="G77" s="6"/>
      <c r="H77" s="6">
        <f t="shared" si="4"/>
        <v>0.31728849524991198</v>
      </c>
      <c r="I77" s="6">
        <f t="shared" si="4"/>
        <v>0.31205513252808409</v>
      </c>
    </row>
    <row r="78" spans="1:9" x14ac:dyDescent="0.3">
      <c r="A78" s="22">
        <f>'1-Influent'!B44</f>
        <v>41</v>
      </c>
      <c r="B78" s="6"/>
      <c r="C78" s="6">
        <f>'1-Media'!AP44</f>
        <v>9.0166081752626526E-2</v>
      </c>
      <c r="D78" s="6">
        <f>'G-SBR'!AM44</f>
        <v>0.12026807192074039</v>
      </c>
      <c r="E78" s="6">
        <f>'1-LTP'!AJ44</f>
        <v>8.9840831964971991E-3</v>
      </c>
      <c r="F78" s="6"/>
      <c r="G78" s="6">
        <f>IFERROR(LOG(2+C78),0)</f>
        <v>0.3201807959306821</v>
      </c>
      <c r="H78" s="6">
        <f>IFERROR(LOG(2+D78),0)</f>
        <v>0.32639077356828794</v>
      </c>
      <c r="I78" s="6"/>
    </row>
    <row r="79" spans="1:9" x14ac:dyDescent="0.3">
      <c r="A79" s="22">
        <f>'1-Influent'!B45</f>
        <v>42</v>
      </c>
      <c r="B79" s="6">
        <f>'S-SBR'!AM45</f>
        <v>0.62958412799999985</v>
      </c>
      <c r="C79" s="6">
        <f>'1-Media'!AP45</f>
        <v>0.2720464548125669</v>
      </c>
      <c r="D79" s="6"/>
      <c r="E79" s="6">
        <f>'1-LTP'!AJ45</f>
        <v>0.1800513803242412</v>
      </c>
      <c r="F79" s="6">
        <f>IFERROR(LOG(2+B79),0)</f>
        <v>0.41988706970802947</v>
      </c>
      <c r="G79" s="6">
        <f>IFERROR(LOG(2+C79),0)</f>
        <v>0.3564172068200121</v>
      </c>
      <c r="H79" s="6"/>
      <c r="I79" s="6">
        <f>IFERROR(LOG(2+E79),0)</f>
        <v>0.33846672935154948</v>
      </c>
    </row>
    <row r="80" spans="1:9" x14ac:dyDescent="0.3">
      <c r="A80" s="22">
        <f>'1-Influent'!B46</f>
        <v>43</v>
      </c>
      <c r="B80" s="6">
        <f>'S-SBR'!AM46</f>
        <v>0.74976772920000023</v>
      </c>
      <c r="C80" s="6"/>
      <c r="D80" s="6"/>
      <c r="E80" s="6">
        <f>'1-LTP'!AJ46</f>
        <v>8.0014802586233891E-2</v>
      </c>
      <c r="F80" s="6">
        <f>IFERROR(LOG(2+B80),0)</f>
        <v>0.43929601085317199</v>
      </c>
      <c r="G80" s="6"/>
      <c r="H80" s="6"/>
      <c r="I80" s="6">
        <f>IFERROR(LOG(2+E80),0)</f>
        <v>0.3180664256640327</v>
      </c>
    </row>
    <row r="81" spans="1:14" x14ac:dyDescent="0.3">
      <c r="A81" s="22">
        <f>'1-Influent'!B47</f>
        <v>44</v>
      </c>
      <c r="B81" s="6">
        <f>'S-SBR'!AM47</f>
        <v>0.83093187599999974</v>
      </c>
      <c r="C81" s="6">
        <f>'1-Media'!AP47</f>
        <v>7.2402933399040484E-2</v>
      </c>
      <c r="D81" s="6"/>
      <c r="E81" s="6">
        <f>'1-LTP'!AJ47</f>
        <v>0.33029028423484624</v>
      </c>
      <c r="F81" s="6">
        <f>IFERROR(LOG(2+B81),0)</f>
        <v>0.4519294185585816</v>
      </c>
      <c r="G81" s="6">
        <f>IFERROR(LOG(2+C81),0)</f>
        <v>0.31647419834106072</v>
      </c>
      <c r="H81" s="6"/>
      <c r="I81" s="6">
        <f>IFERROR(LOG(2+E81),0)</f>
        <v>0.36741002445471166</v>
      </c>
    </row>
    <row r="82" spans="1:14" x14ac:dyDescent="0.3">
      <c r="A82" s="22"/>
      <c r="B82" s="29"/>
      <c r="C82" s="6"/>
      <c r="D82" s="6"/>
      <c r="E82" s="6"/>
      <c r="F82" s="29"/>
      <c r="G82" s="29"/>
      <c r="H82" s="29"/>
      <c r="I82" s="29"/>
    </row>
    <row r="83" spans="1:14" s="185" customFormat="1" ht="18" thickBot="1" x14ac:dyDescent="0.4">
      <c r="A83" s="186" t="s">
        <v>282</v>
      </c>
      <c r="C83" s="187"/>
      <c r="D83" s="187"/>
      <c r="E83" s="187"/>
    </row>
    <row r="84" spans="1:14" ht="15" thickTop="1" x14ac:dyDescent="0.3">
      <c r="A84" s="197"/>
      <c r="B84" s="29"/>
      <c r="C84" s="6"/>
      <c r="D84" s="6"/>
      <c r="E84" s="6"/>
      <c r="F84" s="29"/>
      <c r="G84" s="29"/>
      <c r="H84" s="29"/>
      <c r="I84" s="29"/>
    </row>
    <row r="85" spans="1:14" x14ac:dyDescent="0.3">
      <c r="A85" s="22" t="s">
        <v>286</v>
      </c>
      <c r="B85" s="29"/>
      <c r="C85" s="6"/>
      <c r="D85" s="6"/>
      <c r="E85" s="6"/>
      <c r="F85" s="29"/>
      <c r="G85" s="29"/>
      <c r="H85" s="29"/>
      <c r="I85" s="29"/>
      <c r="K85" t="s">
        <v>308</v>
      </c>
    </row>
    <row r="86" spans="1:14" ht="15" thickBot="1" x14ac:dyDescent="0.35">
      <c r="A86" s="22"/>
      <c r="B86" s="29"/>
      <c r="C86" s="6"/>
      <c r="D86" s="6"/>
      <c r="E86" s="6"/>
      <c r="F86" s="29"/>
      <c r="G86" s="29"/>
      <c r="H86" s="29"/>
      <c r="I86" s="29"/>
    </row>
    <row r="87" spans="1:14" ht="15.6" thickTop="1" thickBot="1" x14ac:dyDescent="0.35">
      <c r="A87" s="22" t="s">
        <v>287</v>
      </c>
      <c r="B87" s="29"/>
      <c r="C87" s="6"/>
      <c r="D87" s="6"/>
      <c r="E87" s="6"/>
      <c r="F87" s="29" t="s">
        <v>288</v>
      </c>
      <c r="G87" s="29">
        <v>0.05</v>
      </c>
      <c r="H87" s="29"/>
      <c r="I87" s="29"/>
      <c r="K87" s="191" t="s">
        <v>309</v>
      </c>
      <c r="L87" s="191" t="s">
        <v>310</v>
      </c>
      <c r="M87" s="191" t="s">
        <v>311</v>
      </c>
      <c r="N87" s="191" t="s">
        <v>312</v>
      </c>
    </row>
    <row r="88" spans="1:14" ht="15" thickTop="1" x14ac:dyDescent="0.3">
      <c r="A88" s="190" t="s">
        <v>289</v>
      </c>
      <c r="B88" s="191" t="s">
        <v>290</v>
      </c>
      <c r="C88" s="192" t="s">
        <v>291</v>
      </c>
      <c r="D88" s="192" t="s">
        <v>292</v>
      </c>
      <c r="E88" s="192" t="s">
        <v>293</v>
      </c>
      <c r="F88" s="191" t="s">
        <v>294</v>
      </c>
      <c r="G88" s="191" t="s">
        <v>295</v>
      </c>
      <c r="H88" s="191" t="s">
        <v>296</v>
      </c>
      <c r="I88" s="191" t="s">
        <v>297</v>
      </c>
      <c r="K88" t="str">
        <f>M37</f>
        <v>SSBR</v>
      </c>
      <c r="L88" t="str">
        <f>N37</f>
        <v>MEDIA</v>
      </c>
      <c r="M88">
        <f>TTEST(M38:M61,N38:N61,2,3)</f>
        <v>5.3782442539672095E-12</v>
      </c>
      <c r="N88">
        <f>ABS(AVERAGE(M38:M61)-AVERAGE(N38:N61))</f>
        <v>0.54034080027487108</v>
      </c>
    </row>
    <row r="89" spans="1:14" x14ac:dyDescent="0.3">
      <c r="A89" s="22" t="str">
        <f>M37</f>
        <v>SSBR</v>
      </c>
      <c r="B89" s="29">
        <f>COUNT(M38:M61)</f>
        <v>24</v>
      </c>
      <c r="C89" s="6">
        <f>SUM(M38:M61)</f>
        <v>17.8727767086</v>
      </c>
      <c r="D89" s="6">
        <f>AVERAGE(M38:M61)</f>
        <v>0.744699029525</v>
      </c>
      <c r="E89" s="6">
        <f>VAR(M38:M61)</f>
        <v>4.3040833233796767E-2</v>
      </c>
      <c r="F89" s="184">
        <f>DEVSQ(M38:M61)</f>
        <v>0.98993916437732576</v>
      </c>
      <c r="G89" s="184">
        <f>SQRT(D97/B89)</f>
        <v>4.1696461249801579E-2</v>
      </c>
      <c r="H89" s="184">
        <f>D89-G89*TINV(G87,C97)</f>
        <v>0.66155864715332602</v>
      </c>
      <c r="I89" s="184">
        <f>D89+G89*TINV(G87,C97)</f>
        <v>0.82783941189667398</v>
      </c>
      <c r="K89" t="str">
        <f>M37</f>
        <v>SSBR</v>
      </c>
      <c r="L89" t="str">
        <f>O37</f>
        <v>GSBR</v>
      </c>
      <c r="M89">
        <f>TTEST(M38:M61,O38:O61,2,3)</f>
        <v>6.6461356219842711E-6</v>
      </c>
      <c r="N89">
        <f>ABS(AVERAGE(M38:M61)-AVERAGE(O38:O61))</f>
        <v>0.46677208842633883</v>
      </c>
    </row>
    <row r="90" spans="1:14" x14ac:dyDescent="0.3">
      <c r="A90" s="22" t="str">
        <f>N37</f>
        <v>MEDIA</v>
      </c>
      <c r="B90" s="29">
        <f>COUNT(N38:N61)</f>
        <v>18</v>
      </c>
      <c r="C90" s="6">
        <f>SUM(N38:N61)</f>
        <v>3.6784481265023206</v>
      </c>
      <c r="D90" s="6">
        <f>AVERAGE(N38:N61)</f>
        <v>0.20435822925012892</v>
      </c>
      <c r="E90" s="6">
        <f>VAR(N38:N61)</f>
        <v>2.4180916951707515E-2</v>
      </c>
      <c r="F90" s="184">
        <f>DEVSQ(N38:N61)</f>
        <v>0.4110755881790279</v>
      </c>
      <c r="G90" s="184">
        <f>SQRT(D97/B90)</f>
        <v>4.8146926253655485E-2</v>
      </c>
      <c r="H90" s="184">
        <f>D90-G90*TINV(G87,C97)</f>
        <v>0.10835598496450008</v>
      </c>
      <c r="I90" s="184">
        <f>D90+G90*TINV(G87,C97)</f>
        <v>0.30036047353575779</v>
      </c>
      <c r="K90" t="str">
        <f>M37</f>
        <v>SSBR</v>
      </c>
      <c r="L90" t="str">
        <f>P37</f>
        <v>LTP</v>
      </c>
      <c r="M90">
        <f>TTEST(M38:M61,P38:P61,2,3)</f>
        <v>1.1356804841045486E-14</v>
      </c>
      <c r="N90">
        <f>ABS(AVERAGE(M38:M61)-AVERAGE(P38:P61))</f>
        <v>0.62215462239183983</v>
      </c>
    </row>
    <row r="91" spans="1:14" x14ac:dyDescent="0.3">
      <c r="A91" s="22" t="str">
        <f>O37</f>
        <v>GSBR</v>
      </c>
      <c r="B91" s="29">
        <f>COUNT(O38:O61)</f>
        <v>17</v>
      </c>
      <c r="C91" s="6">
        <f>SUM(O38:O61)</f>
        <v>4.7247579986772399</v>
      </c>
      <c r="D91" s="6">
        <f>AVERAGE(O38:O61)</f>
        <v>0.27792694109866117</v>
      </c>
      <c r="E91" s="6">
        <f>VAR(O38:O61)</f>
        <v>8.8416288800593254E-2</v>
      </c>
      <c r="F91" s="184">
        <f>DEVSQ(O38:O61)</f>
        <v>1.4146606208094927</v>
      </c>
      <c r="G91" s="184">
        <f>SQRT(D97/B91)</f>
        <v>4.9542778388775771E-2</v>
      </c>
      <c r="H91" s="184">
        <f>D91-G91*TINV(G87,C97)</f>
        <v>0.17914144670571608</v>
      </c>
      <c r="I91" s="184">
        <f>D91+G91*TINV(G87,C97)</f>
        <v>0.37671243549160627</v>
      </c>
      <c r="K91" t="str">
        <f>N37</f>
        <v>MEDIA</v>
      </c>
      <c r="L91" t="str">
        <f>O37</f>
        <v>GSBR</v>
      </c>
      <c r="M91">
        <f>TTEST(N38:N61,O38:O61,2,3)</f>
        <v>0.37223760058085398</v>
      </c>
      <c r="N91">
        <f>ABS(AVERAGE(N38:N61)-AVERAGE(O38:O61))</f>
        <v>7.3568711848532253E-2</v>
      </c>
    </row>
    <row r="92" spans="1:14" x14ac:dyDescent="0.3">
      <c r="A92" s="22" t="str">
        <f>P37</f>
        <v>LTP</v>
      </c>
      <c r="B92" s="29">
        <f>COUNT(P38:P61)</f>
        <v>16</v>
      </c>
      <c r="C92" s="6">
        <f>SUM(P38:P61)</f>
        <v>1.9607105141305625</v>
      </c>
      <c r="D92" s="6">
        <f>AVERAGE(P38:P61)</f>
        <v>0.12254440713316016</v>
      </c>
      <c r="E92" s="6">
        <f>VAR(P38:P61)</f>
        <v>9.792686896181766E-3</v>
      </c>
      <c r="F92" s="184">
        <f>DEVSQ(P38:P61)</f>
        <v>0.14689030344272652</v>
      </c>
      <c r="G92" s="184">
        <f>SQRT(D97/B92)</f>
        <v>5.1067527070872615E-2</v>
      </c>
      <c r="H92" s="184">
        <f>D92-G92*TINV(G87,C97)</f>
        <v>2.0718650217916704E-2</v>
      </c>
      <c r="I92" s="184">
        <f>D92+G92*TINV(G87,C97)</f>
        <v>0.2243701640484036</v>
      </c>
      <c r="K92" t="str">
        <f>N37</f>
        <v>MEDIA</v>
      </c>
      <c r="L92" t="str">
        <f>P37</f>
        <v>LTP</v>
      </c>
      <c r="M92">
        <f>TTEST(N38:N61,P38:P61,2,3)</f>
        <v>7.4449982840708182E-2</v>
      </c>
      <c r="N92">
        <f>ABS(AVERAGE(N38:N61)-AVERAGE(P38:P61))</f>
        <v>8.1813822116968762E-2</v>
      </c>
    </row>
    <row r="93" spans="1:14" x14ac:dyDescent="0.3">
      <c r="A93" s="193"/>
      <c r="B93" s="8"/>
      <c r="C93" s="194"/>
      <c r="D93" s="194"/>
      <c r="E93" s="194"/>
      <c r="F93" s="8"/>
      <c r="G93" s="8"/>
      <c r="H93" s="8"/>
      <c r="I93" s="8"/>
      <c r="K93" s="16" t="str">
        <f>O37</f>
        <v>GSBR</v>
      </c>
      <c r="L93" s="16" t="str">
        <f>P37</f>
        <v>LTP</v>
      </c>
      <c r="M93" s="16">
        <f>TTEST(O38:O61,P38:P61,2,3)</f>
        <v>5.5207573759256841E-2</v>
      </c>
      <c r="N93" s="16">
        <f>ABS(AVERAGE(O38:O61)-AVERAGE(P38:P61))</f>
        <v>0.155382533965501</v>
      </c>
    </row>
    <row r="94" spans="1:14" ht="15" thickBot="1" x14ac:dyDescent="0.35">
      <c r="A94" s="22" t="s">
        <v>298</v>
      </c>
      <c r="B94" s="29"/>
      <c r="C94" s="6"/>
      <c r="D94" s="6"/>
      <c r="E94" s="6"/>
      <c r="F94" s="29"/>
      <c r="G94" s="29"/>
      <c r="H94" s="29"/>
      <c r="I94" s="29"/>
    </row>
    <row r="95" spans="1:14" ht="15" thickTop="1" x14ac:dyDescent="0.3">
      <c r="A95" s="190" t="s">
        <v>299</v>
      </c>
      <c r="B95" s="191" t="s">
        <v>294</v>
      </c>
      <c r="C95" s="192" t="s">
        <v>205</v>
      </c>
      <c r="D95" s="192" t="s">
        <v>300</v>
      </c>
      <c r="E95" s="192" t="s">
        <v>91</v>
      </c>
      <c r="F95" s="191" t="s">
        <v>301</v>
      </c>
      <c r="G95" s="191" t="s">
        <v>302</v>
      </c>
      <c r="H95" s="191" t="s">
        <v>303</v>
      </c>
      <c r="I95" s="191" t="s">
        <v>304</v>
      </c>
    </row>
    <row r="96" spans="1:14" x14ac:dyDescent="0.3">
      <c r="A96" s="22" t="s">
        <v>305</v>
      </c>
      <c r="B96" s="29">
        <f>B98-B97</f>
        <v>4.9841609111974368</v>
      </c>
      <c r="C96" s="6">
        <f>COUNTA(A89:A92)-1</f>
        <v>3</v>
      </c>
      <c r="D96" s="6">
        <f>B96/C96</f>
        <v>1.6613869703991455</v>
      </c>
      <c r="E96" s="6">
        <f>D96/D97</f>
        <v>39.816324013248618</v>
      </c>
      <c r="F96" s="29">
        <f>FDIST(E96,C96,C97)</f>
        <v>3.3253758548727816E-15</v>
      </c>
      <c r="G96" s="29">
        <f>FINV(G87,C96,C97)</f>
        <v>2.7336471599545784</v>
      </c>
      <c r="H96" s="29">
        <f>SQRT(DEVSQ(D89:D92)/(D97*C96))</f>
        <v>1.3651645994156236</v>
      </c>
      <c r="I96" s="29">
        <f>(B98-C98*D97)/(B98+D97)</f>
        <v>0.60825070408615411</v>
      </c>
    </row>
    <row r="97" spans="1:9" x14ac:dyDescent="0.3">
      <c r="A97" s="22" t="s">
        <v>306</v>
      </c>
      <c r="B97" s="29">
        <f>SUM(F89:F92)</f>
        <v>2.9625656768085729</v>
      </c>
      <c r="C97" s="6">
        <f>C98-C96</f>
        <v>71</v>
      </c>
      <c r="D97" s="6">
        <f>B97/C97</f>
        <v>4.1726277138148915E-2</v>
      </c>
      <c r="E97" s="6"/>
      <c r="F97" s="29"/>
      <c r="G97" s="29"/>
      <c r="H97" s="29"/>
      <c r="I97" s="29"/>
    </row>
    <row r="98" spans="1:9" x14ac:dyDescent="0.3">
      <c r="A98" s="195" t="s">
        <v>307</v>
      </c>
      <c r="B98" s="16">
        <f>DEVSQ(M38:P61)</f>
        <v>7.9467265880060092</v>
      </c>
      <c r="C98" s="196">
        <f>COUNT(M38:P61)-1</f>
        <v>74</v>
      </c>
      <c r="D98" s="196">
        <f>B98/C98</f>
        <v>0.10738819713521634</v>
      </c>
      <c r="E98" s="196"/>
      <c r="F98" s="16"/>
      <c r="G98" s="16"/>
      <c r="H98" s="16"/>
      <c r="I98" s="16"/>
    </row>
    <row r="99" spans="1:9" x14ac:dyDescent="0.3">
      <c r="A99" s="22"/>
      <c r="B99" s="29"/>
      <c r="C99" s="6"/>
      <c r="D99" s="6"/>
      <c r="E99" s="6"/>
      <c r="F99" s="29"/>
      <c r="G99" s="29"/>
      <c r="H99" s="29"/>
      <c r="I99" s="29"/>
    </row>
    <row r="100" spans="1:9" x14ac:dyDescent="0.3">
      <c r="A100" s="22"/>
      <c r="B100" s="29"/>
      <c r="C100" s="6"/>
      <c r="D100" s="6"/>
      <c r="E100" s="6"/>
      <c r="F100" s="29"/>
      <c r="G100" s="29"/>
      <c r="H100" s="29"/>
      <c r="I100" s="29"/>
    </row>
    <row r="101" spans="1:9" x14ac:dyDescent="0.3">
      <c r="A101" s="22"/>
      <c r="B101" s="29"/>
      <c r="C101" s="6"/>
      <c r="D101" s="6"/>
      <c r="E101" s="6"/>
      <c r="F101" s="29"/>
      <c r="G101" s="29"/>
      <c r="H101" s="29"/>
      <c r="I101" s="29"/>
    </row>
    <row r="102" spans="1:9" x14ac:dyDescent="0.3">
      <c r="A102" s="22"/>
      <c r="B102" s="29"/>
      <c r="C102" s="6"/>
      <c r="D102" s="6"/>
      <c r="E102" s="6"/>
      <c r="F102" s="29"/>
      <c r="G102" s="29"/>
      <c r="H102" s="29"/>
      <c r="I102" s="29"/>
    </row>
    <row r="103" spans="1:9" x14ac:dyDescent="0.3">
      <c r="A103" s="22"/>
      <c r="B103" s="29"/>
      <c r="C103" s="6"/>
      <c r="D103" s="6"/>
      <c r="E103" s="6"/>
      <c r="F103" s="29"/>
      <c r="G103" s="29"/>
      <c r="H103" s="29"/>
      <c r="I103" s="29"/>
    </row>
    <row r="104" spans="1:9" x14ac:dyDescent="0.3">
      <c r="A104" s="22"/>
      <c r="B104" s="29"/>
      <c r="C104" s="6"/>
      <c r="D104" s="6"/>
      <c r="E104" s="6"/>
      <c r="F104" s="29"/>
      <c r="G104" s="29"/>
      <c r="H104" s="29"/>
      <c r="I104" s="29"/>
    </row>
    <row r="105" spans="1:9" x14ac:dyDescent="0.3">
      <c r="A105" s="22"/>
      <c r="B105" s="29"/>
      <c r="C105" s="6"/>
      <c r="D105" s="6"/>
      <c r="E105" s="6"/>
      <c r="F105" s="29"/>
      <c r="G105" s="29"/>
      <c r="H105" s="29"/>
      <c r="I105" s="29"/>
    </row>
    <row r="106" spans="1:9" x14ac:dyDescent="0.3">
      <c r="A106" s="22"/>
      <c r="B106" s="29"/>
      <c r="C106" s="6"/>
      <c r="D106" s="6"/>
      <c r="E106" s="6"/>
      <c r="F106" s="29"/>
      <c r="G106" s="29"/>
      <c r="H106" s="29"/>
      <c r="I106" s="29"/>
    </row>
    <row r="107" spans="1:9" x14ac:dyDescent="0.3">
      <c r="A107" s="22"/>
      <c r="B107" s="29"/>
      <c r="C107" s="6"/>
      <c r="D107" s="6"/>
      <c r="E107" s="6"/>
      <c r="F107" s="29"/>
      <c r="G107" s="29"/>
      <c r="H107" s="29"/>
      <c r="I107" s="29"/>
    </row>
    <row r="108" spans="1:9" x14ac:dyDescent="0.3">
      <c r="A108" s="22"/>
      <c r="B108" s="29"/>
      <c r="C108" s="6"/>
      <c r="D108" s="6"/>
      <c r="E108" s="6"/>
      <c r="F108" s="29"/>
      <c r="G108" s="29"/>
      <c r="H108" s="29"/>
      <c r="I108" s="29"/>
    </row>
    <row r="109" spans="1:9" x14ac:dyDescent="0.3">
      <c r="A109" s="22"/>
      <c r="B109" s="29"/>
      <c r="C109" s="6"/>
      <c r="D109" s="6"/>
      <c r="E109" s="6"/>
      <c r="F109" s="29"/>
      <c r="G109" s="29"/>
      <c r="H109" s="29"/>
      <c r="I109" s="29"/>
    </row>
    <row r="110" spans="1:9" x14ac:dyDescent="0.3">
      <c r="A110" s="22"/>
      <c r="B110" s="29"/>
      <c r="C110" s="6"/>
      <c r="D110" s="6"/>
      <c r="E110" s="6"/>
      <c r="F110" s="29"/>
      <c r="G110" s="29"/>
      <c r="H110" s="29"/>
      <c r="I110" s="29"/>
    </row>
    <row r="111" spans="1:9" x14ac:dyDescent="0.3">
      <c r="A111" s="22"/>
      <c r="B111" s="29"/>
      <c r="C111" s="6"/>
      <c r="D111" s="6"/>
      <c r="E111" s="6"/>
      <c r="F111" s="29"/>
      <c r="G111" s="29"/>
      <c r="H111" s="29"/>
      <c r="I111" s="29"/>
    </row>
    <row r="112" spans="1:9" x14ac:dyDescent="0.3">
      <c r="A112" s="22"/>
      <c r="B112" s="29"/>
      <c r="C112" s="6"/>
      <c r="D112" s="6"/>
      <c r="E112" s="6"/>
      <c r="F112" s="29"/>
      <c r="G112" s="29"/>
      <c r="H112" s="29"/>
      <c r="I112" s="29"/>
    </row>
    <row r="113" spans="1:9" x14ac:dyDescent="0.3">
      <c r="A113" s="22"/>
      <c r="B113" s="29"/>
      <c r="C113" s="6"/>
      <c r="D113" s="6"/>
      <c r="E113" s="6"/>
      <c r="F113" s="29"/>
      <c r="G113" s="29"/>
      <c r="H113" s="29"/>
      <c r="I113" s="29"/>
    </row>
    <row r="114" spans="1:9" x14ac:dyDescent="0.3">
      <c r="A114" s="22"/>
      <c r="B114" s="29"/>
      <c r="C114" s="6"/>
      <c r="D114" s="6"/>
      <c r="E114" s="6"/>
      <c r="F114" s="29"/>
      <c r="G114" s="29"/>
      <c r="H114" s="29"/>
      <c r="I114" s="29"/>
    </row>
    <row r="115" spans="1:9" x14ac:dyDescent="0.3">
      <c r="A115" s="22"/>
      <c r="B115" s="29"/>
      <c r="C115" s="6"/>
      <c r="D115" s="6"/>
      <c r="E115" s="6"/>
      <c r="F115" s="29"/>
      <c r="G115" s="29"/>
      <c r="H115" s="29"/>
      <c r="I115" s="29"/>
    </row>
    <row r="116" spans="1:9" x14ac:dyDescent="0.3">
      <c r="A116" s="22"/>
      <c r="B116" s="29"/>
      <c r="C116" s="6"/>
      <c r="D116" s="6"/>
      <c r="E116" s="6"/>
      <c r="F116" s="29"/>
      <c r="G116" s="29"/>
      <c r="H116" s="29"/>
      <c r="I116" s="29"/>
    </row>
    <row r="117" spans="1:9" x14ac:dyDescent="0.3">
      <c r="A117" s="22"/>
      <c r="B117" s="29"/>
      <c r="C117" s="6"/>
      <c r="D117" s="6"/>
      <c r="E117" s="6"/>
      <c r="F117" s="29"/>
      <c r="G117" s="29"/>
      <c r="H117" s="29"/>
      <c r="I117" s="29"/>
    </row>
    <row r="118" spans="1:9" x14ac:dyDescent="0.3">
      <c r="A118" s="22"/>
      <c r="B118" s="29"/>
      <c r="C118" s="6"/>
      <c r="D118" s="6"/>
      <c r="E118" s="6"/>
      <c r="F118" s="29"/>
      <c r="G118" s="29"/>
      <c r="H118" s="29"/>
      <c r="I118" s="29"/>
    </row>
    <row r="119" spans="1:9" x14ac:dyDescent="0.3">
      <c r="A119" s="22"/>
      <c r="B119" s="29"/>
      <c r="C119" s="6"/>
      <c r="D119" s="6"/>
      <c r="E119" s="6"/>
      <c r="F119" s="29"/>
      <c r="G119" s="29"/>
      <c r="H119" s="29"/>
      <c r="I119" s="29"/>
    </row>
    <row r="120" spans="1:9" x14ac:dyDescent="0.3">
      <c r="A120" s="22"/>
      <c r="B120" s="29"/>
      <c r="C120" s="6"/>
      <c r="D120" s="6"/>
      <c r="E120" s="6"/>
      <c r="F120" s="29"/>
      <c r="G120" s="29"/>
      <c r="H120" s="29"/>
      <c r="I120" s="29"/>
    </row>
    <row r="121" spans="1:9" x14ac:dyDescent="0.3">
      <c r="A121" s="22"/>
      <c r="B121" s="29"/>
      <c r="C121" s="6"/>
      <c r="D121" s="6"/>
      <c r="E121" s="6"/>
      <c r="F121" s="29"/>
      <c r="G121" s="29"/>
      <c r="H121" s="29"/>
      <c r="I121" s="29"/>
    </row>
    <row r="122" spans="1:9" x14ac:dyDescent="0.3">
      <c r="A122" s="22"/>
      <c r="B122" s="29"/>
      <c r="C122" s="6"/>
      <c r="D122" s="6"/>
      <c r="E122" s="6"/>
      <c r="F122" s="29"/>
      <c r="G122" s="29"/>
      <c r="H122" s="29"/>
      <c r="I122" s="29"/>
    </row>
    <row r="123" spans="1:9" x14ac:dyDescent="0.3">
      <c r="A123" s="22"/>
      <c r="B123" s="29"/>
      <c r="C123" s="6"/>
      <c r="D123" s="6"/>
      <c r="E123" s="6"/>
      <c r="F123" s="29"/>
      <c r="G123" s="29"/>
      <c r="H123" s="29"/>
      <c r="I123" s="29"/>
    </row>
    <row r="124" spans="1:9" x14ac:dyDescent="0.3">
      <c r="A124" s="22"/>
      <c r="B124" s="29"/>
      <c r="C124" s="6"/>
      <c r="D124" s="6"/>
      <c r="E124" s="6"/>
      <c r="F124" s="29"/>
      <c r="G124" s="29"/>
      <c r="H124" s="29"/>
      <c r="I124" s="29"/>
    </row>
    <row r="125" spans="1:9" x14ac:dyDescent="0.3">
      <c r="A125" s="22"/>
      <c r="B125" s="29"/>
      <c r="C125" s="6"/>
      <c r="D125" s="6"/>
      <c r="E125" s="6"/>
      <c r="F125" s="29"/>
      <c r="G125" s="29"/>
      <c r="H125" s="29"/>
      <c r="I125" s="29"/>
    </row>
    <row r="126" spans="1:9" x14ac:dyDescent="0.3">
      <c r="A126" s="22"/>
      <c r="B126" s="29"/>
      <c r="C126" s="6"/>
      <c r="D126" s="6"/>
      <c r="E126" s="6"/>
      <c r="F126" s="29"/>
      <c r="G126" s="29"/>
      <c r="H126" s="29"/>
      <c r="I126" s="29"/>
    </row>
    <row r="127" spans="1:9" x14ac:dyDescent="0.3">
      <c r="A127" s="22"/>
      <c r="B127" s="29"/>
      <c r="C127" s="6"/>
      <c r="D127" s="6"/>
      <c r="E127" s="6"/>
      <c r="F127" s="29"/>
      <c r="G127" s="29"/>
      <c r="H127" s="29"/>
      <c r="I127" s="29"/>
    </row>
    <row r="128" spans="1:9" x14ac:dyDescent="0.3">
      <c r="A128" s="22"/>
      <c r="B128" s="29"/>
      <c r="C128" s="6"/>
      <c r="D128" s="6"/>
      <c r="E128" s="6"/>
      <c r="F128" s="29"/>
      <c r="G128" s="29"/>
      <c r="H128" s="29"/>
      <c r="I128" s="29"/>
    </row>
    <row r="129" spans="1:9" x14ac:dyDescent="0.3">
      <c r="A129" s="22"/>
      <c r="B129" s="29"/>
      <c r="C129" s="6"/>
      <c r="D129" s="6"/>
      <c r="E129" s="6"/>
      <c r="F129" s="29"/>
      <c r="G129" s="29"/>
      <c r="H129" s="29"/>
      <c r="I129" s="29"/>
    </row>
    <row r="130" spans="1:9" x14ac:dyDescent="0.3">
      <c r="A130" s="22"/>
      <c r="B130" s="29"/>
      <c r="C130" s="6"/>
      <c r="D130" s="6"/>
      <c r="E130" s="6"/>
      <c r="F130" s="29"/>
      <c r="G130" s="29"/>
      <c r="H130" s="29"/>
      <c r="I130" s="29"/>
    </row>
    <row r="131" spans="1:9" x14ac:dyDescent="0.3">
      <c r="A131" s="22"/>
      <c r="B131" s="29"/>
      <c r="C131" s="6"/>
      <c r="D131" s="6"/>
      <c r="E131" s="6"/>
      <c r="F131" s="29"/>
      <c r="G131" s="29"/>
      <c r="H131" s="29"/>
      <c r="I131" s="29"/>
    </row>
    <row r="132" spans="1:9" x14ac:dyDescent="0.3">
      <c r="A132" s="22"/>
      <c r="B132" s="29"/>
      <c r="C132" s="6"/>
      <c r="D132" s="6"/>
      <c r="E132" s="6"/>
      <c r="F132" s="29"/>
      <c r="G132" s="29"/>
      <c r="H132" s="29"/>
      <c r="I132" s="29"/>
    </row>
    <row r="133" spans="1:9" x14ac:dyDescent="0.3">
      <c r="A133" s="22"/>
      <c r="B133" s="29"/>
      <c r="C133" s="6"/>
      <c r="D133" s="6"/>
      <c r="E133" s="6"/>
      <c r="F133" s="29"/>
      <c r="G133" s="29"/>
      <c r="H133" s="29"/>
      <c r="I133" s="29"/>
    </row>
    <row r="134" spans="1:9" x14ac:dyDescent="0.3">
      <c r="A134" s="22"/>
      <c r="B134" s="29"/>
      <c r="C134" s="6"/>
      <c r="D134" s="6"/>
      <c r="E134" s="6"/>
      <c r="F134" s="29"/>
      <c r="G134" s="29"/>
      <c r="H134" s="29"/>
      <c r="I134" s="29"/>
    </row>
    <row r="135" spans="1:9" x14ac:dyDescent="0.3">
      <c r="A135" s="22"/>
      <c r="B135" s="29"/>
      <c r="C135" s="6"/>
      <c r="D135" s="6"/>
      <c r="E135" s="6"/>
      <c r="F135" s="29"/>
      <c r="G135" s="29"/>
      <c r="H135" s="29"/>
      <c r="I135" s="29"/>
    </row>
    <row r="136" spans="1:9" x14ac:dyDescent="0.3">
      <c r="A136" s="22"/>
      <c r="B136" s="29"/>
      <c r="C136" s="6"/>
      <c r="D136" s="6"/>
      <c r="E136" s="6"/>
      <c r="F136" s="29"/>
      <c r="G136" s="29"/>
      <c r="H136" s="29"/>
      <c r="I136" s="29"/>
    </row>
    <row r="137" spans="1:9" x14ac:dyDescent="0.3">
      <c r="A137" s="22"/>
      <c r="B137" s="29"/>
      <c r="C137" s="6"/>
      <c r="D137" s="6"/>
      <c r="E137" s="6"/>
      <c r="F137" s="29"/>
      <c r="G137" s="29"/>
      <c r="H137" s="29"/>
      <c r="I137" s="29"/>
    </row>
    <row r="138" spans="1:9" x14ac:dyDescent="0.3">
      <c r="A138" s="22"/>
      <c r="B138" s="29"/>
      <c r="C138" s="6"/>
      <c r="D138" s="6"/>
      <c r="E138" s="6"/>
      <c r="F138" s="29"/>
      <c r="G138" s="29"/>
      <c r="H138" s="29"/>
      <c r="I138" s="29"/>
    </row>
  </sheetData>
  <mergeCells count="4">
    <mergeCell ref="A36:E36"/>
    <mergeCell ref="F36:I36"/>
    <mergeCell ref="K37:L37"/>
    <mergeCell ref="K38:L38"/>
  </mergeCells>
  <conditionalFormatting sqref="M88:M93">
    <cfRule type="cellIs" dxfId="25" priority="1" operator="lessThan">
      <formula>$G$87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FEC83-EB4B-4C16-AC41-5F3584AD9B73}">
  <sheetPr>
    <tabColor theme="9" tint="0.79998168889431442"/>
  </sheetPr>
  <dimension ref="A1:J18"/>
  <sheetViews>
    <sheetView workbookViewId="0">
      <selection activeCell="A2" sqref="A2"/>
    </sheetView>
  </sheetViews>
  <sheetFormatPr defaultRowHeight="14.4" x14ac:dyDescent="0.3"/>
  <cols>
    <col min="5" max="5" width="11.88671875" bestFit="1" customWidth="1"/>
  </cols>
  <sheetData>
    <row r="1" spans="1:10" x14ac:dyDescent="0.3">
      <c r="A1" s="270"/>
      <c r="B1" s="248" t="s">
        <v>588</v>
      </c>
      <c r="C1" s="248" t="s">
        <v>342</v>
      </c>
      <c r="D1" s="248" t="s">
        <v>589</v>
      </c>
      <c r="E1" s="248" t="s">
        <v>590</v>
      </c>
      <c r="F1" s="248" t="s">
        <v>591</v>
      </c>
      <c r="G1" s="248" t="s">
        <v>43</v>
      </c>
      <c r="H1" s="127"/>
      <c r="I1" s="248" t="s">
        <v>599</v>
      </c>
      <c r="J1" s="248" t="s">
        <v>598</v>
      </c>
    </row>
    <row r="2" spans="1:10" x14ac:dyDescent="0.3">
      <c r="A2" s="269">
        <v>42917</v>
      </c>
      <c r="B2" s="29" t="e">
        <f>AVERAGEIFS(Influent[NH4-N (mg L-1)],Influent[Date],"&gt;="&amp;Monthly!$A1,Influent[Date],"&lt;="&amp;Monthly!$A2)</f>
        <v>#DIV/0!</v>
      </c>
      <c r="C2" s="29" t="e">
        <f>AVERAGEIFS(Influent[sCOD (mg L-1)],Influent[Date],"&gt;="&amp;Monthly!$A1,Influent[Date],"&lt;="&amp;Monthly!$A2)</f>
        <v>#DIV/0!</v>
      </c>
      <c r="D2" s="29" t="e">
        <f>AVERAGEIFS(Influent[Alkalinity (mg CaCO3 L-1) ],Influent[Date],"&gt;="&amp;Monthly!$A1,Influent[Date],"&lt;="&amp;Monthly!$A2)</f>
        <v>#DIV/0!</v>
      </c>
      <c r="E2" s="29" t="e">
        <f>AVERAGEIFS(Influent[Temperature (°C)],Influent[Date],"&gt;="&amp;Monthly!$A1,Influent[Date],"&lt;="&amp;Monthly!$A2)</f>
        <v>#DIV/0!</v>
      </c>
      <c r="F2" s="29" t="e">
        <f>AVERAGEIFS(Influent[sC/ N ],Influent[Date],"&gt;="&amp;Monthly!$A1,Influent[Date],"&lt;="&amp;Monthly!$A2)</f>
        <v>#DIV/0!</v>
      </c>
      <c r="G2" s="29" t="e">
        <f>AVERAGEIFS(Influent[pHinf],Influent[Date],"&gt;="&amp;Monthly!$A1,Influent[Date],"&lt;="&amp;Monthly!$A2)</f>
        <v>#DIV/0!</v>
      </c>
      <c r="H2" s="127"/>
      <c r="I2" s="29" t="e">
        <f>AVERAGEIFS(stableMED[NRE 
(%)],stableMED[Date],"&gt;="&amp;Monthly!$A1,stableMED[Date],"&lt;="&amp;Monthly!$A2)</f>
        <v>#DIV/0!</v>
      </c>
      <c r="J2" s="29" t="e">
        <f>AVERAGEIFS(stableMED[ARE 
(%)],stableMED[Date],"&gt;="&amp;Monthly!$A1,stableMED[Date],"&lt;="&amp;Monthly!$A2)</f>
        <v>#DIV/0!</v>
      </c>
    </row>
    <row r="3" spans="1:10" x14ac:dyDescent="0.3">
      <c r="A3" s="269">
        <v>42948</v>
      </c>
      <c r="B3" s="29" t="e">
        <f>AVERAGEIFS(Influent[NH4-N (mg L-1)],Influent[Date],"&gt;="&amp;Monthly!$A2,Influent[Date],"&lt;="&amp;Monthly!$A3)</f>
        <v>#DIV/0!</v>
      </c>
      <c r="C3" s="29" t="e">
        <f>AVERAGEIFS(Influent[sCOD (mg L-1)],Influent[Date],"&gt;="&amp;Monthly!$A2,Influent[Date],"&lt;="&amp;Monthly!$A3)</f>
        <v>#DIV/0!</v>
      </c>
      <c r="D3" s="29" t="e">
        <f>AVERAGEIFS(Influent[Alkalinity (mg CaCO3 L-1) ],Influent[Date],"&gt;="&amp;Monthly!$A2,Influent[Date],"&lt;="&amp;Monthly!$A3)</f>
        <v>#DIV/0!</v>
      </c>
      <c r="E3" s="29" t="e">
        <f>AVERAGEIFS(Influent[Temperature (°C)],Influent[Date],"&gt;="&amp;Monthly!$A2,Influent[Date],"&lt;="&amp;Monthly!$A3)</f>
        <v>#DIV/0!</v>
      </c>
      <c r="F3" s="29" t="e">
        <f>AVERAGEIFS(Influent[sC/ N ],Influent[Date],"&gt;="&amp;Monthly!$A2,Influent[Date],"&lt;="&amp;Monthly!$A3)</f>
        <v>#DIV/0!</v>
      </c>
      <c r="G3" s="29" t="e">
        <f>AVERAGEIFS(Influent[pHinf],Influent[Date],"&gt;="&amp;Monthly!$A2,Influent[Date],"&lt;="&amp;Monthly!$A3)</f>
        <v>#DIV/0!</v>
      </c>
      <c r="H3" s="127"/>
      <c r="I3" s="29" t="e">
        <f>AVERAGEIFS(stableMED[NRE 
(%)],stableMED[Date],"&gt;="&amp;Monthly!$A2,stableMED[Date],"&lt;="&amp;Monthly!$A3)</f>
        <v>#DIV/0!</v>
      </c>
      <c r="J3" s="29" t="e">
        <f>AVERAGEIFS(stableMED[ARE 
(%)],stableMED[Date],"&gt;="&amp;Monthly!$A2,stableMED[Date],"&lt;="&amp;Monthly!$A3)</f>
        <v>#DIV/0!</v>
      </c>
    </row>
    <row r="4" spans="1:10" x14ac:dyDescent="0.3">
      <c r="A4" s="269">
        <v>42979</v>
      </c>
      <c r="B4" s="29" t="e">
        <f>AVERAGEIFS(Influent[NH4-N (mg L-1)],Influent[Date],"&gt;="&amp;Monthly!$A3,Influent[Date],"&lt;="&amp;Monthly!$A4)</f>
        <v>#DIV/0!</v>
      </c>
      <c r="C4" s="29" t="e">
        <f>AVERAGEIFS(Influent[sCOD (mg L-1)],Influent[Date],"&gt;="&amp;Monthly!$A3,Influent[Date],"&lt;="&amp;Monthly!$A4)</f>
        <v>#DIV/0!</v>
      </c>
      <c r="D4" s="29" t="e">
        <f>AVERAGEIFS(Influent[Alkalinity (mg CaCO3 L-1) ],Influent[Date],"&gt;="&amp;Monthly!$A3,Influent[Date],"&lt;="&amp;Monthly!$A4)</f>
        <v>#DIV/0!</v>
      </c>
      <c r="E4" s="29" t="e">
        <f>AVERAGEIFS(Influent[Temperature (°C)],Influent[Date],"&gt;="&amp;Monthly!$A3,Influent[Date],"&lt;="&amp;Monthly!$A4)</f>
        <v>#DIV/0!</v>
      </c>
      <c r="F4" s="29" t="e">
        <f>AVERAGEIFS(Influent[sC/ N ],Influent[Date],"&gt;="&amp;Monthly!$A3,Influent[Date],"&lt;="&amp;Monthly!$A4)</f>
        <v>#DIV/0!</v>
      </c>
      <c r="G4" s="29" t="e">
        <f>AVERAGEIFS(Influent[pHinf],Influent[Date],"&gt;="&amp;Monthly!$A3,Influent[Date],"&lt;="&amp;Monthly!$A4)</f>
        <v>#DIV/0!</v>
      </c>
      <c r="H4" s="127"/>
      <c r="I4" s="29" t="e">
        <f>AVERAGEIFS(stableMED[NRE 
(%)],stableMED[Date],"&gt;="&amp;Monthly!$A3,stableMED[Date],"&lt;="&amp;Monthly!$A4)</f>
        <v>#DIV/0!</v>
      </c>
      <c r="J4" s="29" t="e">
        <f>AVERAGEIFS(stableMED[ARE 
(%)],stableMED[Date],"&gt;="&amp;Monthly!$A3,stableMED[Date],"&lt;="&amp;Monthly!$A4)</f>
        <v>#DIV/0!</v>
      </c>
    </row>
    <row r="5" spans="1:10" x14ac:dyDescent="0.3">
      <c r="A5" s="269">
        <v>43009</v>
      </c>
      <c r="B5" s="29" t="e">
        <f>AVERAGEIFS(Influent[NH4-N (mg L-1)],Influent[Date],"&gt;="&amp;Monthly!$A4,Influent[Date],"&lt;="&amp;Monthly!$A5)</f>
        <v>#DIV/0!</v>
      </c>
      <c r="C5" s="29" t="e">
        <f>AVERAGEIFS(Influent[sCOD (mg L-1)],Influent[Date],"&gt;="&amp;Monthly!$A4,Influent[Date],"&lt;="&amp;Monthly!$A5)</f>
        <v>#DIV/0!</v>
      </c>
      <c r="D5" s="29" t="e">
        <f>AVERAGEIFS(Influent[Alkalinity (mg CaCO3 L-1) ],Influent[Date],"&gt;="&amp;Monthly!$A4,Influent[Date],"&lt;="&amp;Monthly!$A5)</f>
        <v>#DIV/0!</v>
      </c>
      <c r="E5" s="29" t="e">
        <f>AVERAGEIFS(Influent[Temperature (°C)],Influent[Date],"&gt;="&amp;Monthly!$A4,Influent[Date],"&lt;="&amp;Monthly!$A5)</f>
        <v>#DIV/0!</v>
      </c>
      <c r="F5" s="29" t="e">
        <f>AVERAGEIFS(Influent[sC/ N ],Influent[Date],"&gt;="&amp;Monthly!$A4,Influent[Date],"&lt;="&amp;Monthly!$A5)</f>
        <v>#DIV/0!</v>
      </c>
      <c r="G5" s="29" t="e">
        <f>AVERAGEIFS(Influent[pHinf],Influent[Date],"&gt;="&amp;Monthly!$A4,Influent[Date],"&lt;="&amp;Monthly!$A5)</f>
        <v>#DIV/0!</v>
      </c>
      <c r="H5" s="127"/>
      <c r="I5" s="29" t="e">
        <f>AVERAGEIFS(stableMED[NRE 
(%)],stableMED[Date],"&gt;="&amp;Monthly!$A4,stableMED[Date],"&lt;="&amp;Monthly!$A5)</f>
        <v>#DIV/0!</v>
      </c>
      <c r="J5" s="29" t="e">
        <f>AVERAGEIFS(stableMED[ARE 
(%)],stableMED[Date],"&gt;="&amp;Monthly!$A4,stableMED[Date],"&lt;="&amp;Monthly!$A5)</f>
        <v>#DIV/0!</v>
      </c>
    </row>
    <row r="6" spans="1:10" x14ac:dyDescent="0.3">
      <c r="A6" s="269">
        <v>43040</v>
      </c>
      <c r="B6" s="29" t="e">
        <f>AVERAGEIFS(Influent[NH4-N (mg L-1)],Influent[Date],"&gt;="&amp;Monthly!$A5,Influent[Date],"&lt;="&amp;Monthly!$A6)</f>
        <v>#DIV/0!</v>
      </c>
      <c r="C6" s="29" t="e">
        <f>AVERAGEIFS(Influent[sCOD (mg L-1)],Influent[Date],"&gt;="&amp;Monthly!$A5,Influent[Date],"&lt;="&amp;Monthly!$A6)</f>
        <v>#DIV/0!</v>
      </c>
      <c r="D6" s="29" t="e">
        <f>AVERAGEIFS(Influent[Alkalinity (mg CaCO3 L-1) ],Influent[Date],"&gt;="&amp;Monthly!$A5,Influent[Date],"&lt;="&amp;Monthly!$A6)</f>
        <v>#DIV/0!</v>
      </c>
      <c r="E6" s="29" t="e">
        <f>AVERAGEIFS(Influent[Temperature (°C)],Influent[Date],"&gt;="&amp;Monthly!$A5,Influent[Date],"&lt;="&amp;Monthly!$A6)</f>
        <v>#DIV/0!</v>
      </c>
      <c r="F6" s="29" t="e">
        <f>AVERAGEIFS(Influent[sC/ N ],Influent[Date],"&gt;="&amp;Monthly!$A5,Influent[Date],"&lt;="&amp;Monthly!$A6)</f>
        <v>#DIV/0!</v>
      </c>
      <c r="G6" s="29" t="e">
        <f>AVERAGEIFS(Influent[pHinf],Influent[Date],"&gt;="&amp;Monthly!$A5,Influent[Date],"&lt;="&amp;Monthly!$A6)</f>
        <v>#DIV/0!</v>
      </c>
      <c r="H6" s="127"/>
      <c r="I6" s="29" t="e">
        <f>AVERAGEIFS(stableMED[NRE 
(%)],stableMED[Date],"&gt;="&amp;Monthly!$A5,stableMED[Date],"&lt;="&amp;Monthly!$A6)</f>
        <v>#DIV/0!</v>
      </c>
      <c r="J6" s="29" t="e">
        <f>AVERAGEIFS(stableMED[ARE 
(%)],stableMED[Date],"&gt;="&amp;Monthly!$A5,stableMED[Date],"&lt;="&amp;Monthly!$A6)</f>
        <v>#DIV/0!</v>
      </c>
    </row>
    <row r="7" spans="1:10" x14ac:dyDescent="0.3">
      <c r="A7" s="269">
        <v>43070</v>
      </c>
      <c r="B7" s="29" t="e">
        <f>AVERAGEIFS(Influent[NH4-N (mg L-1)],Influent[Date],"&gt;="&amp;Monthly!$A6,Influent[Date],"&lt;="&amp;Monthly!$A7)</f>
        <v>#DIV/0!</v>
      </c>
      <c r="C7" s="29" t="e">
        <f>AVERAGEIFS(Influent[sCOD (mg L-1)],Influent[Date],"&gt;="&amp;Monthly!$A6,Influent[Date],"&lt;="&amp;Monthly!$A7)</f>
        <v>#DIV/0!</v>
      </c>
      <c r="D7" s="29" t="e">
        <f>AVERAGEIFS(Influent[Alkalinity (mg CaCO3 L-1) ],Influent[Date],"&gt;="&amp;Monthly!$A6,Influent[Date],"&lt;="&amp;Monthly!$A7)</f>
        <v>#DIV/0!</v>
      </c>
      <c r="E7" s="29" t="e">
        <f>AVERAGEIFS(Influent[Temperature (°C)],Influent[Date],"&gt;="&amp;Monthly!$A6,Influent[Date],"&lt;="&amp;Monthly!$A7)</f>
        <v>#DIV/0!</v>
      </c>
      <c r="F7" s="29" t="e">
        <f>AVERAGEIFS(Influent[sC/ N ],Influent[Date],"&gt;="&amp;Monthly!$A6,Influent[Date],"&lt;="&amp;Monthly!$A7)</f>
        <v>#DIV/0!</v>
      </c>
      <c r="G7" s="29" t="e">
        <f>AVERAGEIFS(Influent[pHinf],Influent[Date],"&gt;="&amp;Monthly!$A6,Influent[Date],"&lt;="&amp;Monthly!$A7)</f>
        <v>#DIV/0!</v>
      </c>
      <c r="H7" s="127"/>
      <c r="I7" s="29" t="e">
        <f>AVERAGEIFS(stableMED[NRE 
(%)],stableMED[Date],"&gt;="&amp;Monthly!$A6,stableMED[Date],"&lt;="&amp;Monthly!$A7)</f>
        <v>#DIV/0!</v>
      </c>
      <c r="J7" s="29" t="e">
        <f>AVERAGEIFS(stableMED[ARE 
(%)],stableMED[Date],"&gt;="&amp;Monthly!$A6,stableMED[Date],"&lt;="&amp;Monthly!$A7)</f>
        <v>#DIV/0!</v>
      </c>
    </row>
    <row r="8" spans="1:10" x14ac:dyDescent="0.3">
      <c r="A8" s="269">
        <v>43101</v>
      </c>
      <c r="B8" s="29" t="e">
        <f>AVERAGEIFS(Influent[NH4-N (mg L-1)],Influent[Date],"&gt;="&amp;Monthly!$A7,Influent[Date],"&lt;="&amp;Monthly!$A8)</f>
        <v>#DIV/0!</v>
      </c>
      <c r="C8" s="29" t="e">
        <f>AVERAGEIFS(Influent[sCOD (mg L-1)],Influent[Date],"&gt;="&amp;Monthly!$A7,Influent[Date],"&lt;="&amp;Monthly!$A8)</f>
        <v>#DIV/0!</v>
      </c>
      <c r="D8" s="29" t="e">
        <f>AVERAGEIFS(Influent[Alkalinity (mg CaCO3 L-1) ],Influent[Date],"&gt;="&amp;Monthly!$A7,Influent[Date],"&lt;="&amp;Monthly!$A8)</f>
        <v>#DIV/0!</v>
      </c>
      <c r="E8" s="29" t="e">
        <f>AVERAGEIFS(Influent[Temperature (°C)],Influent[Date],"&gt;="&amp;Monthly!$A7,Influent[Date],"&lt;="&amp;Monthly!$A8)</f>
        <v>#DIV/0!</v>
      </c>
      <c r="F8" s="29" t="e">
        <f>AVERAGEIFS(Influent[sC/ N ],Influent[Date],"&gt;="&amp;Monthly!$A7,Influent[Date],"&lt;="&amp;Monthly!$A8)</f>
        <v>#DIV/0!</v>
      </c>
      <c r="G8" s="29" t="e">
        <f>AVERAGEIFS(Influent[pHinf],Influent[Date],"&gt;="&amp;Monthly!$A7,Influent[Date],"&lt;="&amp;Monthly!$A8)</f>
        <v>#DIV/0!</v>
      </c>
      <c r="H8" s="127"/>
      <c r="I8" s="29" t="e">
        <f>AVERAGEIFS(stableMED[NRE 
(%)],stableMED[Date],"&gt;="&amp;Monthly!$A7,stableMED[Date],"&lt;="&amp;Monthly!$A8)</f>
        <v>#DIV/0!</v>
      </c>
      <c r="J8" s="29" t="e">
        <f>AVERAGEIFS(stableMED[ARE 
(%)],stableMED[Date],"&gt;="&amp;Monthly!$A7,stableMED[Date],"&lt;="&amp;Monthly!$A8)</f>
        <v>#DIV/0!</v>
      </c>
    </row>
    <row r="9" spans="1:10" x14ac:dyDescent="0.3">
      <c r="A9" s="269">
        <v>43132</v>
      </c>
      <c r="B9" s="29" t="e">
        <f>AVERAGEIFS(Influent[NH4-N (mg L-1)],Influent[Date],"&gt;="&amp;Monthly!$A8,Influent[Date],"&lt;="&amp;Monthly!$A9)</f>
        <v>#DIV/0!</v>
      </c>
      <c r="C9" s="29" t="e">
        <f>AVERAGEIFS(Influent[sCOD (mg L-1)],Influent[Date],"&gt;="&amp;Monthly!$A8,Influent[Date],"&lt;="&amp;Monthly!$A9)</f>
        <v>#DIV/0!</v>
      </c>
      <c r="D9" s="29" t="e">
        <f>AVERAGEIFS(Influent[Alkalinity (mg CaCO3 L-1) ],Influent[Date],"&gt;="&amp;Monthly!$A8,Influent[Date],"&lt;="&amp;Monthly!$A9)</f>
        <v>#DIV/0!</v>
      </c>
      <c r="E9" s="29" t="e">
        <f>AVERAGEIFS(Influent[Temperature (°C)],Influent[Date],"&gt;="&amp;Monthly!$A8,Influent[Date],"&lt;="&amp;Monthly!$A9)</f>
        <v>#DIV/0!</v>
      </c>
      <c r="F9" s="29" t="e">
        <f>AVERAGEIFS(Influent[sC/ N ],Influent[Date],"&gt;="&amp;Monthly!$A8,Influent[Date],"&lt;="&amp;Monthly!$A9)</f>
        <v>#DIV/0!</v>
      </c>
      <c r="G9" s="29" t="e">
        <f>AVERAGEIFS(Influent[pHinf],Influent[Date],"&gt;="&amp;Monthly!$A8,Influent[Date],"&lt;="&amp;Monthly!$A9)</f>
        <v>#DIV/0!</v>
      </c>
      <c r="H9" s="127"/>
      <c r="I9" s="29" t="e">
        <f>AVERAGEIFS(stableMED[NRE 
(%)],stableMED[Date],"&gt;="&amp;Monthly!$A8,stableMED[Date],"&lt;="&amp;Monthly!$A9)</f>
        <v>#DIV/0!</v>
      </c>
      <c r="J9" s="29" t="e">
        <f>AVERAGEIFS(stableMED[ARE 
(%)],stableMED[Date],"&gt;="&amp;Monthly!$A8,stableMED[Date],"&lt;="&amp;Monthly!$A9)</f>
        <v>#DIV/0!</v>
      </c>
    </row>
    <row r="10" spans="1:10" x14ac:dyDescent="0.3">
      <c r="A10" s="269">
        <v>43160</v>
      </c>
      <c r="B10" s="29" t="e">
        <f>AVERAGEIFS(Influent[NH4-N (mg L-1)],Influent[Date],"&gt;="&amp;Monthly!$A9,Influent[Date],"&lt;="&amp;Monthly!$A10)</f>
        <v>#DIV/0!</v>
      </c>
      <c r="C10" s="29" t="e">
        <f>AVERAGEIFS(Influent[sCOD (mg L-1)],Influent[Date],"&gt;="&amp;Monthly!$A9,Influent[Date],"&lt;="&amp;Monthly!$A10)</f>
        <v>#DIV/0!</v>
      </c>
      <c r="D10" s="29" t="e">
        <f>AVERAGEIFS(Influent[Alkalinity (mg CaCO3 L-1) ],Influent[Date],"&gt;="&amp;Monthly!$A9,Influent[Date],"&lt;="&amp;Monthly!$A10)</f>
        <v>#DIV/0!</v>
      </c>
      <c r="E10" s="29" t="e">
        <f>AVERAGEIFS(Influent[Temperature (°C)],Influent[Date],"&gt;="&amp;Monthly!$A9,Influent[Date],"&lt;="&amp;Monthly!$A10)</f>
        <v>#DIV/0!</v>
      </c>
      <c r="F10" s="29" t="e">
        <f>AVERAGEIFS(Influent[sC/ N ],Influent[Date],"&gt;="&amp;Monthly!$A9,Influent[Date],"&lt;="&amp;Monthly!$A10)</f>
        <v>#DIV/0!</v>
      </c>
      <c r="G10" s="29" t="e">
        <f>AVERAGEIFS(Influent[pHinf],Influent[Date],"&gt;="&amp;Monthly!$A9,Influent[Date],"&lt;="&amp;Monthly!$A10)</f>
        <v>#DIV/0!</v>
      </c>
      <c r="H10" s="127"/>
      <c r="I10" s="29" t="e">
        <f>AVERAGEIFS(stableMED[NRE 
(%)],stableMED[Date],"&gt;="&amp;Monthly!$A9,stableMED[Date],"&lt;="&amp;Monthly!$A10)</f>
        <v>#DIV/0!</v>
      </c>
      <c r="J10" s="29" t="e">
        <f>AVERAGEIFS(stableMED[ARE 
(%)],stableMED[Date],"&gt;="&amp;Monthly!$A9,stableMED[Date],"&lt;="&amp;Monthly!$A10)</f>
        <v>#DIV/0!</v>
      </c>
    </row>
    <row r="11" spans="1:10" x14ac:dyDescent="0.3">
      <c r="A11" s="269">
        <v>43191</v>
      </c>
      <c r="B11" s="29" t="e">
        <f>AVERAGEIFS(Influent[NH4-N (mg L-1)],Influent[Date],"&gt;="&amp;Monthly!$A10,Influent[Date],"&lt;="&amp;Monthly!$A11)</f>
        <v>#DIV/0!</v>
      </c>
      <c r="C11" s="29" t="e">
        <f>AVERAGEIFS(Influent[sCOD (mg L-1)],Influent[Date],"&gt;="&amp;Monthly!$A10,Influent[Date],"&lt;="&amp;Monthly!$A11)</f>
        <v>#DIV/0!</v>
      </c>
      <c r="D11" s="29" t="e">
        <f>AVERAGEIFS(Influent[Alkalinity (mg CaCO3 L-1) ],Influent[Date],"&gt;="&amp;Monthly!$A10,Influent[Date],"&lt;="&amp;Monthly!$A11)</f>
        <v>#DIV/0!</v>
      </c>
      <c r="E11" s="29" t="e">
        <f>AVERAGEIFS(Influent[Temperature (°C)],Influent[Date],"&gt;="&amp;Monthly!$A10,Influent[Date],"&lt;="&amp;Monthly!$A11)</f>
        <v>#DIV/0!</v>
      </c>
      <c r="F11" s="29" t="e">
        <f>AVERAGEIFS(Influent[sC/ N ],Influent[Date],"&gt;="&amp;Monthly!$A10,Influent[Date],"&lt;="&amp;Monthly!$A11)</f>
        <v>#DIV/0!</v>
      </c>
      <c r="G11" s="29" t="e">
        <f>AVERAGEIFS(Influent[pHinf],Influent[Date],"&gt;="&amp;Monthly!$A10,Influent[Date],"&lt;="&amp;Monthly!$A11)</f>
        <v>#DIV/0!</v>
      </c>
      <c r="H11" s="127"/>
      <c r="I11" s="29" t="e">
        <f>AVERAGEIFS(stableMED[NRE 
(%)],stableMED[Date],"&gt;="&amp;Monthly!$A10,stableMED[Date],"&lt;="&amp;Monthly!$A11)</f>
        <v>#DIV/0!</v>
      </c>
      <c r="J11" s="29" t="e">
        <f>AVERAGEIFS(stableMED[ARE 
(%)],stableMED[Date],"&gt;="&amp;Monthly!$A10,stableMED[Date],"&lt;="&amp;Monthly!$A11)</f>
        <v>#DIV/0!</v>
      </c>
    </row>
    <row r="12" spans="1:10" x14ac:dyDescent="0.3">
      <c r="A12" s="269">
        <v>43221</v>
      </c>
      <c r="B12" s="29" t="e">
        <f>AVERAGEIFS(Influent[NH4-N (mg L-1)],Influent[Date],"&gt;="&amp;Monthly!$A11,Influent[Date],"&lt;="&amp;Monthly!$A12)</f>
        <v>#DIV/0!</v>
      </c>
      <c r="C12" s="29" t="e">
        <f>AVERAGEIFS(Influent[sCOD (mg L-1)],Influent[Date],"&gt;="&amp;Monthly!$A11,Influent[Date],"&lt;="&amp;Monthly!$A12)</f>
        <v>#DIV/0!</v>
      </c>
      <c r="D12" s="29" t="e">
        <f>AVERAGEIFS(Influent[Alkalinity (mg CaCO3 L-1) ],Influent[Date],"&gt;="&amp;Monthly!$A11,Influent[Date],"&lt;="&amp;Monthly!$A12)</f>
        <v>#DIV/0!</v>
      </c>
      <c r="E12" s="29" t="e">
        <f>AVERAGEIFS(Influent[Temperature (°C)],Influent[Date],"&gt;="&amp;Monthly!$A11,Influent[Date],"&lt;="&amp;Monthly!$A12)</f>
        <v>#DIV/0!</v>
      </c>
      <c r="F12" s="29" t="e">
        <f>AVERAGEIFS(Influent[sC/ N ],Influent[Date],"&gt;="&amp;Monthly!$A11,Influent[Date],"&lt;="&amp;Monthly!$A12)</f>
        <v>#DIV/0!</v>
      </c>
      <c r="G12" s="29" t="e">
        <f>AVERAGEIFS(Influent[pHinf],Influent[Date],"&gt;="&amp;Monthly!$A11,Influent[Date],"&lt;="&amp;Monthly!$A12)</f>
        <v>#DIV/0!</v>
      </c>
      <c r="H12" s="127"/>
      <c r="I12" s="29" t="e">
        <f>AVERAGEIFS(stableMED[NRE 
(%)],stableMED[Date],"&gt;="&amp;Monthly!$A11,stableMED[Date],"&lt;="&amp;Monthly!$A12)</f>
        <v>#DIV/0!</v>
      </c>
      <c r="J12" s="29" t="e">
        <f>AVERAGEIFS(stableMED[ARE 
(%)],stableMED[Date],"&gt;="&amp;Monthly!$A11,stableMED[Date],"&lt;="&amp;Monthly!$A12)</f>
        <v>#DIV/0!</v>
      </c>
    </row>
    <row r="13" spans="1:10" x14ac:dyDescent="0.3">
      <c r="A13" s="269">
        <v>43252</v>
      </c>
      <c r="B13" s="29" t="e">
        <f>AVERAGEIFS(Influent[NH4-N (mg L-1)],Influent[Date],"&gt;="&amp;Monthly!$A12,Influent[Date],"&lt;="&amp;Monthly!$A13)</f>
        <v>#DIV/0!</v>
      </c>
      <c r="C13" s="29" t="e">
        <f>AVERAGEIFS(Influent[sCOD (mg L-1)],Influent[Date],"&gt;="&amp;Monthly!$A12,Influent[Date],"&lt;="&amp;Monthly!$A13)</f>
        <v>#DIV/0!</v>
      </c>
      <c r="D13" s="29" t="e">
        <f>AVERAGEIFS(Influent[Alkalinity (mg CaCO3 L-1) ],Influent[Date],"&gt;="&amp;Monthly!$A12,Influent[Date],"&lt;="&amp;Monthly!$A13)</f>
        <v>#DIV/0!</v>
      </c>
      <c r="E13" s="29" t="e">
        <f>AVERAGEIFS(Influent[Temperature (°C)],Influent[Date],"&gt;="&amp;Monthly!$A12,Influent[Date],"&lt;="&amp;Monthly!$A13)</f>
        <v>#DIV/0!</v>
      </c>
      <c r="F13" s="29" t="e">
        <f>AVERAGEIFS(Influent[sC/ N ],Influent[Date],"&gt;="&amp;Monthly!$A12,Influent[Date],"&lt;="&amp;Monthly!$A13)</f>
        <v>#DIV/0!</v>
      </c>
      <c r="G13" s="29" t="e">
        <f>AVERAGEIFS(Influent[pHinf],Influent[Date],"&gt;="&amp;Monthly!$A12,Influent[Date],"&lt;="&amp;Monthly!$A13)</f>
        <v>#DIV/0!</v>
      </c>
      <c r="H13" s="127"/>
      <c r="I13" s="29" t="e">
        <f>AVERAGEIFS(stableMED[NRE 
(%)],stableMED[Date],"&gt;="&amp;Monthly!$A12,stableMED[Date],"&lt;="&amp;Monthly!$A13)</f>
        <v>#DIV/0!</v>
      </c>
      <c r="J13" s="29" t="e">
        <f>AVERAGEIFS(stableMED[ARE 
(%)],stableMED[Date],"&gt;="&amp;Monthly!$A12,stableMED[Date],"&lt;="&amp;Monthly!$A13)</f>
        <v>#DIV/0!</v>
      </c>
    </row>
    <row r="14" spans="1:10" x14ac:dyDescent="0.3">
      <c r="A14" s="269">
        <v>43282</v>
      </c>
      <c r="B14" s="29" t="e">
        <f>AVERAGEIFS(Influent[NH4-N (mg L-1)],Influent[Date],"&gt;="&amp;Monthly!$A13,Influent[Date],"&lt;="&amp;Monthly!$A14)</f>
        <v>#DIV/0!</v>
      </c>
      <c r="C14" s="29" t="e">
        <f>AVERAGEIFS(Influent[sCOD (mg L-1)],Influent[Date],"&gt;="&amp;Monthly!$A13,Influent[Date],"&lt;="&amp;Monthly!$A14)</f>
        <v>#DIV/0!</v>
      </c>
      <c r="D14" s="29" t="e">
        <f>AVERAGEIFS(Influent[Alkalinity (mg CaCO3 L-1) ],Influent[Date],"&gt;="&amp;Monthly!$A13,Influent[Date],"&lt;="&amp;Monthly!$A14)</f>
        <v>#DIV/0!</v>
      </c>
      <c r="E14" s="29" t="e">
        <f>AVERAGEIFS(Influent[Temperature (°C)],Influent[Date],"&gt;="&amp;Monthly!$A13,Influent[Date],"&lt;="&amp;Monthly!$A14)</f>
        <v>#DIV/0!</v>
      </c>
      <c r="F14" s="29" t="e">
        <f>AVERAGEIFS(Influent[sC/ N ],Influent[Date],"&gt;="&amp;Monthly!$A13,Influent[Date],"&lt;="&amp;Monthly!$A14)</f>
        <v>#DIV/0!</v>
      </c>
      <c r="G14" s="29" t="e">
        <f>AVERAGEIFS(Influent[pHinf],Influent[Date],"&gt;="&amp;Monthly!$A13,Influent[Date],"&lt;="&amp;Monthly!$A14)</f>
        <v>#DIV/0!</v>
      </c>
      <c r="H14" s="127"/>
      <c r="I14" s="29" t="e">
        <f>AVERAGEIFS(stableMED[NRE 
(%)],stableMED[Date],"&gt;="&amp;Monthly!$A13,stableMED[Date],"&lt;="&amp;Monthly!$A14)</f>
        <v>#DIV/0!</v>
      </c>
      <c r="J14" s="29" t="e">
        <f>AVERAGEIFS(stableMED[ARE 
(%)],stableMED[Date],"&gt;="&amp;Monthly!$A13,stableMED[Date],"&lt;="&amp;Monthly!$A14)</f>
        <v>#DIV/0!</v>
      </c>
    </row>
    <row r="15" spans="1:10" x14ac:dyDescent="0.3">
      <c r="A15" s="269">
        <v>43313</v>
      </c>
      <c r="B15" s="29" t="e">
        <f>AVERAGEIFS(Influent[NH4-N (mg L-1)],Influent[Date],"&gt;="&amp;Monthly!$A14,Influent[Date],"&lt;="&amp;Monthly!$A15)</f>
        <v>#DIV/0!</v>
      </c>
      <c r="C15" s="29" t="e">
        <f>AVERAGEIFS(Influent[sCOD (mg L-1)],Influent[Date],"&gt;="&amp;Monthly!$A14,Influent[Date],"&lt;="&amp;Monthly!$A15)</f>
        <v>#DIV/0!</v>
      </c>
      <c r="D15" s="29" t="e">
        <f>AVERAGEIFS(Influent[Alkalinity (mg CaCO3 L-1) ],Influent[Date],"&gt;="&amp;Monthly!$A14,Influent[Date],"&lt;="&amp;Monthly!$A15)</f>
        <v>#DIV/0!</v>
      </c>
      <c r="E15" s="29" t="e">
        <f>AVERAGEIFS(Influent[Temperature (°C)],Influent[Date],"&gt;="&amp;Monthly!$A14,Influent[Date],"&lt;="&amp;Monthly!$A15)</f>
        <v>#DIV/0!</v>
      </c>
      <c r="F15" s="29" t="e">
        <f>AVERAGEIFS(Influent[sC/ N ],Influent[Date],"&gt;="&amp;Monthly!$A14,Influent[Date],"&lt;="&amp;Monthly!$A15)</f>
        <v>#DIV/0!</v>
      </c>
      <c r="G15" s="29" t="e">
        <f>AVERAGEIFS(Influent[pHinf],Influent[Date],"&gt;="&amp;Monthly!$A14,Influent[Date],"&lt;="&amp;Monthly!$A15)</f>
        <v>#DIV/0!</v>
      </c>
      <c r="H15" s="127"/>
      <c r="I15" s="29" t="e">
        <f>AVERAGEIFS(stableMED[NRE 
(%)],stableMED[Date],"&gt;="&amp;Monthly!$A14,stableMED[Date],"&lt;="&amp;Monthly!$A15)</f>
        <v>#DIV/0!</v>
      </c>
      <c r="J15" s="29" t="e">
        <f>AVERAGEIFS(stableMED[ARE 
(%)],stableMED[Date],"&gt;="&amp;Monthly!$A14,stableMED[Date],"&lt;="&amp;Monthly!$A15)</f>
        <v>#DIV/0!</v>
      </c>
    </row>
    <row r="16" spans="1:10" x14ac:dyDescent="0.3">
      <c r="A16" s="269">
        <v>43344</v>
      </c>
      <c r="B16" s="29">
        <f>AVERAGEIFS(Influent[NH4-N (mg L-1)],Influent[Date],"&gt;="&amp;Monthly!$A15,Influent[Date],"&lt;="&amp;Monthly!$A16)</f>
        <v>1316.3533333333335</v>
      </c>
      <c r="C16" s="29">
        <f>AVERAGEIFS(Influent[sCOD (mg L-1)],Influent[Date],"&gt;="&amp;Monthly!$A15,Influent[Date],"&lt;="&amp;Monthly!$A16)</f>
        <v>3426</v>
      </c>
      <c r="D16" s="29">
        <f>AVERAGEIFS(Influent[Alkalinity (mg CaCO3 L-1) ],Influent[Date],"&gt;="&amp;Monthly!$A15,Influent[Date],"&lt;="&amp;Monthly!$A16)</f>
        <v>4941.5</v>
      </c>
      <c r="E16" s="29">
        <f>AVERAGEIFS(Influent[Temperature (°C)],Influent[Date],"&gt;="&amp;Monthly!$A15,Influent[Date],"&lt;="&amp;Monthly!$A16)</f>
        <v>25.136257397713482</v>
      </c>
      <c r="F16" s="29">
        <f>AVERAGEIFS(Influent[sC/ N ],Influent[Date],"&gt;="&amp;Monthly!$A15,Influent[Date],"&lt;="&amp;Monthly!$A16)</f>
        <v>2.4278100181170204</v>
      </c>
      <c r="G16" s="29">
        <f>AVERAGEIFS(Influent[pHinf],Influent[Date],"&gt;="&amp;Monthly!$A15,Influent[Date],"&lt;="&amp;Monthly!$A16)</f>
        <v>8.35</v>
      </c>
      <c r="H16" s="127"/>
      <c r="I16" s="21">
        <f>AVERAGEIFS(stableMED[NRE 
(%)],stableMED[Date],"&gt;="&amp;Monthly!$A15,stableMED[Date],"&lt;="&amp;Monthly!$A16)</f>
        <v>0.86365781715403955</v>
      </c>
      <c r="J16" s="21">
        <f>AVERAGEIFS(stableMED[ARE 
(%)],stableMED[Date],"&gt;="&amp;Monthly!$A15,stableMED[Date],"&lt;="&amp;Monthly!$A16)</f>
        <v>0.86543329601128349</v>
      </c>
    </row>
    <row r="17" spans="1:10" x14ac:dyDescent="0.3">
      <c r="A17" s="269">
        <v>43374</v>
      </c>
      <c r="B17" s="29">
        <f>AVERAGEIFS(Influent[NH4-N (mg L-1)],Influent[Date],"&gt;="&amp;Monthly!$A16,Influent[Date],"&lt;="&amp;Monthly!$A17)</f>
        <v>1356.9333333333334</v>
      </c>
      <c r="C17" s="29">
        <f>AVERAGEIFS(Influent[sCOD (mg L-1)],Influent[Date],"&gt;="&amp;Monthly!$A16,Influent[Date],"&lt;="&amp;Monthly!$A17)</f>
        <v>2510.3571428571427</v>
      </c>
      <c r="D17" s="29">
        <f>AVERAGEIFS(Influent[Alkalinity (mg CaCO3 L-1) ],Influent[Date],"&gt;="&amp;Monthly!$A16,Influent[Date],"&lt;="&amp;Monthly!$A17)</f>
        <v>4966.2380952380954</v>
      </c>
      <c r="E17" s="29">
        <f>AVERAGEIFS(Influent[Temperature (°C)],Influent[Date],"&gt;="&amp;Monthly!$A16,Influent[Date],"&lt;="&amp;Monthly!$A17)</f>
        <v>22.642440667524959</v>
      </c>
      <c r="F17" s="29">
        <f>AVERAGEIFS(Influent[sC/ N ],Influent[Date],"&gt;="&amp;Monthly!$A16,Influent[Date],"&lt;="&amp;Monthly!$A17)</f>
        <v>1.8456525905998507</v>
      </c>
      <c r="G17" s="29">
        <f>AVERAGEIFS(Influent[pHinf],Influent[Date],"&gt;="&amp;Monthly!$A16,Influent[Date],"&lt;="&amp;Monthly!$A17)</f>
        <v>8.4238095238095276</v>
      </c>
      <c r="H17" s="127"/>
      <c r="I17" s="21">
        <f>AVERAGEIFS(stableMED[NRE 
(%)],stableMED[Date],"&gt;="&amp;Monthly!$A16,stableMED[Date],"&lt;="&amp;Monthly!$A17)</f>
        <v>0.67154630612403399</v>
      </c>
      <c r="J17" s="21">
        <f>AVERAGEIFS(stableMED[ARE 
(%)],stableMED[Date],"&gt;="&amp;Monthly!$A16,stableMED[Date],"&lt;="&amp;Monthly!$A17)</f>
        <v>0.67820068801612376</v>
      </c>
    </row>
    <row r="18" spans="1:10" x14ac:dyDescent="0.3">
      <c r="A18" s="269">
        <v>43405</v>
      </c>
      <c r="B18" s="29">
        <f>AVERAGEIFS(Influent[NH4-N (mg L-1)],Influent[Date],"&gt;="&amp;Monthly!$A17,Influent[Date],"&lt;="&amp;Monthly!$A18)</f>
        <v>1259.1971875000002</v>
      </c>
      <c r="C18" s="29">
        <f>AVERAGEIFS(Influent[sCOD (mg L-1)],Influent[Date],"&gt;="&amp;Monthly!$A17,Influent[Date],"&lt;="&amp;Monthly!$A18)</f>
        <v>2175.046875</v>
      </c>
      <c r="D18" s="29">
        <f>AVERAGEIFS(Influent[Alkalinity (mg CaCO3 L-1) ],Influent[Date],"&gt;="&amp;Monthly!$A17,Influent[Date],"&lt;="&amp;Monthly!$A18)</f>
        <v>4581.5625</v>
      </c>
      <c r="E18" s="29">
        <f>AVERAGEIFS(Influent[Temperature (°C)],Influent[Date],"&gt;="&amp;Monthly!$A17,Influent[Date],"&lt;="&amp;Monthly!$A18)</f>
        <v>22.338162440427762</v>
      </c>
      <c r="F18" s="29">
        <f>AVERAGEIFS(Influent[sC/ N ],Influent[Date],"&gt;="&amp;Monthly!$A17,Influent[Date],"&lt;="&amp;Monthly!$A18)</f>
        <v>1.7209960376660876</v>
      </c>
      <c r="G18" s="29">
        <f>AVERAGEIFS(Influent[pHinf],Influent[Date],"&gt;="&amp;Monthly!$A17,Influent[Date],"&lt;="&amp;Monthly!$A18)</f>
        <v>8.4031250000000011</v>
      </c>
      <c r="H18" s="127"/>
      <c r="I18" s="21">
        <f>AVERAGEIFS(stableMED[NRE 
(%)],stableMED[Date],"&gt;="&amp;Monthly!$A17,stableMED[Date],"&lt;="&amp;Monthly!$A18)</f>
        <v>0.51814829374046201</v>
      </c>
      <c r="J18" s="21">
        <f>AVERAGEIFS(stableMED[ARE 
(%)],stableMED[Date],"&gt;="&amp;Monthly!$A17,stableMED[Date],"&lt;="&amp;Monthly!$A18)</f>
        <v>0.54720941793509947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79998168889431442"/>
  </sheetPr>
  <dimension ref="A1:AV79"/>
  <sheetViews>
    <sheetView zoomScale="70" zoomScaleNormal="70" workbookViewId="0">
      <pane xSplit="2" ySplit="3" topLeftCell="C4" activePane="bottomRight" state="frozen"/>
      <selection activeCell="F26" sqref="F26"/>
      <selection pane="topRight" activeCell="F26" sqref="F26"/>
      <selection pane="bottomLeft" activeCell="F26" sqref="F26"/>
      <selection pane="bottomRight" activeCell="AB4" sqref="AB4"/>
    </sheetView>
  </sheetViews>
  <sheetFormatPr defaultRowHeight="14.4" x14ac:dyDescent="0.3"/>
  <cols>
    <col min="1" max="1" width="15.6640625" customWidth="1"/>
    <col min="2" max="2" width="10.6640625" customWidth="1"/>
    <col min="3" max="3" width="10.44140625" customWidth="1"/>
    <col min="4" max="4" width="11.88671875" customWidth="1"/>
    <col min="5" max="5" width="9.109375" style="29" customWidth="1"/>
    <col min="6" max="6" width="11" style="29" customWidth="1"/>
    <col min="7" max="7" width="6.88671875" customWidth="1"/>
    <col min="8" max="8" width="11" customWidth="1"/>
    <col min="9" max="9" width="11.44140625" customWidth="1"/>
    <col min="10" max="10" width="9.33203125" customWidth="1"/>
    <col min="11" max="12" width="9.33203125" style="29" customWidth="1"/>
    <col min="13" max="13" width="10.5546875" customWidth="1"/>
    <col min="14" max="14" width="10.5546875" style="29" customWidth="1"/>
    <col min="15" max="15" width="12.88671875" customWidth="1"/>
    <col min="16" max="16" width="10.44140625" customWidth="1"/>
    <col min="17" max="17" width="8.33203125" customWidth="1"/>
    <col min="18" max="18" width="8.77734375" customWidth="1"/>
    <col min="19" max="19" width="7.44140625" customWidth="1"/>
    <col min="20" max="20" width="7.5546875" customWidth="1"/>
    <col min="21" max="21" width="7.6640625" hidden="1" customWidth="1"/>
    <col min="22" max="22" width="7.88671875" hidden="1" customWidth="1"/>
    <col min="23" max="23" width="8" hidden="1" customWidth="1"/>
    <col min="24" max="24" width="9.6640625" customWidth="1"/>
    <col min="25" max="25" width="8.33203125" customWidth="1"/>
    <col min="26" max="26" width="9.109375" customWidth="1"/>
    <col min="27" max="28" width="10.6640625" customWidth="1"/>
    <col min="29" max="29" width="9.5546875" customWidth="1"/>
    <col min="30" max="30" width="9.5546875" style="29" customWidth="1"/>
    <col min="33" max="33" width="8.5546875" style="29" hidden="1" customWidth="1"/>
    <col min="34" max="34" width="8" style="29" hidden="1" customWidth="1"/>
    <col min="35" max="35" width="7.6640625" customWidth="1"/>
    <col min="36" max="36" width="8.5546875" customWidth="1"/>
    <col min="37" max="37" width="11.6640625" customWidth="1"/>
    <col min="38" max="38" width="11.6640625" style="29" customWidth="1"/>
    <col min="39" max="39" width="12.33203125" style="29" customWidth="1"/>
    <col min="40" max="40" width="11.33203125" style="29" customWidth="1"/>
    <col min="41" max="41" width="11.109375" style="29" customWidth="1"/>
    <col min="42" max="42" width="12.33203125" style="29" customWidth="1"/>
    <col min="43" max="43" width="63.77734375" customWidth="1"/>
  </cols>
  <sheetData>
    <row r="1" spans="1:48" ht="20.399999999999999" thickBot="1" x14ac:dyDescent="0.45">
      <c r="A1" s="1" t="s">
        <v>244</v>
      </c>
      <c r="B1" s="1"/>
      <c r="C1" s="29"/>
      <c r="D1" s="29"/>
      <c r="G1" s="5"/>
      <c r="H1" s="5"/>
      <c r="I1" s="5"/>
      <c r="J1" s="5"/>
      <c r="K1" s="5"/>
      <c r="L1" s="5"/>
      <c r="M1" s="5"/>
      <c r="N1" s="5"/>
      <c r="P1" s="5"/>
      <c r="Q1" s="5"/>
      <c r="R1" s="5"/>
      <c r="U1" s="46"/>
      <c r="V1" s="46"/>
      <c r="W1" s="46"/>
      <c r="X1" s="153"/>
      <c r="Y1" s="153"/>
      <c r="Z1" s="153"/>
      <c r="AC1" s="29"/>
      <c r="AE1" s="29"/>
      <c r="AF1" s="29"/>
      <c r="AI1" s="29"/>
      <c r="AJ1" s="29"/>
      <c r="AK1" s="29"/>
      <c r="AN1"/>
      <c r="AO1"/>
      <c r="AR1" s="31"/>
      <c r="AS1" s="31"/>
      <c r="AT1" s="31"/>
      <c r="AU1" s="31"/>
      <c r="AV1" s="30"/>
    </row>
    <row r="2" spans="1:48" ht="15" thickTop="1" x14ac:dyDescent="0.3">
      <c r="A2" s="12"/>
      <c r="B2" s="12"/>
      <c r="C2" s="334" t="s">
        <v>24</v>
      </c>
      <c r="D2" s="334"/>
      <c r="E2" s="334"/>
      <c r="F2" s="334"/>
      <c r="G2" s="334"/>
      <c r="H2" s="334"/>
      <c r="I2" s="334"/>
      <c r="J2" s="334"/>
      <c r="K2" s="131"/>
      <c r="L2" s="131"/>
      <c r="M2" s="335" t="s">
        <v>145</v>
      </c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30"/>
      <c r="AS2" s="30"/>
      <c r="AT2" s="30"/>
      <c r="AU2" s="30"/>
      <c r="AV2" s="30"/>
    </row>
    <row r="3" spans="1:48" ht="87.6" customHeight="1" x14ac:dyDescent="0.3">
      <c r="A3" s="2" t="s">
        <v>1</v>
      </c>
      <c r="B3" s="2" t="s">
        <v>2</v>
      </c>
      <c r="C3" s="24" t="s">
        <v>130</v>
      </c>
      <c r="D3" s="24" t="s">
        <v>131</v>
      </c>
      <c r="E3" s="24" t="s">
        <v>132</v>
      </c>
      <c r="F3" s="24" t="s">
        <v>127</v>
      </c>
      <c r="G3" s="24" t="s">
        <v>21</v>
      </c>
      <c r="H3" s="24" t="s">
        <v>133</v>
      </c>
      <c r="I3" s="24" t="s">
        <v>151</v>
      </c>
      <c r="J3" s="24" t="s">
        <v>23</v>
      </c>
      <c r="K3" s="24" t="s">
        <v>221</v>
      </c>
      <c r="L3" s="24" t="s">
        <v>222</v>
      </c>
      <c r="M3" s="78" t="s">
        <v>134</v>
      </c>
      <c r="N3" s="78" t="s">
        <v>342</v>
      </c>
      <c r="O3" s="78" t="s">
        <v>135</v>
      </c>
      <c r="P3" s="78" t="s">
        <v>152</v>
      </c>
      <c r="Q3" s="78" t="s">
        <v>136</v>
      </c>
      <c r="R3" s="78" t="s">
        <v>137</v>
      </c>
      <c r="S3" s="78" t="s">
        <v>138</v>
      </c>
      <c r="T3" s="78" t="s">
        <v>139</v>
      </c>
      <c r="U3" s="78" t="s">
        <v>140</v>
      </c>
      <c r="V3" s="78" t="s">
        <v>129</v>
      </c>
      <c r="W3" s="78" t="s">
        <v>128</v>
      </c>
      <c r="X3" s="78" t="s">
        <v>141</v>
      </c>
      <c r="Y3" s="78" t="s">
        <v>142</v>
      </c>
      <c r="Z3" s="78" t="s">
        <v>143</v>
      </c>
      <c r="AA3" s="78" t="s">
        <v>144</v>
      </c>
      <c r="AB3" s="2" t="s">
        <v>150</v>
      </c>
      <c r="AC3" s="2" t="s">
        <v>157</v>
      </c>
      <c r="AD3" s="2" t="s">
        <v>341</v>
      </c>
      <c r="AE3" s="2" t="s">
        <v>227</v>
      </c>
      <c r="AF3" s="2" t="s">
        <v>166</v>
      </c>
      <c r="AG3" s="47" t="s">
        <v>163</v>
      </c>
      <c r="AH3" s="2" t="s">
        <v>161</v>
      </c>
      <c r="AI3" s="2" t="s">
        <v>203</v>
      </c>
      <c r="AJ3" s="2" t="s">
        <v>183</v>
      </c>
      <c r="AK3" s="2" t="s">
        <v>215</v>
      </c>
      <c r="AL3" s="2" t="s">
        <v>146</v>
      </c>
      <c r="AM3" s="2" t="s">
        <v>261</v>
      </c>
      <c r="AN3" s="2" t="s">
        <v>147</v>
      </c>
      <c r="AO3" s="2" t="s">
        <v>148</v>
      </c>
      <c r="AP3" s="47" t="s">
        <v>241</v>
      </c>
      <c r="AQ3" s="77" t="s">
        <v>29</v>
      </c>
    </row>
    <row r="4" spans="1:48" x14ac:dyDescent="0.3">
      <c r="A4" s="3">
        <v>43327</v>
      </c>
      <c r="B4" s="29">
        <v>1</v>
      </c>
      <c r="C4" s="6">
        <v>617.4</v>
      </c>
      <c r="D4" s="28">
        <f>C4/1000*24</f>
        <v>14.817599999999999</v>
      </c>
      <c r="E4" s="27">
        <v>2</v>
      </c>
      <c r="F4" s="27">
        <v>4</v>
      </c>
      <c r="G4" s="41">
        <f>IFERROR(Information!$R$40/(SSBR[[#This Row],[Flow (L h-1)]]*SSBR[[#This Row],[Batch cycles]]*SSBR[[#This Row],[Cycle duration (h)]]/1000)*24,0)</f>
        <v>38.872691933916428</v>
      </c>
      <c r="H4" s="6">
        <v>0.26</v>
      </c>
      <c r="I4" s="6">
        <v>6.7837522553782064</v>
      </c>
      <c r="J4" s="6">
        <v>27.744652777777791</v>
      </c>
      <c r="K4" s="41"/>
      <c r="L4" s="41"/>
      <c r="M4" s="29">
        <v>1376</v>
      </c>
      <c r="N4" s="29">
        <f>SSBR[[#This Row],[COD (mg L-1)]]*Information!$AK$41</f>
        <v>1114.5600000000002</v>
      </c>
      <c r="O4" s="29">
        <v>2117</v>
      </c>
      <c r="P4" s="29">
        <v>7.9</v>
      </c>
      <c r="Q4" s="29">
        <v>286</v>
      </c>
      <c r="R4" s="29">
        <v>130</v>
      </c>
      <c r="S4" s="29">
        <v>2.2999999999999998</v>
      </c>
      <c r="T4" s="29">
        <v>0.2</v>
      </c>
      <c r="U4" s="6">
        <f>SSBR[[#This Row],[NH4-N (mg L-1)]]*1.288</f>
        <v>576.93384000000003</v>
      </c>
      <c r="V4" s="6">
        <f>(SSBR[[#This Row],[NO3-N (mg L-1)]])*4.426</f>
        <v>0.8497920000000001</v>
      </c>
      <c r="W4" s="6">
        <f>SSBR[[#This Row],[NO2-N (mg L-1)]]*3.284</f>
        <v>2.6272E-2</v>
      </c>
      <c r="X4" s="29">
        <v>447.93</v>
      </c>
      <c r="Y4" s="29">
        <v>8.0000000000000002E-3</v>
      </c>
      <c r="Z4" s="6">
        <f>IF(SSBR[[#This Row],[TON (mg L-1)]]-SSBR[[#This Row],[NO2-N (mg L-1)]]&lt;0,0.19,SSBR[[#This Row],[TON (mg L-1)]]-SSBR[[#This Row],[NO2-N (mg L-1)]])</f>
        <v>0.192</v>
      </c>
      <c r="AA4" s="4">
        <f>SUM(SSBR[[#This Row],[NO3-N (mg L-1)]],SSBR[[#This Row],[NO2-N (mg L-1)]],SSBR[[#This Row],[NH4-N (mg L-1)]])</f>
        <v>448.13</v>
      </c>
      <c r="AB4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4.6476725327394646E-4</v>
      </c>
      <c r="AC4" s="48">
        <f>IF(IFERROR(SSBR[[#This Row],[NO2-N (mg L-1)]]/SSBR[[#This Row],[NH4-N (mg L-1)]],0)&lt;0,0,IFERROR(SSBR[[#This Row],[NO2-N (mg L-1)]]/SSBR[[#This Row],[NH4-N (mg L-1)]],0))</f>
        <v>1.7859933471747819E-5</v>
      </c>
      <c r="AD4" s="48">
        <f>SSBR[[#This Row],[NO2-N (mg L-1)]]/(SSBR[[#This Row],[NO3-N (mg L-1)]]+SSBR[[#This Row],[NO2-N (mg L-1)]])</f>
        <v>0.04</v>
      </c>
      <c r="AE4" s="20">
        <f>46/14*SSBR[[#This Row],[NO2-N (mg L-1)]]/(EXP(-2300/(SSBR[[#This Row],[Temp. (°C)]]+273))*10^(SSBR[[#This Row],[pHreactor]]))</f>
        <v>9.0638850341756588E-6</v>
      </c>
      <c r="AF4" s="20">
        <f>17/14*(SSBR[NH4-N (mg L-1)]*10^SSBR[[#This Row],[pHreactor]])/(EXP((6344/(273+SSBR[[#This Row],[Temp. (°C)]])))+10^SSBR[pHreactor])</f>
        <v>2.2715623455505858</v>
      </c>
      <c r="AG4" s="1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412.90999999999997</v>
      </c>
      <c r="AH4" s="19">
        <f>IFERROR(IF(Influent[[#This Row],[COD (mg L-1)]]-SSBR[[#This Row],[COD (mg L-1)]]&lt;0,0,Influent[[#This Row],[COD (mg L-1)]]-SSBR[[#This Row],[COD (mg L-1)]]),0)</f>
        <v>0</v>
      </c>
      <c r="AI4" s="20">
        <f>Influent[[#This Row],[COD (mg L-1)]]/SSBR[HRT (h)]*24/1000</f>
        <v>0</v>
      </c>
      <c r="AJ4" s="20">
        <f>IF(((SSBR[[#This Row],[ΔC   (mg L-1)]])/SSBR[[#This Row],[HRT (h)]]*24/1000) &lt;0,0, (SSBR[[#This Row],[ΔC   (mg L-1)]])/SSBR[HRT (h)]*24/1000)</f>
        <v>0</v>
      </c>
      <c r="AK4" s="20">
        <f>IF(IFERROR((Influent[[#This Row],[NH4-N (mg L-1)]])*SSBR[ARE (%)]/SSBR[HRT (h)]*24/1000,0)&lt;0,0,IFERROR((Influent[[#This Row],[NH4-N (mg L-1)]])*SSBR[ARE (%)]/SSBR[HRT (h)]*24/1000,0))</f>
        <v>0.25505411399999989</v>
      </c>
      <c r="AL4" s="20">
        <f>Influent[[#This Row],[TN (mg L-1)]]/SSBR[[#This Row],[HRT (h)]]*24/1000</f>
        <v>0.53282175659999997</v>
      </c>
      <c r="AM4" s="20">
        <f>SSBR[[#This Row],[NLR (kg N m-3 d-1)]]*SSBR[[#This Row],[NRE (%)]]</f>
        <v>0.25614629459999999</v>
      </c>
      <c r="AN4" s="21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0.47978026572516952</v>
      </c>
      <c r="AO4" s="21">
        <f>IF(IFERROR((Influent[[#This Row],[TN (mg L-1)]]-SSBR[[#This Row],[TN (mg L-1)]])/Influent[[#This Row],[TN (mg L-1)]],0)&lt;0,0,IFERROR((Influent[[#This Row],[TN (mg L-1)]]-SSBR[[#This Row],[TN (mg L-1)]])/Influent[[#This Row],[TN (mg L-1)]],0))</f>
        <v>0.48073542686113357</v>
      </c>
      <c r="AP4" s="6"/>
    </row>
    <row r="5" spans="1:48" x14ac:dyDescent="0.3">
      <c r="A5" s="3">
        <v>43328</v>
      </c>
      <c r="B5" s="29">
        <v>2</v>
      </c>
      <c r="C5" s="6"/>
      <c r="D5" s="162"/>
      <c r="E5" s="151"/>
      <c r="F5" s="151"/>
      <c r="G5" s="163"/>
      <c r="H5" s="6"/>
      <c r="I5" s="6"/>
      <c r="J5" s="6"/>
      <c r="K5" s="163"/>
      <c r="L5" s="163"/>
      <c r="U5" s="6">
        <f>SSBR[[#This Row],[NH4-N (mg L-1)]]*1.288</f>
        <v>0</v>
      </c>
      <c r="V5" s="6">
        <f>(SSBR[[#This Row],[NO3-N (mg L-1)]])*4.426</f>
        <v>0</v>
      </c>
      <c r="W5" s="6">
        <f>SSBR[[#This Row],[NO2-N (mg L-1)]]*3.284</f>
        <v>0</v>
      </c>
      <c r="Z5" s="6"/>
      <c r="AA5" s="4"/>
      <c r="AB5" s="21"/>
      <c r="AC5" s="164"/>
      <c r="AD5" s="164"/>
      <c r="AE5" s="20"/>
      <c r="AF5" s="20"/>
      <c r="AG5" s="129"/>
      <c r="AH5" s="19"/>
      <c r="AI5" s="20"/>
      <c r="AJ5" s="20"/>
      <c r="AK5" s="6"/>
      <c r="AL5" s="20"/>
      <c r="AM5" s="20"/>
      <c r="AN5" s="26"/>
      <c r="AO5" s="26"/>
      <c r="AP5" s="6"/>
    </row>
    <row r="6" spans="1:48" x14ac:dyDescent="0.3">
      <c r="A6" s="3">
        <v>43329</v>
      </c>
      <c r="B6" s="29">
        <v>3</v>
      </c>
      <c r="C6" s="6"/>
      <c r="D6" s="162"/>
      <c r="E6" s="151"/>
      <c r="F6" s="151"/>
      <c r="G6" s="163"/>
      <c r="H6" s="6"/>
      <c r="I6" s="6"/>
      <c r="J6" s="6"/>
      <c r="K6" s="163"/>
      <c r="L6" s="163"/>
      <c r="U6" s="6">
        <f>SSBR[[#This Row],[NH4-N (mg L-1)]]*1.288</f>
        <v>0</v>
      </c>
      <c r="V6" s="6">
        <f>(SSBR[[#This Row],[NO3-N (mg L-1)]])*4.426</f>
        <v>0</v>
      </c>
      <c r="W6" s="6">
        <f>SSBR[[#This Row],[NO2-N (mg L-1)]]*3.284</f>
        <v>0</v>
      </c>
      <c r="Z6" s="6"/>
      <c r="AA6" s="4"/>
      <c r="AB6" s="21"/>
      <c r="AC6" s="164"/>
      <c r="AD6" s="164"/>
      <c r="AE6" s="20"/>
      <c r="AF6" s="20"/>
      <c r="AG6" s="129"/>
      <c r="AH6" s="19"/>
      <c r="AI6" s="20"/>
      <c r="AJ6" s="20"/>
      <c r="AK6" s="6"/>
      <c r="AL6" s="20"/>
      <c r="AM6" s="20"/>
      <c r="AN6" s="26"/>
      <c r="AO6" s="26"/>
      <c r="AP6" s="6"/>
    </row>
    <row r="7" spans="1:48" x14ac:dyDescent="0.3">
      <c r="A7" s="3">
        <v>43330</v>
      </c>
      <c r="B7" s="29">
        <v>4</v>
      </c>
      <c r="C7" s="6"/>
      <c r="D7" s="162"/>
      <c r="E7" s="151"/>
      <c r="F7" s="151"/>
      <c r="G7" s="163"/>
      <c r="H7" s="6"/>
      <c r="I7" s="6"/>
      <c r="J7" s="6"/>
      <c r="K7" s="163"/>
      <c r="L7" s="163"/>
      <c r="U7" s="6">
        <f>SSBR[[#This Row],[NH4-N (mg L-1)]]*1.288</f>
        <v>0</v>
      </c>
      <c r="V7" s="6">
        <f>(SSBR[[#This Row],[NO3-N (mg L-1)]])*4.426</f>
        <v>0</v>
      </c>
      <c r="W7" s="6">
        <f>SSBR[[#This Row],[NO2-N (mg L-1)]]*3.284</f>
        <v>0</v>
      </c>
      <c r="Z7" s="6"/>
      <c r="AA7" s="4"/>
      <c r="AB7" s="21"/>
      <c r="AC7" s="164"/>
      <c r="AD7" s="164"/>
      <c r="AE7" s="20"/>
      <c r="AF7" s="20"/>
      <c r="AG7" s="129"/>
      <c r="AH7" s="19"/>
      <c r="AI7" s="20"/>
      <c r="AJ7" s="20"/>
      <c r="AK7" s="6"/>
      <c r="AL7" s="20"/>
      <c r="AM7" s="20"/>
      <c r="AN7" s="26"/>
      <c r="AO7" s="26"/>
      <c r="AP7" s="6"/>
    </row>
    <row r="8" spans="1:48" x14ac:dyDescent="0.3">
      <c r="A8" s="3">
        <v>43331</v>
      </c>
      <c r="B8" s="29">
        <v>5</v>
      </c>
      <c r="C8" s="6"/>
      <c r="D8" s="162"/>
      <c r="E8" s="151"/>
      <c r="F8" s="151"/>
      <c r="G8" s="163"/>
      <c r="H8" s="6"/>
      <c r="I8" s="6"/>
      <c r="J8" s="6"/>
      <c r="K8" s="41"/>
      <c r="L8" s="41"/>
      <c r="U8" s="6"/>
      <c r="V8" s="6"/>
      <c r="W8" s="6"/>
      <c r="Z8" s="6"/>
      <c r="AA8" s="4"/>
      <c r="AB8" s="21"/>
      <c r="AC8" s="48"/>
      <c r="AD8" s="48"/>
      <c r="AE8" s="20"/>
      <c r="AF8" s="20"/>
      <c r="AG8" s="129"/>
      <c r="AH8" s="19"/>
      <c r="AI8" s="20"/>
      <c r="AJ8" s="20"/>
      <c r="AK8" s="6"/>
      <c r="AL8" s="20"/>
      <c r="AM8" s="20"/>
      <c r="AN8" s="26"/>
      <c r="AO8" s="26"/>
      <c r="AP8" s="6"/>
    </row>
    <row r="9" spans="1:48" x14ac:dyDescent="0.3">
      <c r="A9" s="3">
        <v>43332</v>
      </c>
      <c r="B9" s="29">
        <v>6</v>
      </c>
      <c r="C9" s="6"/>
      <c r="D9" s="162"/>
      <c r="E9" s="151"/>
      <c r="F9" s="151"/>
      <c r="G9" s="163"/>
      <c r="H9" s="6"/>
      <c r="I9" s="6"/>
      <c r="J9" s="6"/>
      <c r="K9" s="41"/>
      <c r="L9" s="41"/>
      <c r="U9" s="6"/>
      <c r="V9" s="6"/>
      <c r="W9" s="6"/>
      <c r="Z9" s="6"/>
      <c r="AA9" s="4"/>
      <c r="AB9" s="21"/>
      <c r="AC9" s="48"/>
      <c r="AD9" s="48"/>
      <c r="AE9" s="20"/>
      <c r="AF9" s="20"/>
      <c r="AG9" s="129"/>
      <c r="AH9" s="19"/>
      <c r="AI9" s="20"/>
      <c r="AJ9" s="20"/>
      <c r="AK9" s="6"/>
      <c r="AL9" s="20"/>
      <c r="AM9" s="20"/>
      <c r="AN9" s="26"/>
      <c r="AO9" s="26"/>
      <c r="AP9" s="6"/>
      <c r="AQ9" t="s">
        <v>529</v>
      </c>
    </row>
    <row r="10" spans="1:48" x14ac:dyDescent="0.3">
      <c r="A10" s="3">
        <v>43333</v>
      </c>
      <c r="B10" s="29">
        <v>7</v>
      </c>
      <c r="C10" s="6">
        <v>658.7</v>
      </c>
      <c r="D10" s="162">
        <f t="shared" ref="D10:D39" si="0">C10/1000*24</f>
        <v>15.808800000000002</v>
      </c>
      <c r="E10" s="163">
        <v>2</v>
      </c>
      <c r="F10" s="163">
        <v>4</v>
      </c>
      <c r="G10" s="163">
        <f>IFERROR(Information!$R$40/(SSBR[[#This Row],[Flow (L h-1)]]*SSBR[[#This Row],[Batch cycles]]*SSBR[[#This Row],[Cycle duration (h)]]/1000)*24,0)</f>
        <v>36.435403066646423</v>
      </c>
      <c r="H10" s="6">
        <v>0.2129701596113808</v>
      </c>
      <c r="I10" s="6">
        <v>7.2713740458015463</v>
      </c>
      <c r="J10" s="6">
        <v>29.483194444444461</v>
      </c>
      <c r="K10" s="41">
        <f>stableSSBR[[#This Row],[MLVSS 
(mg L-1)]]/0.4</f>
        <v>13200</v>
      </c>
      <c r="L10" s="41">
        <f>2640*2</f>
        <v>5280</v>
      </c>
      <c r="M10" s="29">
        <v>1345</v>
      </c>
      <c r="N10" s="29">
        <f>SSBR[[#This Row],[COD (mg L-1)]]*Information!$AK$41</f>
        <v>1089.45</v>
      </c>
      <c r="O10" s="29">
        <v>1105</v>
      </c>
      <c r="P10" s="29">
        <v>8.3000000000000007</v>
      </c>
      <c r="Q10" s="29">
        <v>418</v>
      </c>
      <c r="R10" s="29">
        <v>155</v>
      </c>
      <c r="S10" s="29">
        <v>3.71</v>
      </c>
      <c r="T10" s="29">
        <v>3.5</v>
      </c>
      <c r="U10" s="6">
        <f>SSBR[[#This Row],[NH4-N (mg L-1)]]*1.288</f>
        <v>275.16831999999999</v>
      </c>
      <c r="V10" s="6">
        <f>(SSBR[[#This Row],[NO3-N (mg L-1)]])*4.426</f>
        <v>12.308706000000001</v>
      </c>
      <c r="W10" s="6">
        <f>SSBR[[#This Row],[NO2-N (mg L-1)]]*3.284</f>
        <v>2.3611959999999996</v>
      </c>
      <c r="X10" s="29">
        <v>213.64</v>
      </c>
      <c r="Y10" s="29">
        <v>0.71899999999999997</v>
      </c>
      <c r="Z10" s="6">
        <f>IF(SSBR[[#This Row],[TON (mg L-1)]]-SSBR[[#This Row],[NO2-N (mg L-1)]]&lt;0,0.19,SSBR[[#This Row],[TON (mg L-1)]]-SSBR[[#This Row],[NO2-N (mg L-1)]])</f>
        <v>2.7810000000000001</v>
      </c>
      <c r="AA10" s="4">
        <f>SUM(SSBR[[#This Row],[NO3-N (mg L-1)]],SSBR[[#This Row],[NO2-N (mg L-1)]],SSBR[[#This Row],[NH4-N (mg L-1)]])</f>
        <v>217.14</v>
      </c>
      <c r="AB10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2.3175772525750858E-3</v>
      </c>
      <c r="AC10" s="48">
        <f>IF(IFERROR(SSBR[[#This Row],[NO2-N (mg L-1)]]/SSBR[[#This Row],[NH4-N (mg L-1)]],0)&lt;0,0,IFERROR(SSBR[[#This Row],[NO2-N (mg L-1)]]/SSBR[[#This Row],[NH4-N (mg L-1)]],0))</f>
        <v>3.3654746302190603E-3</v>
      </c>
      <c r="AD10" s="48">
        <f>SSBR[[#This Row],[NO2-N (mg L-1)]]/(SSBR[[#This Row],[NO3-N (mg L-1)]]+SSBR[[#This Row],[NO2-N (mg L-1)]])</f>
        <v>0.20542857142857143</v>
      </c>
      <c r="AE10" s="20">
        <f>46/14*SSBR[[#This Row],[NO2-N (mg L-1)]]/(EXP(-2300/(SSBR[[#This Row],[Temp. (°C)]]+273))*10^(SSBR[[#This Row],[pHreactor]]))</f>
        <v>2.5365407633716984E-4</v>
      </c>
      <c r="AF10" s="20">
        <f>17/14*(SSBR[NH4-N (mg L-1)]*10^SSBR[[#This Row],[pHreactor]])/(EXP((6344/(273+SSBR[[#This Row],[Temp. (°C)]])))+10^SSBR[pHreactor])</f>
        <v>3.7206332871627712</v>
      </c>
      <c r="AG10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1196.46</v>
      </c>
      <c r="AH10" s="19">
        <f>IFERROR(IF(Influent[[#This Row],[COD (mg L-1)]]-SSBR[[#This Row],[COD (mg L-1)]]&lt;0,0,Influent[[#This Row],[COD (mg L-1)]]-SSBR[[#This Row],[COD (mg L-1)]]),0)</f>
        <v>2625</v>
      </c>
      <c r="AI10" s="20">
        <f>Influent[[#This Row],[COD (mg L-1)]]/SSBR[HRT (h)]*24/1000</f>
        <v>2.6150389999999999</v>
      </c>
      <c r="AJ10" s="20">
        <f>IF(((SSBR[[#This Row],[ΔC   (mg L-1)]])/SSBR[[#This Row],[HRT (h)]]*24/1000) &lt;0,0, (SSBR[[#This Row],[ΔC   (mg L-1)]])/SSBR[HRT (h)]*24/1000)</f>
        <v>1.7290875000000001</v>
      </c>
      <c r="AK10" s="6">
        <f>IF(IFERROR((Influent[[#This Row],[NH4-N (mg L-1)]])*SSBR[ARE (%)]/SSBR[HRT (h)]*24/1000,0)&lt;0,0,IFERROR((Influent[[#This Row],[NH4-N (mg L-1)]])*SSBR[ARE (%)]/SSBR[HRT (h)]*24/1000,0))</f>
        <v>0.79041365200000002</v>
      </c>
      <c r="AL10" s="20">
        <f>Influent[[#This Row],[TN (mg L-1)]]/SSBR[[#This Row],[HRT (h)]]*24/1000</f>
        <v>0.93127006000000001</v>
      </c>
      <c r="AM10" s="20">
        <f>SSBR[[#This Row],[NLR (kg N m-3 d-1)]]*SSBR[[#This Row],[NRE (%)]]</f>
        <v>0.78823994199999992</v>
      </c>
      <c r="AN10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0.84886813808715345</v>
      </c>
      <c r="AO10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0.8464139199320978</v>
      </c>
      <c r="AP10" s="6">
        <v>2.1000000000000001E-2</v>
      </c>
    </row>
    <row r="11" spans="1:48" x14ac:dyDescent="0.3">
      <c r="A11" s="3">
        <v>43334</v>
      </c>
      <c r="B11" s="29">
        <v>8</v>
      </c>
      <c r="C11" s="6">
        <v>635.5</v>
      </c>
      <c r="D11" s="162">
        <f t="shared" si="0"/>
        <v>15.251999999999999</v>
      </c>
      <c r="E11" s="163">
        <v>2</v>
      </c>
      <c r="F11" s="163">
        <v>4</v>
      </c>
      <c r="G11" s="163">
        <f>IFERROR(Information!$R$40/(SSBR[[#This Row],[Flow (L h-1)]]*SSBR[[#This Row],[Batch cycles]]*SSBR[[#This Row],[Cycle duration (h)]]/1000)*24,0)</f>
        <v>37.765538945712038</v>
      </c>
      <c r="H11" s="6">
        <v>0.22548230395558641</v>
      </c>
      <c r="I11" s="6">
        <v>7.1040922970159821</v>
      </c>
      <c r="J11" s="6">
        <v>28.499097222222229</v>
      </c>
      <c r="K11" s="41"/>
      <c r="L11" s="41"/>
      <c r="M11" s="29">
        <v>1258</v>
      </c>
      <c r="N11" s="29">
        <f>SSBR[[#This Row],[COD (mg L-1)]]*Information!$AK$41</f>
        <v>1018.98</v>
      </c>
      <c r="O11" s="29">
        <v>1176</v>
      </c>
      <c r="P11" s="29">
        <v>8.3000000000000007</v>
      </c>
      <c r="Q11" s="29">
        <v>240</v>
      </c>
      <c r="R11" s="29">
        <v>91</v>
      </c>
      <c r="S11" s="29">
        <v>3.65</v>
      </c>
      <c r="T11" s="29">
        <v>3.9</v>
      </c>
      <c r="U11" s="6">
        <f>SSBR[[#This Row],[NH4-N (mg L-1)]]*1.288</f>
        <v>302.83456000000001</v>
      </c>
      <c r="V11" s="6">
        <f>(SSBR[[#This Row],[NO3-N (mg L-1)]])*4.426</f>
        <v>12.888512</v>
      </c>
      <c r="W11" s="6">
        <f>SSBR[[#This Row],[NO2-N (mg L-1)]]*3.284</f>
        <v>3.2445919999999999</v>
      </c>
      <c r="X11" s="29">
        <v>235.12</v>
      </c>
      <c r="Y11" s="29">
        <v>0.98799999999999999</v>
      </c>
      <c r="Z11" s="6">
        <f>IF(SSBR[[#This Row],[TON (mg L-1)]]-SSBR[[#This Row],[NO2-N (mg L-1)]]&lt;0,0.19,SSBR[[#This Row],[TON (mg L-1)]]-SSBR[[#This Row],[NO2-N (mg L-1)]])</f>
        <v>2.9119999999999999</v>
      </c>
      <c r="AA11" s="4">
        <f>SUM(SSBR[[#This Row],[NO3-N (mg L-1)]],SSBR[[#This Row],[NO2-N (mg L-1)]],SSBR[[#This Row],[NH4-N (mg L-1)]])</f>
        <v>239.02</v>
      </c>
      <c r="AB11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2.3350546877505853E-3</v>
      </c>
      <c r="AC11" s="48">
        <f>IF(IFERROR(SSBR[[#This Row],[NO2-N (mg L-1)]]/SSBR[[#This Row],[NH4-N (mg L-1)]],0)&lt;0,0,IFERROR(SSBR[[#This Row],[NO2-N (mg L-1)]]/SSBR[[#This Row],[NH4-N (mg L-1)]],0))</f>
        <v>4.2021095610751957E-3</v>
      </c>
      <c r="AD11" s="48">
        <f>SSBR[[#This Row],[NO2-N (mg L-1)]]/(SSBR[[#This Row],[NO3-N (mg L-1)]]+SSBR[[#This Row],[NO2-N (mg L-1)]])</f>
        <v>0.25333333333333335</v>
      </c>
      <c r="AE11" s="20">
        <f>46/14*SSBR[[#This Row],[NO2-N (mg L-1)]]/(EXP(-2300/(SSBR[[#This Row],[Temp. (°C)]]+273))*10^(SSBR[[#This Row],[pHreactor]]))</f>
        <v>5.2520670543501255E-4</v>
      </c>
      <c r="AF11" s="20">
        <f>17/14*(SSBR[NH4-N (mg L-1)]*10^SSBR[[#This Row],[pHreactor]])/(EXP((6344/(273+SSBR[[#This Row],[Temp. (°C)]])))+10^SSBR[pHreactor])</f>
        <v>2.6151065078474787</v>
      </c>
      <c r="AG11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1243.18</v>
      </c>
      <c r="AH11" s="19">
        <f>IFERROR(IF(Influent[[#This Row],[COD (mg L-1)]]-SSBR[[#This Row],[COD (mg L-1)]]&lt;0,0,Influent[[#This Row],[COD (mg L-1)]]-SSBR[[#This Row],[COD (mg L-1)]]),0)</f>
        <v>2682</v>
      </c>
      <c r="AI11" s="20">
        <f>Influent[[#This Row],[COD (mg L-1)]]/SSBR[HRT (h)]*24/1000</f>
        <v>2.50387</v>
      </c>
      <c r="AJ11" s="20">
        <f>IF(((SSBR[[#This Row],[ΔC   (mg L-1)]])/SSBR[[#This Row],[HRT (h)]]*24/1000) &lt;0,0, (SSBR[[#This Row],[ΔC   (mg L-1)]])/SSBR[HRT (h)]*24/1000)</f>
        <v>1.7044109999999999</v>
      </c>
      <c r="AK11" s="6">
        <f>IF(IFERROR((Influent[[#This Row],[NH4-N (mg L-1)]])*SSBR[ARE (%)]/SSBR[HRT (h)]*24/1000,0)&lt;0,0,IFERROR((Influent[[#This Row],[NH4-N (mg L-1)]])*SSBR[ARE (%)]/SSBR[HRT (h)]*24/1000,0))</f>
        <v>0.79251934000000002</v>
      </c>
      <c r="AL11" s="20">
        <f>Influent[[#This Row],[TN (mg L-1)]]/SSBR[[#This Row],[HRT (h)]]*24/1000</f>
        <v>0.94206520000000016</v>
      </c>
      <c r="AM11" s="20">
        <f>SSBR[[#This Row],[NLR (kg N m-3 d-1)]]*SSBR[[#This Row],[NRE (%)]]</f>
        <v>0.79016799000000015</v>
      </c>
      <c r="AN11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0.84137093509647809</v>
      </c>
      <c r="AO11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0.83876146788990824</v>
      </c>
      <c r="AP11" s="6"/>
    </row>
    <row r="12" spans="1:48" x14ac:dyDescent="0.3">
      <c r="A12" s="3">
        <v>43335</v>
      </c>
      <c r="B12" s="29">
        <v>9</v>
      </c>
      <c r="C12" s="6">
        <v>766</v>
      </c>
      <c r="D12" s="162">
        <f t="shared" si="0"/>
        <v>18.384</v>
      </c>
      <c r="E12" s="163">
        <v>2</v>
      </c>
      <c r="F12" s="163">
        <v>4</v>
      </c>
      <c r="G12" s="163">
        <f>IFERROR(Information!$R$40/(SSBR[[#This Row],[Flow (L h-1)]]*SSBR[[#This Row],[Batch cycles]]*SSBR[[#This Row],[Cycle duration (h)]]/1000)*24,0)</f>
        <v>31.331592689295043</v>
      </c>
      <c r="H12" s="6">
        <v>0.1413185287994462</v>
      </c>
      <c r="I12" s="6">
        <v>6.8370596807772053</v>
      </c>
      <c r="J12" s="6">
        <v>26.52756944444446</v>
      </c>
      <c r="K12" s="41">
        <v>14060</v>
      </c>
      <c r="L12" s="41">
        <v>6230</v>
      </c>
      <c r="M12" s="29">
        <v>1290</v>
      </c>
      <c r="N12" s="29">
        <f>SSBR[[#This Row],[COD (mg L-1)]]*Information!$AK$41</f>
        <v>1044.9000000000001</v>
      </c>
      <c r="O12" s="29">
        <v>1058</v>
      </c>
      <c r="P12" s="29">
        <v>9.1999999999999993</v>
      </c>
      <c r="Q12" s="29">
        <v>316</v>
      </c>
      <c r="R12" s="29">
        <v>127</v>
      </c>
      <c r="S12" s="29">
        <v>2.9</v>
      </c>
      <c r="T12" s="29">
        <v>10.5</v>
      </c>
      <c r="U12" s="6">
        <f>SSBR[[#This Row],[NH4-N (mg L-1)]]*1.288</f>
        <v>284.78968000000003</v>
      </c>
      <c r="V12" s="6">
        <f>(SSBR[[#This Row],[NO3-N (mg L-1)]])*4.426</f>
        <v>18.044802000000001</v>
      </c>
      <c r="W12" s="6">
        <f>SSBR[[#This Row],[NO2-N (mg L-1)]]*3.284</f>
        <v>21.093132000000001</v>
      </c>
      <c r="X12" s="29">
        <v>221.11</v>
      </c>
      <c r="Y12" s="29">
        <v>6.423</v>
      </c>
      <c r="Z12" s="6">
        <f>IF(SSBR[[#This Row],[TON (mg L-1)]]-SSBR[[#This Row],[NO2-N (mg L-1)]]&lt;0,0.19,SSBR[[#This Row],[TON (mg L-1)]]-SSBR[[#This Row],[NO2-N (mg L-1)]])</f>
        <v>4.077</v>
      </c>
      <c r="AA12" s="4">
        <f>SUM(SSBR[[#This Row],[NO3-N (mg L-1)]],SSBR[[#This Row],[NO2-N (mg L-1)]],SSBR[[#This Row],[NH4-N (mg L-1)]])</f>
        <v>231.61</v>
      </c>
      <c r="AB12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3.3298213804425062E-3</v>
      </c>
      <c r="AC12" s="48">
        <f>IF(IFERROR(SSBR[[#This Row],[NO2-N (mg L-1)]]/SSBR[[#This Row],[NH4-N (mg L-1)]],0)&lt;0,0,IFERROR(SSBR[[#This Row],[NO2-N (mg L-1)]]/SSBR[[#This Row],[NH4-N (mg L-1)]],0))</f>
        <v>2.9048889692913027E-2</v>
      </c>
      <c r="AD12" s="48">
        <f>SSBR[[#This Row],[NO2-N (mg L-1)]]/(SSBR[[#This Row],[NO3-N (mg L-1)]]+SSBR[[#This Row],[NO2-N (mg L-1)]])</f>
        <v>0.61171428571428577</v>
      </c>
      <c r="AE12" s="20">
        <f>46/14*SSBR[[#This Row],[NO2-N (mg L-1)]]/(EXP(-2300/(SSBR[[#This Row],[Temp. (°C)]]+273))*10^(SSBR[[#This Row],[pHreactor]]))</f>
        <v>6.6397338361079026E-3</v>
      </c>
      <c r="AF12" s="20">
        <f>17/14*(SSBR[NH4-N (mg L-1)]*10^SSBR[[#This Row],[pHreactor]])/(EXP((6344/(273+SSBR[[#This Row],[Temp. (°C)]])))+10^SSBR[pHreactor])</f>
        <v>1.1634213792463444</v>
      </c>
      <c r="AG12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1213.8899999999999</v>
      </c>
      <c r="AH12" s="19">
        <f>IFERROR(IF(Influent[[#This Row],[COD (mg L-1)]]-SSBR[[#This Row],[COD (mg L-1)]]&lt;0,0,Influent[[#This Row],[COD (mg L-1)]]-SSBR[[#This Row],[COD (mg L-1)]]),0)</f>
        <v>2555</v>
      </c>
      <c r="AI12" s="20">
        <f>Influent[[#This Row],[COD (mg L-1)]]/SSBR[HRT (h)]*24/1000</f>
        <v>2.9452699999999994</v>
      </c>
      <c r="AJ12" s="20">
        <f>IF(((SSBR[[#This Row],[ΔC   (mg L-1)]])/SSBR[[#This Row],[HRT (h)]]*24/1000) &lt;0,0, (SSBR[[#This Row],[ΔC   (mg L-1)]])/SSBR[HRT (h)]*24/1000)</f>
        <v>1.9571299999999996</v>
      </c>
      <c r="AK12" s="6">
        <f>IF(IFERROR((Influent[[#This Row],[NH4-N (mg L-1)]])*SSBR[ARE (%)]/SSBR[HRT (h)]*24/1000,0)&lt;0,0,IFERROR((Influent[[#This Row],[NH4-N (mg L-1)]])*SSBR[ARE (%)]/SSBR[HRT (h)]*24/1000,0))</f>
        <v>0.93788273999999983</v>
      </c>
      <c r="AL12" s="20">
        <f>Influent[[#This Row],[TN (mg L-1)]]/SSBR[[#This Row],[HRT (h)]]*24/1000</f>
        <v>1.1074062</v>
      </c>
      <c r="AM12" s="20">
        <f>SSBR[[#This Row],[NLR (kg N m-3 d-1)]]*SSBR[[#This Row],[NRE (%)]]</f>
        <v>0.9299929400000001</v>
      </c>
      <c r="AN12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0.84703562781044617</v>
      </c>
      <c r="AO12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0.83979387148094353</v>
      </c>
      <c r="AP12" s="6"/>
      <c r="AQ12" t="s">
        <v>532</v>
      </c>
    </row>
    <row r="13" spans="1:48" x14ac:dyDescent="0.3">
      <c r="A13" s="3">
        <v>43336</v>
      </c>
      <c r="B13" s="29">
        <v>10</v>
      </c>
      <c r="C13" s="6"/>
      <c r="D13" s="162"/>
      <c r="E13" s="163"/>
      <c r="F13" s="163"/>
      <c r="G13" s="163"/>
      <c r="H13" s="6"/>
      <c r="I13" s="6"/>
      <c r="J13" s="6"/>
      <c r="K13" s="41"/>
      <c r="L13" s="41"/>
      <c r="M13" s="29"/>
      <c r="O13" s="29"/>
      <c r="P13" s="29"/>
      <c r="Q13" s="29"/>
      <c r="R13" s="29"/>
      <c r="S13" s="29"/>
      <c r="T13" s="29"/>
      <c r="U13" s="6">
        <f>SSBR[[#This Row],[NH4-N (mg L-1)]]*1.288</f>
        <v>0</v>
      </c>
      <c r="V13" s="6">
        <f>(SSBR[[#This Row],[NO3-N (mg L-1)]])*4.426</f>
        <v>0</v>
      </c>
      <c r="W13" s="6">
        <f>SSBR[[#This Row],[NO2-N (mg L-1)]]*3.284</f>
        <v>0</v>
      </c>
      <c r="X13" s="29"/>
      <c r="Y13" s="29"/>
      <c r="Z13" s="6"/>
      <c r="AA13" s="4"/>
      <c r="AB13" s="21"/>
      <c r="AC13" s="48"/>
      <c r="AD13" s="48"/>
      <c r="AE13" s="20"/>
      <c r="AF13" s="20"/>
      <c r="AG13" s="129"/>
      <c r="AH13" s="19"/>
      <c r="AI13" s="20"/>
      <c r="AJ13" s="20"/>
      <c r="AK13" s="6"/>
      <c r="AL13" s="20"/>
      <c r="AM13" s="20"/>
      <c r="AN13" s="26"/>
      <c r="AO13" s="26"/>
      <c r="AP13" s="6"/>
    </row>
    <row r="14" spans="1:48" x14ac:dyDescent="0.3">
      <c r="A14" s="3">
        <v>43337</v>
      </c>
      <c r="B14" s="29">
        <v>11</v>
      </c>
      <c r="C14" s="6">
        <v>756</v>
      </c>
      <c r="D14" s="162">
        <f t="shared" si="0"/>
        <v>18.143999999999998</v>
      </c>
      <c r="E14" s="163">
        <v>2</v>
      </c>
      <c r="F14" s="163">
        <v>4</v>
      </c>
      <c r="G14" s="163">
        <f>IFERROR(Information!$R$40/(SSBR[[#This Row],[Flow (L h-1)]]*SSBR[[#This Row],[Batch cycles]]*SSBR[[#This Row],[Cycle duration (h)]]/1000)*24,0)</f>
        <v>31.746031746031747</v>
      </c>
      <c r="H14" s="6">
        <v>9.8979875086745633E-2</v>
      </c>
      <c r="I14" s="6">
        <v>6.7906217904233026</v>
      </c>
      <c r="J14" s="6">
        <v>24.466111111111111</v>
      </c>
      <c r="K14" s="41"/>
      <c r="L14" s="41"/>
      <c r="M14" s="29">
        <v>1138</v>
      </c>
      <c r="N14" s="29">
        <f>SSBR[[#This Row],[COD (mg L-1)]]*Information!$AK$41</f>
        <v>921.78000000000009</v>
      </c>
      <c r="O14" s="29">
        <v>600</v>
      </c>
      <c r="P14" s="29">
        <v>8.1</v>
      </c>
      <c r="Q14" s="29">
        <v>160</v>
      </c>
      <c r="R14" s="29">
        <v>48</v>
      </c>
      <c r="S14" s="29">
        <v>1.58</v>
      </c>
      <c r="T14" s="29">
        <v>22.6</v>
      </c>
      <c r="U14" s="6">
        <f>SSBR[[#This Row],[NH4-N (mg L-1)]]*1.288</f>
        <v>161.30912000000001</v>
      </c>
      <c r="V14" s="6">
        <f>(SSBR[[#This Row],[NO3-N (mg L-1)]])*4.426</f>
        <v>49.770370000000007</v>
      </c>
      <c r="W14" s="6">
        <f>SSBR[[#This Row],[NO2-N (mg L-1)]]*3.284</f>
        <v>37.289819999999999</v>
      </c>
      <c r="X14" s="29">
        <v>125.24</v>
      </c>
      <c r="Y14" s="29">
        <v>11.355</v>
      </c>
      <c r="Z14" s="6">
        <f>IF(SSBR[[#This Row],[TON (mg L-1)]]-SSBR[[#This Row],[NO2-N (mg L-1)]]&lt;0,0.19,SSBR[[#This Row],[TON (mg L-1)]]-SSBR[[#This Row],[NO2-N (mg L-1)]])</f>
        <v>11.245000000000001</v>
      </c>
      <c r="AA14" s="4">
        <f>SUM(SSBR[[#This Row],[NO3-N (mg L-1)]],SSBR[[#This Row],[NO2-N (mg L-1)]],SSBR[[#This Row],[NH4-N (mg L-1)]])</f>
        <v>147.84</v>
      </c>
      <c r="AB14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8.6722810914194939E-3</v>
      </c>
      <c r="AC14" s="48">
        <f>IF(IFERROR(SSBR[[#This Row],[NO2-N (mg L-1)]]/SSBR[[#This Row],[NH4-N (mg L-1)]],0)&lt;0,0,IFERROR(SSBR[[#This Row],[NO2-N (mg L-1)]]/SSBR[[#This Row],[NH4-N (mg L-1)]],0))</f>
        <v>9.0665921430852767E-2</v>
      </c>
      <c r="AD14" s="48">
        <f>SSBR[[#This Row],[NO2-N (mg L-1)]]/(SSBR[[#This Row],[NO3-N (mg L-1)]]+SSBR[[#This Row],[NO2-N (mg L-1)]])</f>
        <v>0.50243362831858407</v>
      </c>
      <c r="AE14" s="20">
        <f>46/14*SSBR[[#This Row],[NO2-N (mg L-1)]]/(EXP(-2300/(SSBR[[#This Row],[Temp. (°C)]]+273))*10^(SSBR[[#This Row],[pHreactor]]))</f>
        <v>1.3776802754153999E-2</v>
      </c>
      <c r="AF14" s="20">
        <f>17/14*(SSBR[NH4-N (mg L-1)]*10^SSBR[[#This Row],[pHreactor]])/(EXP((6344/(273+SSBR[[#This Row],[Temp. (°C)]])))+10^SSBR[pHreactor])</f>
        <v>0.51181202206605947</v>
      </c>
      <c r="AG14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1274.0600000000002</v>
      </c>
      <c r="AH14" s="19">
        <f>IFERROR(IF(Influent[[#This Row],[COD (mg L-1)]]-SSBR[[#This Row],[COD (mg L-1)]]&lt;0,0,Influent[[#This Row],[COD (mg L-1)]]-SSBR[[#This Row],[COD (mg L-1)]]),0)</f>
        <v>2712</v>
      </c>
      <c r="AI14" s="20">
        <f>Influent[[#This Row],[COD (mg L-1)]]/SSBR[HRT (h)]*24/1000</f>
        <v>2.9106000000000001</v>
      </c>
      <c r="AJ14" s="20">
        <f>IF(((SSBR[[#This Row],[ΔC   (mg L-1)]])/SSBR[[#This Row],[HRT (h)]]*24/1000) &lt;0,0, (SSBR[[#This Row],[ΔC   (mg L-1)]])/SSBR[HRT (h)]*24/1000)</f>
        <v>2.0502720000000001</v>
      </c>
      <c r="AK14" s="6">
        <f>IF(IFERROR((Influent[[#This Row],[NH4-N (mg L-1)]])*SSBR[ARE (%)]/SSBR[HRT (h)]*24/1000,0)&lt;0,0,IFERROR((Influent[[#This Row],[NH4-N (mg L-1)]])*SSBR[ARE (%)]/SSBR[HRT (h)]*24/1000,0))</f>
        <v>0.98027496000000003</v>
      </c>
      <c r="AL14" s="20">
        <f>Influent[[#This Row],[TN (mg L-1)]]/SSBR[[#This Row],[HRT (h)]]*24/1000</f>
        <v>1.0751075999999999</v>
      </c>
      <c r="AM14" s="20">
        <f>SSBR[[#This Row],[NLR (kg N m-3 d-1)]]*SSBR[[#This Row],[NRE (%)]]</f>
        <v>0.96334056000000001</v>
      </c>
      <c r="AN14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0.9119206695266896</v>
      </c>
      <c r="AO14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0.89604106602911193</v>
      </c>
      <c r="AP14" s="6"/>
    </row>
    <row r="15" spans="1:48" x14ac:dyDescent="0.3">
      <c r="A15" s="3">
        <v>43338</v>
      </c>
      <c r="B15" s="29">
        <v>12</v>
      </c>
      <c r="C15" s="6">
        <v>14.5</v>
      </c>
      <c r="D15" s="162">
        <f t="shared" si="0"/>
        <v>0.34800000000000003</v>
      </c>
      <c r="E15" s="163">
        <v>2</v>
      </c>
      <c r="F15" s="163">
        <v>4</v>
      </c>
      <c r="G15" s="163">
        <f>IFERROR(Information!$R$40/(SSBR[[#This Row],[Flow (L h-1)]]*SSBR[[#This Row],[Batch cycles]]*SSBR[[#This Row],[Cycle duration (h)]]/1000)*24,0)</f>
        <v>1655.1724137931033</v>
      </c>
      <c r="H15" s="6">
        <v>6.3908205841446838E-2</v>
      </c>
      <c r="I15" s="6">
        <v>6.7852906815020857</v>
      </c>
      <c r="J15" s="6">
        <v>24.490555555555581</v>
      </c>
      <c r="K15" s="41"/>
      <c r="L15" s="41"/>
      <c r="M15" s="29">
        <v>1125</v>
      </c>
      <c r="N15" s="29">
        <f>SSBR[[#This Row],[COD (mg L-1)]]*Information!$AK$41</f>
        <v>911.25000000000011</v>
      </c>
      <c r="O15" s="29">
        <v>588</v>
      </c>
      <c r="P15" s="29">
        <v>8.1</v>
      </c>
      <c r="Q15" s="29">
        <v>113.3</v>
      </c>
      <c r="R15" s="29">
        <v>32</v>
      </c>
      <c r="S15" s="29">
        <v>1.1399999999999999</v>
      </c>
      <c r="T15" s="29">
        <v>21.5</v>
      </c>
      <c r="U15" s="6">
        <f>SSBR[[#This Row],[NH4-N (mg L-1)]]*1.288</f>
        <v>163.24112</v>
      </c>
      <c r="V15" s="6">
        <f>(SSBR[[#This Row],[NO3-N (mg L-1)]])*4.426</f>
        <v>47.220994000000005</v>
      </c>
      <c r="W15" s="6">
        <f>SSBR[[#This Row],[NO2-N (mg L-1)]]*3.284</f>
        <v>35.569004</v>
      </c>
      <c r="X15" s="29">
        <v>126.74</v>
      </c>
      <c r="Y15" s="29">
        <v>10.831</v>
      </c>
      <c r="Z15" s="6">
        <f>IF(SSBR[[#This Row],[TON (mg L-1)]]-SSBR[[#This Row],[NO2-N (mg L-1)]]&lt;0,0.19,SSBR[[#This Row],[TON (mg L-1)]]-SSBR[[#This Row],[NO2-N (mg L-1)]])</f>
        <v>10.669</v>
      </c>
      <c r="AA15" s="4">
        <f>SUM(SSBR[[#This Row],[NO3-N (mg L-1)]],SSBR[[#This Row],[NO2-N (mg L-1)]],SSBR[[#This Row],[NH4-N (mg L-1)]])</f>
        <v>148.24</v>
      </c>
      <c r="AB15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8.2682352211785864E-3</v>
      </c>
      <c r="AC15" s="48">
        <f>IF(IFERROR(SSBR[[#This Row],[NO2-N (mg L-1)]]/SSBR[[#This Row],[NH4-N (mg L-1)]],0)&lt;0,0,IFERROR(SSBR[[#This Row],[NO2-N (mg L-1)]]/SSBR[[#This Row],[NH4-N (mg L-1)]],0))</f>
        <v>8.5458418810162542E-2</v>
      </c>
      <c r="AD15" s="48">
        <f>SSBR[[#This Row],[NO2-N (mg L-1)]]/(SSBR[[#This Row],[NO3-N (mg L-1)]]+SSBR[[#This Row],[NO2-N (mg L-1)]])</f>
        <v>0.50376744186046507</v>
      </c>
      <c r="AE15" s="20">
        <f>46/14*SSBR[[#This Row],[NO2-N (mg L-1)]]/(EXP(-2300/(SSBR[[#This Row],[Temp. (°C)]]+273))*10^(SSBR[[#This Row],[pHreactor]]))</f>
        <v>1.329489916350996E-2</v>
      </c>
      <c r="AF15" s="20">
        <f>17/14*(SSBR[NH4-N (mg L-1)]*10^SSBR[[#This Row],[pHreactor]])/(EXP((6344/(273+SSBR[[#This Row],[Temp. (°C)]])))+10^SSBR[pHreactor])</f>
        <v>0.51253835950436821</v>
      </c>
      <c r="AG15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1268.8599999999999</v>
      </c>
      <c r="AH15" s="19">
        <f>IFERROR(IF(Influent[[#This Row],[COD (mg L-1)]]-SSBR[[#This Row],[COD (mg L-1)]]&lt;0,0,Influent[[#This Row],[COD (mg L-1)]]-SSBR[[#This Row],[COD (mg L-1)]]),0)</f>
        <v>2205</v>
      </c>
      <c r="AI15" s="20">
        <f>Influent[[#This Row],[COD (mg L-1)]]/SSBR[HRT (h)]*24/1000</f>
        <v>4.8285000000000008E-2</v>
      </c>
      <c r="AJ15" s="20">
        <f>IF(((SSBR[[#This Row],[ΔC   (mg L-1)]])/SSBR[[#This Row],[HRT (h)]]*24/1000) &lt;0,0, (SSBR[[#This Row],[ΔC   (mg L-1)]])/SSBR[HRT (h)]*24/1000)</f>
        <v>3.1972500000000001E-2</v>
      </c>
      <c r="AK15" s="6">
        <f>IF(IFERROR((Influent[[#This Row],[NH4-N (mg L-1)]])*SSBR[ARE (%)]/SSBR[HRT (h)]*24/1000,0)&lt;0,0,IFERROR((Influent[[#This Row],[NH4-N (mg L-1)]])*SSBR[ARE (%)]/SSBR[HRT (h)]*24/1000,0))</f>
        <v>1.871022E-2</v>
      </c>
      <c r="AL15" s="20">
        <f>Influent[[#This Row],[TN (mg L-1)]]/SSBR[[#This Row],[HRT (h)]]*24/1000</f>
        <v>2.0565350000000003E-2</v>
      </c>
      <c r="AM15" s="20">
        <f>SSBR[[#This Row],[NLR (kg N m-3 d-1)]]*SSBR[[#This Row],[NRE (%)]]</f>
        <v>1.8415870000000004E-2</v>
      </c>
      <c r="AN15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0.9105638275351069</v>
      </c>
      <c r="AO15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0.89548050482972574</v>
      </c>
      <c r="AP15" s="6"/>
    </row>
    <row r="16" spans="1:48" x14ac:dyDescent="0.3">
      <c r="A16" s="3">
        <v>43339</v>
      </c>
      <c r="B16" s="29">
        <v>13</v>
      </c>
      <c r="C16" s="161"/>
      <c r="D16" s="162"/>
      <c r="E16" s="163"/>
      <c r="F16" s="163"/>
      <c r="G16" s="163"/>
      <c r="H16" s="162"/>
      <c r="I16" s="162"/>
      <c r="J16" s="163"/>
      <c r="K16" s="41"/>
      <c r="L16" s="41"/>
      <c r="M16" s="29"/>
      <c r="O16" s="29"/>
      <c r="P16" s="29"/>
      <c r="Q16" s="29"/>
      <c r="R16" s="29"/>
      <c r="S16" s="29"/>
      <c r="T16" s="29"/>
      <c r="U16" s="6">
        <f>SSBR[[#This Row],[NH4-N (mg L-1)]]*1.288</f>
        <v>0</v>
      </c>
      <c r="V16" s="6">
        <f>(SSBR[[#This Row],[NO3-N (mg L-1)]])*4.426</f>
        <v>0</v>
      </c>
      <c r="W16" s="6">
        <f>SSBR[[#This Row],[NO2-N (mg L-1)]]*3.284</f>
        <v>0</v>
      </c>
      <c r="X16" s="29"/>
      <c r="Y16" s="29"/>
      <c r="Z16" s="6"/>
      <c r="AA16" s="4"/>
      <c r="AB16" s="21"/>
      <c r="AC16" s="48"/>
      <c r="AD16" s="48"/>
      <c r="AE16" s="20"/>
      <c r="AF16" s="20"/>
      <c r="AG16" s="129"/>
      <c r="AH16" s="19"/>
      <c r="AI16" s="20"/>
      <c r="AJ16" s="20"/>
      <c r="AK16" s="6"/>
      <c r="AL16" s="20"/>
      <c r="AM16" s="20"/>
      <c r="AN16" s="26"/>
      <c r="AO16" s="26"/>
      <c r="AP16" s="6"/>
    </row>
    <row r="17" spans="1:43" x14ac:dyDescent="0.3">
      <c r="A17" s="3">
        <v>43340</v>
      </c>
      <c r="B17" s="29">
        <v>14</v>
      </c>
      <c r="C17" s="161"/>
      <c r="D17" s="162"/>
      <c r="E17" s="163"/>
      <c r="F17" s="163"/>
      <c r="G17" s="163"/>
      <c r="H17" s="162"/>
      <c r="I17" s="162"/>
      <c r="J17" s="163"/>
      <c r="K17" s="41">
        <v>9500</v>
      </c>
      <c r="L17" s="41">
        <v>3550</v>
      </c>
      <c r="M17" s="29"/>
      <c r="O17" s="29"/>
      <c r="P17" s="29"/>
      <c r="Q17" s="29"/>
      <c r="R17" s="29"/>
      <c r="S17" s="29"/>
      <c r="T17" s="29"/>
      <c r="U17" s="6">
        <f>SSBR[[#This Row],[NH4-N (mg L-1)]]*1.288</f>
        <v>0</v>
      </c>
      <c r="V17" s="6">
        <f>(SSBR[[#This Row],[NO3-N (mg L-1)]])*4.426</f>
        <v>0</v>
      </c>
      <c r="W17" s="6">
        <f>SSBR[[#This Row],[NO2-N (mg L-1)]]*3.284</f>
        <v>0</v>
      </c>
      <c r="X17" s="29"/>
      <c r="Y17" s="29"/>
      <c r="Z17" s="6"/>
      <c r="AA17" s="4"/>
      <c r="AB17" s="21"/>
      <c r="AC17" s="48"/>
      <c r="AD17" s="48"/>
      <c r="AE17" s="20"/>
      <c r="AF17" s="20"/>
      <c r="AG17" s="129"/>
      <c r="AH17" s="19"/>
      <c r="AI17" s="20"/>
      <c r="AJ17" s="20"/>
      <c r="AK17" s="6"/>
      <c r="AL17" s="20"/>
      <c r="AM17" s="20"/>
      <c r="AN17" s="26"/>
      <c r="AO17" s="26"/>
      <c r="AP17" s="6"/>
      <c r="AQ17" t="s">
        <v>534</v>
      </c>
    </row>
    <row r="18" spans="1:43" x14ac:dyDescent="0.3">
      <c r="A18" s="3">
        <v>43341</v>
      </c>
      <c r="B18" s="29">
        <v>15</v>
      </c>
      <c r="C18" s="6">
        <v>635.5</v>
      </c>
      <c r="D18" s="162">
        <f t="shared" ref="D18:D19" si="1">C18/1000*24</f>
        <v>15.251999999999999</v>
      </c>
      <c r="E18" s="163">
        <v>2</v>
      </c>
      <c r="F18" s="163">
        <v>4</v>
      </c>
      <c r="G18" s="163">
        <f>IFERROR(Information!$R$40/(SSBR[[#This Row],[Flow (L h-1)]]*SSBR[[#This Row],[Batch cycles]]*SSBR[[#This Row],[Cycle duration (h)]]/1000)*24,0)</f>
        <v>37.765538945712038</v>
      </c>
      <c r="H18" s="6">
        <v>0.22548230395558641</v>
      </c>
      <c r="I18" s="6">
        <v>7.1040922970159821</v>
      </c>
      <c r="J18" s="6">
        <v>28.499097222222229</v>
      </c>
      <c r="K18" s="163"/>
      <c r="L18" s="163"/>
      <c r="M18" s="29">
        <v>2390</v>
      </c>
      <c r="N18" s="29">
        <f>SSBR[[#This Row],[COD (mg L-1)]]*Information!$AK$41</f>
        <v>1935.9</v>
      </c>
      <c r="O18" s="29">
        <v>573</v>
      </c>
      <c r="P18" s="29">
        <v>8</v>
      </c>
      <c r="Q18" s="29">
        <v>6164</v>
      </c>
      <c r="R18" s="29"/>
      <c r="S18" s="29">
        <v>1.29</v>
      </c>
      <c r="T18" s="29">
        <v>1.6</v>
      </c>
      <c r="U18" s="6">
        <f>SSBR[[#This Row],[NH4-N (mg L-1)]]*1.288</f>
        <v>147.56616</v>
      </c>
      <c r="V18" s="6">
        <f>(SSBR[[#This Row],[NO3-N (mg L-1)]])*4.426</f>
        <v>3.2088500000000004</v>
      </c>
      <c r="W18" s="6">
        <f>SSBR[[#This Row],[NO2-N (mg L-1)]]*3.284</f>
        <v>2.8734999999999999</v>
      </c>
      <c r="X18" s="29">
        <v>114.57</v>
      </c>
      <c r="Y18" s="29">
        <v>0.875</v>
      </c>
      <c r="Z18" s="6">
        <f>IF(SSBR[[#This Row],[TON (mg L-1)]]-SSBR[[#This Row],[NO2-N (mg L-1)]]&lt;0,0.19,SSBR[[#This Row],[TON (mg L-1)]]-SSBR[[#This Row],[NO2-N (mg L-1)]])</f>
        <v>0.72500000000000009</v>
      </c>
      <c r="AA18" s="4">
        <f>SUM(SSBR[[#This Row],[NO3-N (mg L-1)]],SSBR[[#This Row],[NO2-N (mg L-1)]],SSBR[[#This Row],[NH4-N (mg L-1)]])</f>
        <v>116.16999999999999</v>
      </c>
      <c r="AB18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6.460926987069235E-4</v>
      </c>
      <c r="AC18" s="48">
        <f>IF(IFERROR(SSBR[[#This Row],[NO2-N (mg L-1)]]/SSBR[[#This Row],[NH4-N (mg L-1)]],0)&lt;0,0,IFERROR(SSBR[[#This Row],[NO2-N (mg L-1)]]/SSBR[[#This Row],[NH4-N (mg L-1)]],0))</f>
        <v>7.6372523348171425E-3</v>
      </c>
      <c r="AD18" s="48">
        <f>SSBR[[#This Row],[NO2-N (mg L-1)]]/(SSBR[[#This Row],[NO3-N (mg L-1)]]+SSBR[[#This Row],[NO2-N (mg L-1)]])</f>
        <v>0.546875</v>
      </c>
      <c r="AE18" s="20">
        <f>46/14*SSBR[[#This Row],[NO2-N (mg L-1)]]/(EXP(-2300/(SSBR[[#This Row],[Temp. (°C)]]+273))*10^(SSBR[[#This Row],[pHreactor]]))</f>
        <v>4.6513751746521864E-4</v>
      </c>
      <c r="AF18" s="20">
        <f>17/14*(SSBR[NH4-N (mg L-1)]*10^SSBR[[#This Row],[pHreactor]])/(EXP((6344/(273+SSBR[[#This Row],[Temp. (°C)]])))+10^SSBR[pHreactor])</f>
        <v>1.2742971784794388</v>
      </c>
      <c r="AG18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1120.53</v>
      </c>
      <c r="AH18" s="19">
        <f>IFERROR(IF(Influent[[#This Row],[COD (mg L-1)]]-SSBR[[#This Row],[COD (mg L-1)]]&lt;0,0,Influent[[#This Row],[COD (mg L-1)]]-SSBR[[#This Row],[COD (mg L-1)]]),0)</f>
        <v>0</v>
      </c>
      <c r="AI18" s="20">
        <f>Influent[[#This Row],[COD (mg L-1)]]/SSBR[HRT (h)]*24/1000</f>
        <v>0</v>
      </c>
      <c r="AJ18" s="20">
        <f>IF(((SSBR[[#This Row],[ΔC   (mg L-1)]])/SSBR[[#This Row],[HRT (h)]]*24/1000) &lt;0,0, (SSBR[[#This Row],[ΔC   (mg L-1)]])/SSBR[HRT (h)]*24/1000)</f>
        <v>0</v>
      </c>
      <c r="AK18" s="6">
        <f>IF(IFERROR((Influent[[#This Row],[NH4-N (mg L-1)]])*SSBR[ARE (%)]/SSBR[HRT (h)]*24/1000,0)&lt;0,0,IFERROR((Influent[[#This Row],[NH4-N (mg L-1)]])*SSBR[ARE (%)]/SSBR[HRT (h)]*24/1000,0))</f>
        <v>0.71311361500000003</v>
      </c>
      <c r="AL18" s="20">
        <f>Influent[[#This Row],[TN (mg L-1)]]/SSBR[[#This Row],[HRT (h)]]*24/1000</f>
        <v>0.78604995000000011</v>
      </c>
      <c r="AM18" s="20">
        <f>SSBR[[#This Row],[NLR (kg N m-3 d-1)]]*SSBR[[#This Row],[NRE (%)]]</f>
        <v>0.71222391500000004</v>
      </c>
      <c r="AN18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0.90735829222932007</v>
      </c>
      <c r="AO18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0.90607971541757615</v>
      </c>
      <c r="AP18" s="6"/>
    </row>
    <row r="19" spans="1:43" x14ac:dyDescent="0.3">
      <c r="A19" s="3">
        <v>43342</v>
      </c>
      <c r="B19" s="29">
        <v>16</v>
      </c>
      <c r="C19" s="6">
        <v>766</v>
      </c>
      <c r="D19" s="162">
        <f t="shared" si="1"/>
        <v>18.384</v>
      </c>
      <c r="E19" s="163">
        <v>2</v>
      </c>
      <c r="F19" s="163">
        <v>4</v>
      </c>
      <c r="G19" s="163">
        <f>IFERROR(Information!$R$40/(SSBR[[#This Row],[Flow (L h-1)]]*SSBR[[#This Row],[Batch cycles]]*SSBR[[#This Row],[Cycle duration (h)]]/1000)*24,0)</f>
        <v>31.331592689295043</v>
      </c>
      <c r="H19" s="6">
        <v>0.1413185287994462</v>
      </c>
      <c r="I19" s="6">
        <v>6.8370596807772053</v>
      </c>
      <c r="J19" s="6">
        <v>26.52756944444446</v>
      </c>
      <c r="K19" s="163"/>
      <c r="L19" s="163"/>
      <c r="M19" s="29">
        <v>4295</v>
      </c>
      <c r="N19" s="29">
        <f>SSBR[[#This Row],[COD (mg L-1)]]*Information!$AK$41</f>
        <v>3478.9500000000003</v>
      </c>
      <c r="O19" s="29">
        <v>579</v>
      </c>
      <c r="P19" s="29">
        <v>8</v>
      </c>
      <c r="Q19" s="29">
        <v>4300</v>
      </c>
      <c r="S19" s="29">
        <v>1.44</v>
      </c>
      <c r="T19" s="29">
        <v>0.2</v>
      </c>
      <c r="U19" s="6">
        <f>SSBR[[#This Row],[NH4-N (mg L-1)]]*1.288</f>
        <v>157.61256</v>
      </c>
      <c r="V19" s="6">
        <f>(SSBR[[#This Row],[NO3-N (mg L-1)]])*4.426</f>
        <v>0.84094000000000002</v>
      </c>
      <c r="W19" s="6">
        <f>SSBR[[#This Row],[NO2-N (mg L-1)]]*3.284</f>
        <v>1.681408</v>
      </c>
      <c r="X19" s="29">
        <v>122.37</v>
      </c>
      <c r="Y19" s="29">
        <v>0.51200000000000001</v>
      </c>
      <c r="Z19" s="6">
        <f>IF(SSBR[[#This Row],[TON (mg L-1)]]-SSBR[[#This Row],[NO2-N (mg L-1)]]&lt;0,0.19,SSBR[[#This Row],[TON (mg L-1)]]-SSBR[[#This Row],[NO2-N (mg L-1)]])</f>
        <v>0.19</v>
      </c>
      <c r="AA19" s="4">
        <f>SUM(SSBR[[#This Row],[NO3-N (mg L-1)]],SSBR[[#This Row],[NO2-N (mg L-1)]],SSBR[[#This Row],[NH4-N (mg L-1)]])</f>
        <v>123.072</v>
      </c>
      <c r="AB19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1.5686533523773355E-4</v>
      </c>
      <c r="AC19" s="164">
        <f>IF(IFERROR(SSBR[[#This Row],[NO2-N (mg L-1)]]/SSBR[[#This Row],[NH4-N (mg L-1)]],0)&lt;0,0,IFERROR(SSBR[[#This Row],[NO2-N (mg L-1)]]/SSBR[[#This Row],[NH4-N (mg L-1)]],0))</f>
        <v>4.1840320339952605E-3</v>
      </c>
      <c r="AD19" s="164">
        <f>SSBR[[#This Row],[NO2-N (mg L-1)]]/(SSBR[[#This Row],[NO3-N (mg L-1)]]+SSBR[[#This Row],[NO2-N (mg L-1)]])</f>
        <v>0.72934472934472938</v>
      </c>
      <c r="AE19" s="20">
        <f>46/14*SSBR[[#This Row],[NO2-N (mg L-1)]]/(EXP(-2300/(SSBR[[#This Row],[Temp. (°C)]]+273))*10^(SSBR[[#This Row],[pHreactor]]))</f>
        <v>5.292766190389609E-4</v>
      </c>
      <c r="AF19" s="20">
        <f>17/14*(SSBR[NH4-N (mg L-1)]*10^SSBR[[#This Row],[pHreactor]])/(EXP((6344/(273+SSBR[[#This Row],[Temp. (°C)]])))+10^SSBR[pHreactor])</f>
        <v>0.64387804340995503</v>
      </c>
      <c r="AG19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1210.5279999999998</v>
      </c>
      <c r="AH19" s="19">
        <f>IFERROR(IF(Influent[[#This Row],[COD (mg L-1)]]-SSBR[[#This Row],[COD (mg L-1)]]&lt;0,0,Influent[[#This Row],[COD (mg L-1)]]-SSBR[[#This Row],[COD (mg L-1)]]),0)</f>
        <v>0</v>
      </c>
      <c r="AI19" s="20">
        <f>Influent[[#This Row],[COD (mg L-1)]]/SSBR[HRT (h)]*24/1000</f>
        <v>2.5660999999999996</v>
      </c>
      <c r="AJ19" s="20">
        <f>IF(((SSBR[[#This Row],[ΔC   (mg L-1)]])/SSBR[[#This Row],[HRT (h)]]*24/1000) &lt;0,0, (SSBR[[#This Row],[ΔC   (mg L-1)]])/SSBR[HRT (h)]*24/1000)</f>
        <v>0</v>
      </c>
      <c r="AK19" s="6">
        <f>IF(IFERROR((Influent[[#This Row],[NH4-N (mg L-1)]])*SSBR[ARE (%)]/SSBR[HRT (h)]*24/1000,0)&lt;0,0,IFERROR((Influent[[#This Row],[NH4-N (mg L-1)]])*SSBR[ARE (%)]/SSBR[HRT (h)]*24/1000,0))</f>
        <v>0.92780217999999992</v>
      </c>
      <c r="AL19" s="20">
        <f>Influent[[#This Row],[TN (mg L-1)]]/SSBR[[#This Row],[HRT (h)]]*24/1000</f>
        <v>1.0216907999999998</v>
      </c>
      <c r="AM19" s="20">
        <f>SSBR[[#This Row],[NLR (kg N m-3 d-1)]]*SSBR[[#This Row],[NRE (%)]]</f>
        <v>0.92741764799999993</v>
      </c>
      <c r="AN19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0.9082408518296341</v>
      </c>
      <c r="AO19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0.90772829509671626</v>
      </c>
      <c r="AP19" s="6"/>
    </row>
    <row r="20" spans="1:43" x14ac:dyDescent="0.3">
      <c r="A20" s="3">
        <v>43343</v>
      </c>
      <c r="B20" s="29">
        <v>17</v>
      </c>
      <c r="C20" s="161"/>
      <c r="D20" s="162"/>
      <c r="E20" s="151"/>
      <c r="F20" s="151"/>
      <c r="G20" s="163"/>
      <c r="H20" s="162"/>
      <c r="I20" s="162"/>
      <c r="J20" s="163"/>
      <c r="K20" s="163"/>
      <c r="L20" s="163"/>
      <c r="U20" s="6">
        <f>SSBR[[#This Row],[NH4-N (mg L-1)]]*1.288</f>
        <v>0</v>
      </c>
      <c r="V20" s="6">
        <f>(SSBR[[#This Row],[NO3-N (mg L-1)]])*4.426</f>
        <v>0</v>
      </c>
      <c r="W20" s="6">
        <f>SSBR[[#This Row],[NO2-N (mg L-1)]]*3.284</f>
        <v>0</v>
      </c>
      <c r="Z20" s="6"/>
      <c r="AA20" s="4"/>
      <c r="AB20" s="21"/>
      <c r="AC20" s="164"/>
      <c r="AD20" s="164"/>
      <c r="AE20" s="20"/>
      <c r="AF20" s="20"/>
      <c r="AG20" s="129"/>
      <c r="AH20" s="19"/>
      <c r="AI20" s="20"/>
      <c r="AJ20" s="20"/>
      <c r="AK20" s="6"/>
      <c r="AL20" s="20"/>
      <c r="AM20" s="20"/>
      <c r="AN20" s="26"/>
      <c r="AO20" s="26"/>
      <c r="AP20" s="6"/>
      <c r="AQ20" t="s">
        <v>535</v>
      </c>
    </row>
    <row r="21" spans="1:43" x14ac:dyDescent="0.3">
      <c r="A21" s="3">
        <v>43344</v>
      </c>
      <c r="B21" s="29">
        <v>18</v>
      </c>
      <c r="C21" s="161"/>
      <c r="D21" s="162"/>
      <c r="E21" s="151"/>
      <c r="F21" s="151"/>
      <c r="G21" s="163"/>
      <c r="H21" s="162"/>
      <c r="I21" s="162"/>
      <c r="J21" s="163"/>
      <c r="K21" s="163"/>
      <c r="L21" s="163"/>
      <c r="U21" s="6">
        <f>SSBR[[#This Row],[NH4-N (mg L-1)]]*1.288</f>
        <v>0</v>
      </c>
      <c r="V21" s="6">
        <f>(SSBR[[#This Row],[NO3-N (mg L-1)]])*4.426</f>
        <v>0</v>
      </c>
      <c r="W21" s="6">
        <f>SSBR[[#This Row],[NO2-N (mg L-1)]]*3.284</f>
        <v>0</v>
      </c>
      <c r="Z21" s="6"/>
      <c r="AA21" s="4"/>
      <c r="AB21" s="21"/>
      <c r="AC21" s="164"/>
      <c r="AD21" s="164"/>
      <c r="AE21" s="20"/>
      <c r="AF21" s="20"/>
      <c r="AG21" s="129"/>
      <c r="AH21" s="19"/>
      <c r="AI21" s="20"/>
      <c r="AJ21" s="20"/>
      <c r="AK21" s="6"/>
      <c r="AL21" s="20"/>
      <c r="AM21" s="20"/>
      <c r="AN21" s="26"/>
      <c r="AO21" s="26"/>
      <c r="AP21" s="6"/>
      <c r="AQ21" t="s">
        <v>535</v>
      </c>
    </row>
    <row r="22" spans="1:43" x14ac:dyDescent="0.3">
      <c r="A22" s="3">
        <v>43345</v>
      </c>
      <c r="B22" s="29">
        <v>19</v>
      </c>
      <c r="C22" s="161"/>
      <c r="D22" s="162"/>
      <c r="E22" s="151"/>
      <c r="F22" s="151"/>
      <c r="G22" s="163"/>
      <c r="H22" s="162"/>
      <c r="I22" s="162"/>
      <c r="J22" s="163"/>
      <c r="K22" s="163"/>
      <c r="L22" s="163"/>
      <c r="U22" s="6">
        <f>SSBR[[#This Row],[NH4-N (mg L-1)]]*1.288</f>
        <v>0</v>
      </c>
      <c r="V22" s="6">
        <f>(SSBR[[#This Row],[NO3-N (mg L-1)]])*4.426</f>
        <v>0</v>
      </c>
      <c r="W22" s="6">
        <f>SSBR[[#This Row],[NO2-N (mg L-1)]]*3.284</f>
        <v>0</v>
      </c>
      <c r="Z22" s="6"/>
      <c r="AA22" s="4"/>
      <c r="AB22" s="21"/>
      <c r="AC22" s="164"/>
      <c r="AD22" s="164"/>
      <c r="AE22" s="20"/>
      <c r="AF22" s="20"/>
      <c r="AG22" s="129"/>
      <c r="AH22" s="19"/>
      <c r="AI22" s="20"/>
      <c r="AJ22" s="20"/>
      <c r="AK22" s="6"/>
      <c r="AL22" s="20"/>
      <c r="AM22" s="20"/>
      <c r="AN22" s="26"/>
      <c r="AO22" s="26"/>
      <c r="AP22" s="6"/>
      <c r="AQ22" t="s">
        <v>535</v>
      </c>
    </row>
    <row r="23" spans="1:43" x14ac:dyDescent="0.3">
      <c r="A23" s="3">
        <v>43346</v>
      </c>
      <c r="B23" s="29">
        <v>20</v>
      </c>
      <c r="C23" s="161"/>
      <c r="D23" s="162"/>
      <c r="E23" s="151"/>
      <c r="F23" s="151"/>
      <c r="G23" s="163"/>
      <c r="H23" s="162"/>
      <c r="I23" s="162"/>
      <c r="J23" s="163"/>
      <c r="K23" s="163"/>
      <c r="L23" s="163"/>
      <c r="U23" s="6">
        <f>SSBR[[#This Row],[NH4-N (mg L-1)]]*1.288</f>
        <v>0</v>
      </c>
      <c r="V23" s="6">
        <f>(SSBR[[#This Row],[NO3-N (mg L-1)]])*4.426</f>
        <v>0</v>
      </c>
      <c r="W23" s="6">
        <f>SSBR[[#This Row],[NO2-N (mg L-1)]]*3.284</f>
        <v>0</v>
      </c>
      <c r="Z23" s="6"/>
      <c r="AA23" s="4"/>
      <c r="AB23" s="21"/>
      <c r="AC23" s="164"/>
      <c r="AD23" s="164"/>
      <c r="AE23" s="20"/>
      <c r="AF23" s="20"/>
      <c r="AG23" s="129"/>
      <c r="AH23" s="19"/>
      <c r="AI23" s="20"/>
      <c r="AJ23" s="20"/>
      <c r="AK23" s="6"/>
      <c r="AL23" s="20"/>
      <c r="AM23" s="20"/>
      <c r="AN23" s="26"/>
      <c r="AO23" s="26"/>
      <c r="AP23" s="6"/>
      <c r="AQ23" t="s">
        <v>535</v>
      </c>
    </row>
    <row r="24" spans="1:43" x14ac:dyDescent="0.3">
      <c r="A24" s="3">
        <v>43347</v>
      </c>
      <c r="B24" s="29">
        <v>21</v>
      </c>
      <c r="C24" s="161"/>
      <c r="D24" s="162"/>
      <c r="E24" s="151"/>
      <c r="F24" s="151"/>
      <c r="G24" s="163"/>
      <c r="H24" s="162"/>
      <c r="I24" s="162"/>
      <c r="J24" s="163"/>
      <c r="K24" s="163"/>
      <c r="L24" s="163"/>
      <c r="U24" s="6">
        <f>SSBR[[#This Row],[NH4-N (mg L-1)]]*1.288</f>
        <v>0</v>
      </c>
      <c r="V24" s="6">
        <f>(SSBR[[#This Row],[NO3-N (mg L-1)]])*4.426</f>
        <v>0</v>
      </c>
      <c r="W24" s="6">
        <f>SSBR[[#This Row],[NO2-N (mg L-1)]]*3.284</f>
        <v>0</v>
      </c>
      <c r="Z24" s="6"/>
      <c r="AA24" s="4"/>
      <c r="AB24" s="21"/>
      <c r="AC24" s="164"/>
      <c r="AD24" s="164"/>
      <c r="AE24" s="20"/>
      <c r="AF24" s="20"/>
      <c r="AG24" s="129"/>
      <c r="AH24" s="19"/>
      <c r="AI24" s="20"/>
      <c r="AJ24" s="20"/>
      <c r="AK24" s="6"/>
      <c r="AL24" s="20"/>
      <c r="AM24" s="20"/>
      <c r="AN24" s="26"/>
      <c r="AO24" s="26"/>
      <c r="AP24" s="6"/>
      <c r="AQ24" t="s">
        <v>535</v>
      </c>
    </row>
    <row r="25" spans="1:43" x14ac:dyDescent="0.3">
      <c r="A25" s="3">
        <v>43348</v>
      </c>
      <c r="B25" s="29">
        <v>22</v>
      </c>
      <c r="C25" s="161"/>
      <c r="D25" s="162"/>
      <c r="E25" s="151"/>
      <c r="F25" s="151"/>
      <c r="G25" s="163"/>
      <c r="H25" s="162"/>
      <c r="I25" s="162"/>
      <c r="J25" s="163"/>
      <c r="K25" s="163"/>
      <c r="L25" s="163"/>
      <c r="U25" s="6">
        <f>SSBR[[#This Row],[NH4-N (mg L-1)]]*1.288</f>
        <v>0</v>
      </c>
      <c r="V25" s="6">
        <f>(SSBR[[#This Row],[NO3-N (mg L-1)]])*4.426</f>
        <v>0</v>
      </c>
      <c r="W25" s="6">
        <f>SSBR[[#This Row],[NO2-N (mg L-1)]]*3.284</f>
        <v>0</v>
      </c>
      <c r="Z25" s="6"/>
      <c r="AA25" s="4"/>
      <c r="AB25" s="21"/>
      <c r="AC25" s="164"/>
      <c r="AD25" s="164"/>
      <c r="AE25" s="20"/>
      <c r="AF25" s="20"/>
      <c r="AG25" s="129"/>
      <c r="AH25" s="19"/>
      <c r="AI25" s="20"/>
      <c r="AJ25" s="20"/>
      <c r="AK25" s="6"/>
      <c r="AL25" s="20"/>
      <c r="AM25" s="20"/>
      <c r="AN25" s="26"/>
      <c r="AO25" s="26"/>
      <c r="AP25" s="6"/>
      <c r="AQ25" t="s">
        <v>535</v>
      </c>
    </row>
    <row r="26" spans="1:43" x14ac:dyDescent="0.3">
      <c r="A26" s="3">
        <v>43349</v>
      </c>
      <c r="B26" s="29">
        <v>23</v>
      </c>
      <c r="C26" s="161"/>
      <c r="D26" s="162"/>
      <c r="E26" s="151"/>
      <c r="F26" s="151"/>
      <c r="G26" s="163"/>
      <c r="H26" s="162"/>
      <c r="I26" s="162"/>
      <c r="J26" s="163"/>
      <c r="K26" s="163"/>
      <c r="L26" s="163"/>
      <c r="U26" s="6">
        <f>SSBR[[#This Row],[NH4-N (mg L-1)]]*1.288</f>
        <v>0</v>
      </c>
      <c r="V26" s="6">
        <f>(SSBR[[#This Row],[NO3-N (mg L-1)]])*4.426</f>
        <v>0</v>
      </c>
      <c r="W26" s="6">
        <f>SSBR[[#This Row],[NO2-N (mg L-1)]]*3.284</f>
        <v>0</v>
      </c>
      <c r="Z26" s="6"/>
      <c r="AA26" s="4"/>
      <c r="AB26" s="21"/>
      <c r="AC26" s="164"/>
      <c r="AD26" s="164"/>
      <c r="AE26" s="20"/>
      <c r="AF26" s="20"/>
      <c r="AG26" s="129"/>
      <c r="AH26" s="19"/>
      <c r="AI26" s="20"/>
      <c r="AJ26" s="20"/>
      <c r="AK26" s="6"/>
      <c r="AL26" s="20"/>
      <c r="AM26" s="20"/>
      <c r="AN26" s="26"/>
      <c r="AO26" s="26"/>
      <c r="AP26" s="6"/>
      <c r="AQ26" t="s">
        <v>535</v>
      </c>
    </row>
    <row r="27" spans="1:43" x14ac:dyDescent="0.3">
      <c r="A27" s="3">
        <v>43350</v>
      </c>
      <c r="B27" s="29">
        <v>24</v>
      </c>
      <c r="C27" s="161"/>
      <c r="D27" s="162"/>
      <c r="E27" s="151"/>
      <c r="F27" s="151"/>
      <c r="G27" s="163"/>
      <c r="H27" s="162"/>
      <c r="I27" s="162"/>
      <c r="J27" s="163"/>
      <c r="K27" s="163"/>
      <c r="L27" s="163"/>
      <c r="U27" s="6">
        <f>SSBR[[#This Row],[NH4-N (mg L-1)]]*1.288</f>
        <v>0</v>
      </c>
      <c r="V27" s="6">
        <f>(SSBR[[#This Row],[NO3-N (mg L-1)]])*4.426</f>
        <v>0</v>
      </c>
      <c r="W27" s="6">
        <f>SSBR[[#This Row],[NO2-N (mg L-1)]]*3.284</f>
        <v>0</v>
      </c>
      <c r="Z27" s="6"/>
      <c r="AA27" s="4"/>
      <c r="AB27" s="21"/>
      <c r="AC27" s="164"/>
      <c r="AD27" s="164"/>
      <c r="AE27" s="20"/>
      <c r="AF27" s="20"/>
      <c r="AG27" s="129"/>
      <c r="AH27" s="19"/>
      <c r="AI27" s="20"/>
      <c r="AJ27" s="20"/>
      <c r="AK27" s="6"/>
      <c r="AL27" s="20"/>
      <c r="AM27" s="20"/>
      <c r="AN27" s="26"/>
      <c r="AO27" s="26"/>
      <c r="AP27" s="6"/>
      <c r="AQ27" t="s">
        <v>535</v>
      </c>
    </row>
    <row r="28" spans="1:43" x14ac:dyDescent="0.3">
      <c r="A28" s="3">
        <v>43351</v>
      </c>
      <c r="B28" s="29">
        <v>25</v>
      </c>
      <c r="C28" s="161"/>
      <c r="D28" s="162"/>
      <c r="E28" s="151"/>
      <c r="F28" s="151"/>
      <c r="G28" s="163"/>
      <c r="H28" s="162"/>
      <c r="I28" s="162"/>
      <c r="J28" s="163"/>
      <c r="K28" s="163"/>
      <c r="L28" s="163"/>
      <c r="U28" s="6">
        <f>SSBR[[#This Row],[NH4-N (mg L-1)]]*1.288</f>
        <v>0</v>
      </c>
      <c r="V28" s="6">
        <f>(SSBR[[#This Row],[NO3-N (mg L-1)]])*4.426</f>
        <v>0</v>
      </c>
      <c r="W28" s="6">
        <f>SSBR[[#This Row],[NO2-N (mg L-1)]]*3.284</f>
        <v>0</v>
      </c>
      <c r="Z28" s="6"/>
      <c r="AA28" s="4"/>
      <c r="AB28" s="21"/>
      <c r="AC28" s="164"/>
      <c r="AD28" s="164"/>
      <c r="AE28" s="20"/>
      <c r="AF28" s="20"/>
      <c r="AG28" s="129"/>
      <c r="AH28" s="19"/>
      <c r="AI28" s="20"/>
      <c r="AJ28" s="20"/>
      <c r="AK28" s="6"/>
      <c r="AL28" s="20"/>
      <c r="AM28" s="20"/>
      <c r="AN28" s="26"/>
      <c r="AO28" s="26"/>
      <c r="AP28" s="6"/>
      <c r="AQ28" t="s">
        <v>535</v>
      </c>
    </row>
    <row r="29" spans="1:43" x14ac:dyDescent="0.3">
      <c r="A29" s="3">
        <v>43352</v>
      </c>
      <c r="B29" s="29">
        <v>26</v>
      </c>
      <c r="C29" s="161"/>
      <c r="D29" s="162"/>
      <c r="E29" s="151"/>
      <c r="F29" s="151"/>
      <c r="G29" s="163"/>
      <c r="H29" s="162"/>
      <c r="I29" s="162"/>
      <c r="J29" s="163"/>
      <c r="K29" s="163"/>
      <c r="L29" s="163"/>
      <c r="U29" s="6">
        <f>SSBR[[#This Row],[NH4-N (mg L-1)]]*1.288</f>
        <v>0</v>
      </c>
      <c r="V29" s="6">
        <f>(SSBR[[#This Row],[NO3-N (mg L-1)]])*4.426</f>
        <v>0</v>
      </c>
      <c r="W29" s="6">
        <f>SSBR[[#This Row],[NO2-N (mg L-1)]]*3.284</f>
        <v>0</v>
      </c>
      <c r="Z29" s="6"/>
      <c r="AA29" s="4"/>
      <c r="AB29" s="21"/>
      <c r="AC29" s="164"/>
      <c r="AD29" s="164"/>
      <c r="AE29" s="20"/>
      <c r="AF29" s="20"/>
      <c r="AG29" s="129"/>
      <c r="AH29" s="19"/>
      <c r="AI29" s="20"/>
      <c r="AJ29" s="20"/>
      <c r="AK29" s="6"/>
      <c r="AL29" s="20"/>
      <c r="AM29" s="20"/>
      <c r="AN29" s="26"/>
      <c r="AO29" s="26"/>
      <c r="AP29" s="6"/>
      <c r="AQ29" t="s">
        <v>535</v>
      </c>
    </row>
    <row r="30" spans="1:43" x14ac:dyDescent="0.3">
      <c r="A30" s="3">
        <v>43353</v>
      </c>
      <c r="B30" s="29">
        <v>27</v>
      </c>
      <c r="C30" s="161"/>
      <c r="D30" s="162"/>
      <c r="E30" s="151"/>
      <c r="F30" s="151"/>
      <c r="G30" s="163"/>
      <c r="H30" s="162"/>
      <c r="I30" s="162"/>
      <c r="J30" s="163"/>
      <c r="K30" s="163"/>
      <c r="L30" s="163"/>
      <c r="M30" s="29"/>
      <c r="O30" s="29"/>
      <c r="P30" s="29"/>
      <c r="Q30" s="29"/>
      <c r="S30" s="29"/>
      <c r="T30" s="29"/>
      <c r="U30" s="6"/>
      <c r="V30" s="6"/>
      <c r="W30" s="6"/>
      <c r="X30" s="29"/>
      <c r="Y30" s="29"/>
      <c r="Z30" s="6"/>
      <c r="AA30" s="4"/>
      <c r="AB30" s="21"/>
      <c r="AC30" s="164"/>
      <c r="AD30" s="164"/>
      <c r="AE30" s="20"/>
      <c r="AF30" s="20"/>
      <c r="AG30" s="129"/>
      <c r="AH30" s="19"/>
      <c r="AI30" s="20"/>
      <c r="AJ30" s="20"/>
      <c r="AK30" s="6"/>
      <c r="AL30" s="20"/>
      <c r="AM30" s="20"/>
      <c r="AN30" s="26"/>
      <c r="AO30" s="26"/>
      <c r="AP30" s="6"/>
      <c r="AQ30" t="s">
        <v>535</v>
      </c>
    </row>
    <row r="31" spans="1:43" x14ac:dyDescent="0.3">
      <c r="A31" s="3">
        <v>43354</v>
      </c>
      <c r="B31" s="29">
        <v>28</v>
      </c>
      <c r="C31" s="161">
        <v>754.1</v>
      </c>
      <c r="D31" s="162">
        <f t="shared" si="0"/>
        <v>18.098399999999998</v>
      </c>
      <c r="E31" s="163">
        <v>2</v>
      </c>
      <c r="F31" s="163">
        <v>4</v>
      </c>
      <c r="G31" s="163">
        <f>IFERROR(Information!$R$40/(SSBR[[#This Row],[Flow (L h-1)]]*SSBR[[#This Row],[Batch cycles]]*SSBR[[#This Row],[Cycle duration (h)]]/1000)*24,0)</f>
        <v>31.82601776952659</v>
      </c>
      <c r="H31" s="6">
        <v>0.12858431644691329</v>
      </c>
      <c r="I31" s="6">
        <v>6.9010458015267444</v>
      </c>
      <c r="J31" s="6">
        <v>23.310208333333321</v>
      </c>
      <c r="K31" s="163"/>
      <c r="L31" s="163"/>
      <c r="M31" s="29">
        <v>1412</v>
      </c>
      <c r="N31" s="29">
        <f>SSBR[[#This Row],[COD (mg L-1)]]*Information!$AK$41</f>
        <v>1143.72</v>
      </c>
      <c r="O31" s="29">
        <v>761</v>
      </c>
      <c r="P31" s="29">
        <v>7.9</v>
      </c>
      <c r="Q31" s="29">
        <v>312</v>
      </c>
      <c r="R31" s="29"/>
      <c r="S31" s="29">
        <v>2.59</v>
      </c>
      <c r="T31" s="29">
        <v>3.9</v>
      </c>
      <c r="U31" s="6">
        <f>SSBR[[#This Row],[NH4-N (mg L-1)]]*1.288</f>
        <v>190.86872</v>
      </c>
      <c r="V31" s="6">
        <f>(SSBR[[#This Row],[NO3-N (mg L-1)]])*4.426</f>
        <v>7.0638960000000006</v>
      </c>
      <c r="W31" s="6">
        <f>SSBR[[#This Row],[NO2-N (mg L-1)]]*3.284</f>
        <v>7.5663359999999988</v>
      </c>
      <c r="X31" s="29">
        <v>148.19</v>
      </c>
      <c r="Y31" s="29">
        <v>2.3039999999999998</v>
      </c>
      <c r="Z31" s="6">
        <f>IF(SSBR[[#This Row],[TON (mg L-1)]]-SSBR[[#This Row],[NO2-N (mg L-1)]]&lt;0,0.19,SSBR[[#This Row],[TON (mg L-1)]]-SSBR[[#This Row],[NO2-N (mg L-1)]])</f>
        <v>1.5960000000000001</v>
      </c>
      <c r="AA31" s="4">
        <f>SUM(SSBR[[#This Row],[NO3-N (mg L-1)]],SSBR[[#This Row],[NO2-N (mg L-1)]],SSBR[[#This Row],[NH4-N (mg L-1)]])</f>
        <v>152.09</v>
      </c>
      <c r="AB31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1.574570100926392E-3</v>
      </c>
      <c r="AC31" s="164">
        <f>IF(IFERROR(SSBR[[#This Row],[NO2-N (mg L-1)]]/SSBR[[#This Row],[NH4-N (mg L-1)]],0)&lt;0,0,IFERROR(SSBR[[#This Row],[NO2-N (mg L-1)]]/SSBR[[#This Row],[NH4-N (mg L-1)]],0))</f>
        <v>1.5547607800796275E-2</v>
      </c>
      <c r="AD31" s="164">
        <f>SSBR[[#This Row],[NO2-N (mg L-1)]]/(SSBR[[#This Row],[NO3-N (mg L-1)]]+SSBR[[#This Row],[NO2-N (mg L-1)]])</f>
        <v>0.59076923076923071</v>
      </c>
      <c r="AE31" s="20">
        <f>46/14*SSBR[[#This Row],[NO2-N (mg L-1)]]/(EXP(-2300/(SSBR[[#This Row],[Temp. (°C)]]+273))*10^(SSBR[[#This Row],[pHreactor]]))</f>
        <v>2.2341848551913645E-3</v>
      </c>
      <c r="AF31" s="20">
        <f>17/14*(SSBR[NH4-N (mg L-1)]*10^SSBR[[#This Row],[pHreactor]])/(EXP((6344/(273+SSBR[[#This Row],[Temp. (°C)]])))+10^SSBR[pHreactor])</f>
        <v>0.71813540466108072</v>
      </c>
      <c r="AG31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1009.7099999999999</v>
      </c>
      <c r="AH31" s="19">
        <f>IFERROR(IF(Influent[[#This Row],[COD (mg L-1)]]-SSBR[[#This Row],[COD (mg L-1)]]&lt;0,0,Influent[[#This Row],[COD (mg L-1)]]-SSBR[[#This Row],[COD (mg L-1)]]),0)</f>
        <v>1413</v>
      </c>
      <c r="AI31" s="20">
        <f>Influent[[#This Row],[COD (mg L-1)]]/SSBR[HRT (h)]*24/1000</f>
        <v>2.1303325000000002</v>
      </c>
      <c r="AJ31" s="20">
        <f>IF(((SSBR[[#This Row],[ΔC   (mg L-1)]])/SSBR[[#This Row],[HRT (h)]]*24/1000) &lt;0,0, (SSBR[[#This Row],[ΔC   (mg L-1)]])/SSBR[HRT (h)]*24/1000)</f>
        <v>1.0655432999999999</v>
      </c>
      <c r="AK31" s="6">
        <f>IF(IFERROR((Influent[[#This Row],[NH4-N (mg L-1)]])*SSBR[ARE (%)]/SSBR[HRT (h)]*24/1000,0)&lt;0,0,IFERROR((Influent[[#This Row],[NH4-N (mg L-1)]])*SSBR[ARE (%)]/SSBR[HRT (h)]*24/1000,0))</f>
        <v>0.76436330099999983</v>
      </c>
      <c r="AL31" s="20">
        <f>Influent[[#This Row],[TN (mg L-1)]]/SSBR[[#This Row],[HRT (h)]]*24/1000</f>
        <v>0.89369899199999991</v>
      </c>
      <c r="AM31" s="20">
        <f>SSBR[[#This Row],[NLR (kg N m-3 d-1)]]*SSBR[[#This Row],[NRE (%)]]</f>
        <v>0.77900792299999999</v>
      </c>
      <c r="AN31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0.87244792563263895</v>
      </c>
      <c r="AO31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0.87166700418523024</v>
      </c>
      <c r="AP31" s="6"/>
      <c r="AQ31" t="s">
        <v>541</v>
      </c>
    </row>
    <row r="32" spans="1:43" x14ac:dyDescent="0.3">
      <c r="A32" s="3">
        <v>43355</v>
      </c>
      <c r="B32" s="29">
        <v>29</v>
      </c>
      <c r="C32" s="161">
        <v>651.9</v>
      </c>
      <c r="D32" s="162">
        <f t="shared" si="0"/>
        <v>15.645599999999998</v>
      </c>
      <c r="E32" s="163">
        <v>2</v>
      </c>
      <c r="F32" s="163">
        <v>4</v>
      </c>
      <c r="G32" s="163">
        <f>IFERROR(Information!$R$40/(SSBR[[#This Row],[Flow (L h-1)]]*SSBR[[#This Row],[Batch cycles]]*SSBR[[#This Row],[Cycle duration (h)]]/1000)*24,0)</f>
        <v>36.815462494247583</v>
      </c>
      <c r="H32" s="6">
        <v>0.20159611380985409</v>
      </c>
      <c r="I32" s="6">
        <v>6.8834240111034077</v>
      </c>
      <c r="J32" s="6">
        <v>23.544861111111128</v>
      </c>
      <c r="K32" s="163"/>
      <c r="L32" s="163"/>
      <c r="M32" s="29">
        <v>1395</v>
      </c>
      <c r="N32" s="29">
        <f>SSBR[[#This Row],[COD (mg L-1)]]*Information!$AK$41</f>
        <v>1129.95</v>
      </c>
      <c r="O32" s="29">
        <v>750</v>
      </c>
      <c r="P32" s="29">
        <v>7.9</v>
      </c>
      <c r="Q32" s="29">
        <v>280</v>
      </c>
      <c r="R32" s="29"/>
      <c r="S32" s="29">
        <v>2.95</v>
      </c>
      <c r="T32" s="29">
        <v>4</v>
      </c>
      <c r="U32" s="6">
        <f>SSBR[[#This Row],[NH4-N (mg L-1)]]*1.288</f>
        <v>187.05624</v>
      </c>
      <c r="V32" s="6">
        <f>(SSBR[[#This Row],[NO3-N (mg L-1)]])*4.426</f>
        <v>7.488792000000001</v>
      </c>
      <c r="W32" s="6">
        <f>SSBR[[#This Row],[NO2-N (mg L-1)]]*3.284</f>
        <v>7.5794719999999991</v>
      </c>
      <c r="X32" s="29">
        <v>145.22999999999999</v>
      </c>
      <c r="Y32" s="29">
        <v>2.3079999999999998</v>
      </c>
      <c r="Z32" s="6">
        <f>IF(SSBR[[#This Row],[TON (mg L-1)]]-SSBR[[#This Row],[NO2-N (mg L-1)]]&lt;0,0.19,SSBR[[#This Row],[TON (mg L-1)]]-SSBR[[#This Row],[NO2-N (mg L-1)]])</f>
        <v>1.6920000000000002</v>
      </c>
      <c r="AA32" s="4">
        <f>SUM(SSBR[[#This Row],[NO3-N (mg L-1)]],SSBR[[#This Row],[NO2-N (mg L-1)]],SSBR[[#This Row],[NH4-N (mg L-1)]])</f>
        <v>149.22999999999999</v>
      </c>
      <c r="AB32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1.6392648497824971E-3</v>
      </c>
      <c r="AC32" s="164">
        <f>IF(IFERROR(SSBR[[#This Row],[NO2-N (mg L-1)]]/SSBR[[#This Row],[NH4-N (mg L-1)]],0)&lt;0,0,IFERROR(SSBR[[#This Row],[NO2-N (mg L-1)]]/SSBR[[#This Row],[NH4-N (mg L-1)]],0))</f>
        <v>1.5892033326447702E-2</v>
      </c>
      <c r="AD32" s="164">
        <f>SSBR[[#This Row],[NO2-N (mg L-1)]]/(SSBR[[#This Row],[NO3-N (mg L-1)]]+SSBR[[#This Row],[NO2-N (mg L-1)]])</f>
        <v>0.57699999999999996</v>
      </c>
      <c r="AE32" s="20">
        <f>46/14*SSBR[[#This Row],[NO2-N (mg L-1)]]/(EXP(-2300/(SSBR[[#This Row],[Temp. (°C)]]+273))*10^(SSBR[[#This Row],[pHreactor]]))</f>
        <v>2.3164703502042108E-3</v>
      </c>
      <c r="AF32" s="20">
        <f>17/14*(SSBR[NH4-N (mg L-1)]*10^SSBR[[#This Row],[pHreactor]])/(EXP((6344/(273+SSBR[[#This Row],[Temp. (°C)]])))+10^SSBR[pHreactor])</f>
        <v>0.68741668909048448</v>
      </c>
      <c r="AG32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1028.17</v>
      </c>
      <c r="AH32" s="19">
        <f>IFERROR(IF(Influent[[#This Row],[COD (mg L-1)]]-SSBR[[#This Row],[COD (mg L-1)]]&lt;0,0,Influent[[#This Row],[COD (mg L-1)]]-SSBR[[#This Row],[COD (mg L-1)]]),0)</f>
        <v>1235</v>
      </c>
      <c r="AI32" s="20">
        <f>Influent[[#This Row],[COD (mg L-1)]]/SSBR[HRT (h)]*24/1000</f>
        <v>1.7144970000000002</v>
      </c>
      <c r="AJ32" s="20">
        <f>IF(((SSBR[[#This Row],[ΔC   (mg L-1)]])/SSBR[[#This Row],[HRT (h)]]*24/1000) &lt;0,0, (SSBR[[#This Row],[ΔC   (mg L-1)]])/SSBR[HRT (h)]*24/1000)</f>
        <v>0.80509649999999999</v>
      </c>
      <c r="AK32" s="6">
        <f>IF(IFERROR((Influent[[#This Row],[NH4-N (mg L-1)]])*SSBR[ARE (%)]/SSBR[HRT (h)]*24/1000,0)&lt;0,0,IFERROR((Influent[[#This Row],[NH4-N (mg L-1)]])*SSBR[ARE (%)]/SSBR[HRT (h)]*24/1000,0))</f>
        <v>0.67287162300000003</v>
      </c>
      <c r="AL32" s="20">
        <f>Influent[[#This Row],[TN (mg L-1)]]/SSBR[[#This Row],[HRT (h)]]*24/1000</f>
        <v>0.76767744000000016</v>
      </c>
      <c r="AM32" s="20">
        <f>SSBR[[#This Row],[NLR (kg N m-3 d-1)]]*SSBR[[#This Row],[NRE (%)]]</f>
        <v>0.67039440300000019</v>
      </c>
      <c r="AN32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0.87665194496347887</v>
      </c>
      <c r="AO32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0.87327615489130439</v>
      </c>
      <c r="AP32" s="6"/>
    </row>
    <row r="33" spans="1:43" x14ac:dyDescent="0.3">
      <c r="A33" s="3">
        <v>43356</v>
      </c>
      <c r="B33" s="29">
        <v>30</v>
      </c>
      <c r="C33" s="161">
        <v>668.3</v>
      </c>
      <c r="D33" s="162">
        <f t="shared" si="0"/>
        <v>16.039200000000001</v>
      </c>
      <c r="E33" s="163">
        <v>2</v>
      </c>
      <c r="F33" s="163">
        <v>4</v>
      </c>
      <c r="G33" s="163">
        <f>IFERROR(Information!$R$40/(SSBR[[#This Row],[Flow (L h-1)]]*SSBR[[#This Row],[Batch cycles]]*SSBR[[#This Row],[Cycle duration (h)]]/1000)*24,0)</f>
        <v>35.91201556187341</v>
      </c>
      <c r="H33" s="6">
        <v>0.2291880638445522</v>
      </c>
      <c r="I33" s="6">
        <v>6.8702421929215536</v>
      </c>
      <c r="J33" s="6">
        <v>23.76194444444441</v>
      </c>
      <c r="K33" s="29">
        <v>9340</v>
      </c>
      <c r="L33" s="29">
        <v>4600</v>
      </c>
      <c r="M33" s="29">
        <v>1330</v>
      </c>
      <c r="N33" s="29">
        <f>SSBR[[#This Row],[COD (mg L-1)]]*Information!$AK$41</f>
        <v>1077.3000000000002</v>
      </c>
      <c r="O33" s="29">
        <v>795</v>
      </c>
      <c r="P33" s="29">
        <v>8</v>
      </c>
      <c r="Q33" s="29">
        <v>204</v>
      </c>
      <c r="R33" s="29"/>
      <c r="S33" s="29">
        <v>2.85</v>
      </c>
      <c r="T33" s="29">
        <v>1.2</v>
      </c>
      <c r="U33" s="6">
        <f>SSBR[[#This Row],[NH4-N (mg L-1)]]*1.288</f>
        <v>202.91152</v>
      </c>
      <c r="V33" s="6">
        <f>(SSBR[[#This Row],[NO3-N (mg L-1)]])*4.426</f>
        <v>0.84094000000000002</v>
      </c>
      <c r="W33" s="6">
        <f>SSBR[[#This Row],[NO2-N (mg L-1)]]*3.284</f>
        <v>3.9539359999999997</v>
      </c>
      <c r="X33" s="29">
        <v>157.54</v>
      </c>
      <c r="Y33" s="29">
        <v>1.204</v>
      </c>
      <c r="Z33" s="6">
        <f>IF(SSBR[[#This Row],[TON (mg L-1)]]-SSBR[[#This Row],[NO2-N (mg L-1)]]&lt;0,0.19,SSBR[[#This Row],[TON (mg L-1)]]-SSBR[[#This Row],[NO2-N (mg L-1)]])</f>
        <v>0.19</v>
      </c>
      <c r="AA33" s="4">
        <f>SUM(SSBR[[#This Row],[NO3-N (mg L-1)]],SSBR[[#This Row],[NO2-N (mg L-1)]],SSBR[[#This Row],[NH4-N (mg L-1)]])</f>
        <v>158.934</v>
      </c>
      <c r="AB33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1.6018075133202939E-4</v>
      </c>
      <c r="AC33" s="164">
        <f>IF(IFERROR(SSBR[[#This Row],[NO2-N (mg L-1)]]/SSBR[[#This Row],[NH4-N (mg L-1)]],0)&lt;0,0,IFERROR(SSBR[[#This Row],[NO2-N (mg L-1)]]/SSBR[[#This Row],[NH4-N (mg L-1)]],0))</f>
        <v>7.6425034911768441E-3</v>
      </c>
      <c r="AD33" s="164">
        <f>SSBR[[#This Row],[NO2-N (mg L-1)]]/(SSBR[[#This Row],[NO3-N (mg L-1)]]+SSBR[[#This Row],[NO2-N (mg L-1)]])</f>
        <v>0.86370157819225257</v>
      </c>
      <c r="AE33" s="20">
        <f>46/14*SSBR[[#This Row],[NO2-N (mg L-1)]]/(EXP(-2300/(SSBR[[#This Row],[Temp. (°C)]]+273))*10^(SSBR[[#This Row],[pHreactor]]))</f>
        <v>1.2386119060279548E-3</v>
      </c>
      <c r="AF33" s="20">
        <f>17/14*(SSBR[NH4-N (mg L-1)]*10^SSBR[[#This Row],[pHreactor]])/(EXP((6344/(273+SSBR[[#This Row],[Temp. (°C)]])))+10^SSBR[pHreactor])</f>
        <v>0.73484172947319182</v>
      </c>
      <c r="AG33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1184.7660000000001</v>
      </c>
      <c r="AH33" s="19">
        <f>IFERROR(IF(Influent[[#This Row],[COD (mg L-1)]]-SSBR[[#This Row],[COD (mg L-1)]]&lt;0,0,Influent[[#This Row],[COD (mg L-1)]]-SSBR[[#This Row],[COD (mg L-1)]]),0)</f>
        <v>1480</v>
      </c>
      <c r="AI33" s="20">
        <f>Influent[[#This Row],[COD (mg L-1)]]/SSBR[HRT (h)]*24/1000</f>
        <v>1.877923</v>
      </c>
      <c r="AJ33" s="20">
        <f>IF(((SSBR[[#This Row],[ΔC   (mg L-1)]])/SSBR[[#This Row],[HRT (h)]]*24/1000) &lt;0,0, (SSBR[[#This Row],[ΔC   (mg L-1)]])/SSBR[HRT (h)]*24/1000)</f>
        <v>0.98908399999999996</v>
      </c>
      <c r="AK33" s="6">
        <f>IF(IFERROR((Influent[[#This Row],[NH4-N (mg L-1)]])*SSBR[ARE (%)]/SSBR[HRT (h)]*24/1000,0)&lt;0,0,IFERROR((Influent[[#This Row],[NH4-N (mg L-1)]])*SSBR[ARE (%)]/SSBR[HRT (h)]*24/1000,0))</f>
        <v>0.79271072799999998</v>
      </c>
      <c r="AL33" s="20">
        <f>Influent[[#This Row],[TN (mg L-1)]]/SSBR[[#This Row],[HRT (h)]]*24/1000</f>
        <v>0.90225980060000011</v>
      </c>
      <c r="AM33" s="20">
        <f>SSBR[[#This Row],[NLR (kg N m-3 d-1)]]*SSBR[[#This Row],[NRE (%)]]</f>
        <v>0.79604420840000012</v>
      </c>
      <c r="AN33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0.88275656768623956</v>
      </c>
      <c r="AO33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0.88227826161670186</v>
      </c>
      <c r="AP33" s="6"/>
    </row>
    <row r="34" spans="1:43" x14ac:dyDescent="0.3">
      <c r="A34" s="3">
        <v>43357</v>
      </c>
      <c r="B34" s="29">
        <v>31</v>
      </c>
      <c r="C34" s="161">
        <v>642.79999999999995</v>
      </c>
      <c r="D34" s="162">
        <f t="shared" si="0"/>
        <v>15.427199999999999</v>
      </c>
      <c r="E34" s="163">
        <v>2</v>
      </c>
      <c r="F34" s="163">
        <v>4</v>
      </c>
      <c r="G34" s="163">
        <f>IFERROR(Information!$R$40/(SSBR[[#This Row],[Flow (L h-1)]]*SSBR[[#This Row],[Batch cycles]]*SSBR[[#This Row],[Cycle duration (h)]]/1000)*24,0)</f>
        <v>37.336652146857503</v>
      </c>
      <c r="H34" s="6">
        <v>0.20868147120055491</v>
      </c>
      <c r="I34" s="6">
        <v>6.8312519083969274</v>
      </c>
      <c r="J34" s="6">
        <v>23.896666666666668</v>
      </c>
      <c r="K34" s="163">
        <f>stableSSBR[[#This Row],[MLVSS 
(mg L-1)]]/0.4</f>
        <v>8950</v>
      </c>
      <c r="L34" s="163">
        <f>1790*2</f>
        <v>3580</v>
      </c>
      <c r="M34" s="29">
        <v>1260</v>
      </c>
      <c r="N34" s="29">
        <f>SSBR[[#This Row],[COD (mg L-1)]]*Information!$AK$41</f>
        <v>1020.6</v>
      </c>
      <c r="O34" s="29">
        <v>637</v>
      </c>
      <c r="P34" s="29">
        <v>8</v>
      </c>
      <c r="Q34" s="29">
        <v>124</v>
      </c>
      <c r="R34" s="29"/>
      <c r="S34" s="29">
        <v>1.07</v>
      </c>
      <c r="T34" s="29">
        <v>33.299999999999997</v>
      </c>
      <c r="U34" s="6">
        <f>SSBR[[#This Row],[NH4-N (mg L-1)]]*1.288</f>
        <v>193.97280000000001</v>
      </c>
      <c r="V34" s="6">
        <f>(SSBR[[#This Row],[NO3-N (mg L-1)]])*4.426</f>
        <v>57.653075999999984</v>
      </c>
      <c r="W34" s="6">
        <f>SSBR[[#This Row],[NO2-N (mg L-1)]]*3.284</f>
        <v>66.579815999999994</v>
      </c>
      <c r="X34" s="29">
        <v>150.6</v>
      </c>
      <c r="Y34" s="29">
        <v>20.274000000000001</v>
      </c>
      <c r="Z34" s="6">
        <f>IF(SSBR[[#This Row],[TON (mg L-1)]]-SSBR[[#This Row],[NO2-N (mg L-1)]]&lt;0,0.19,SSBR[[#This Row],[TON (mg L-1)]]-SSBR[[#This Row],[NO2-N (mg L-1)]])</f>
        <v>13.025999999999996</v>
      </c>
      <c r="AA34" s="4">
        <f>SUM(SSBR[[#This Row],[NO3-N (mg L-1)]],SSBR[[#This Row],[NO2-N (mg L-1)]],SSBR[[#This Row],[NH4-N (mg L-1)]])</f>
        <v>183.89999999999998</v>
      </c>
      <c r="AB34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9.9663351185921931E-3</v>
      </c>
      <c r="AC34" s="164">
        <f>IF(IFERROR(SSBR[[#This Row],[NO2-N (mg L-1)]]/SSBR[[#This Row],[NH4-N (mg L-1)]],0)&lt;0,0,IFERROR(SSBR[[#This Row],[NO2-N (mg L-1)]]/SSBR[[#This Row],[NH4-N (mg L-1)]],0))</f>
        <v>0.13462151394422311</v>
      </c>
      <c r="AD34" s="164">
        <f>SSBR[[#This Row],[NO2-N (mg L-1)]]/(SSBR[[#This Row],[NO3-N (mg L-1)]]+SSBR[[#This Row],[NO2-N (mg L-1)]])</f>
        <v>0.60882882882882894</v>
      </c>
      <c r="AE34" s="20">
        <f>46/14*SSBR[[#This Row],[NO2-N (mg L-1)]]/(EXP(-2300/(SSBR[[#This Row],[Temp. (°C)]]+273))*10^(SSBR[[#This Row],[pHreactor]]))</f>
        <v>2.2735847238217186E-2</v>
      </c>
      <c r="AF34" s="20">
        <f>17/14*(SSBR[NH4-N (mg L-1)]*10^SSBR[[#This Row],[pHreactor]])/(EXP((6344/(273+SSBR[[#This Row],[Temp. (°C)]])))+10^SSBR[pHreactor])</f>
        <v>0.64860289315103081</v>
      </c>
      <c r="AG34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1273.6999999999998</v>
      </c>
      <c r="AH34" s="19">
        <f>IFERROR(IF(Influent[[#This Row],[COD (mg L-1)]]-SSBR[[#This Row],[COD (mg L-1)]]&lt;0,0,Influent[[#This Row],[COD (mg L-1)]]-SSBR[[#This Row],[COD (mg L-1)]]),0)</f>
        <v>1495</v>
      </c>
      <c r="AI34" s="20">
        <f>Influent[[#This Row],[COD (mg L-1)]]/SSBR[HRT (h)]*24/1000</f>
        <v>1.7709139999999997</v>
      </c>
      <c r="AJ34" s="20">
        <f>IF(((SSBR[[#This Row],[ΔC   (mg L-1)]])/SSBR[[#This Row],[HRT (h)]]*24/1000) &lt;0,0, (SSBR[[#This Row],[ΔC   (mg L-1)]])/SSBR[HRT (h)]*24/1000)</f>
        <v>0.9609859999999999</v>
      </c>
      <c r="AK34" s="6">
        <f>IF(IFERROR((Influent[[#This Row],[NH4-N (mg L-1)]])*SSBR[ARE (%)]/SSBR[HRT (h)]*24/1000,0)&lt;0,0,IFERROR((Influent[[#This Row],[NH4-N (mg L-1)]])*SSBR[ARE (%)]/SSBR[HRT (h)]*24/1000,0))</f>
        <v>0.84013959999999988</v>
      </c>
      <c r="AL34" s="20">
        <f>Influent[[#This Row],[TN (mg L-1)]]/SSBR[[#This Row],[HRT (h)]]*24/1000</f>
        <v>0.93707383999999994</v>
      </c>
      <c r="AM34" s="20">
        <f>SSBR[[#This Row],[NLR (kg N m-3 d-1)]]*SSBR[[#This Row],[NRE (%)]]</f>
        <v>0.81886292000000005</v>
      </c>
      <c r="AN34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0.89667947310647644</v>
      </c>
      <c r="AO34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0.87385100836877494</v>
      </c>
      <c r="AP34" s="6">
        <v>5.8000000000000003E-2</v>
      </c>
    </row>
    <row r="35" spans="1:43" x14ac:dyDescent="0.3">
      <c r="A35" s="3">
        <v>43358</v>
      </c>
      <c r="B35" s="29">
        <v>32</v>
      </c>
      <c r="C35" s="161">
        <v>648.4</v>
      </c>
      <c r="D35" s="162">
        <f t="shared" si="0"/>
        <v>15.561599999999999</v>
      </c>
      <c r="E35" s="163">
        <v>2</v>
      </c>
      <c r="F35" s="163">
        <v>4</v>
      </c>
      <c r="G35" s="163">
        <f>IFERROR(Information!$R$40/(SSBR[[#This Row],[Flow (L h-1)]]*SSBR[[#This Row],[Batch cycles]]*SSBR[[#This Row],[Cycle duration (h)]]/1000)*24,0)</f>
        <v>37.014188772362743</v>
      </c>
      <c r="H35" s="6">
        <v>0.20270645385149219</v>
      </c>
      <c r="I35" s="6">
        <v>6.8776606523247494</v>
      </c>
      <c r="J35" s="6">
        <v>24.136527777777768</v>
      </c>
      <c r="K35" s="163"/>
      <c r="L35" s="163"/>
      <c r="M35" s="29">
        <v>1315</v>
      </c>
      <c r="N35" s="29">
        <f>SSBR[[#This Row],[COD (mg L-1)]]*Information!$AK$41</f>
        <v>1065.1500000000001</v>
      </c>
      <c r="O35" s="29">
        <v>610</v>
      </c>
      <c r="P35" s="29">
        <v>7.9</v>
      </c>
      <c r="Q35" s="29">
        <v>215</v>
      </c>
      <c r="R35" s="29"/>
      <c r="S35" s="29">
        <v>0.88</v>
      </c>
      <c r="T35" s="29">
        <v>39.299999999999997</v>
      </c>
      <c r="U35" s="6">
        <f>SSBR[[#This Row],[NH4-N (mg L-1)]]*1.288</f>
        <v>197.27008000000001</v>
      </c>
      <c r="V35" s="6">
        <f>(SSBR[[#This Row],[NO3-N (mg L-1)]])*4.426</f>
        <v>32.725843999999995</v>
      </c>
      <c r="W35" s="6">
        <f>SSBR[[#This Row],[NO2-N (mg L-1)]]*3.284</f>
        <v>104.779304</v>
      </c>
      <c r="X35" s="29">
        <v>153.16</v>
      </c>
      <c r="Y35" s="29">
        <v>31.905999999999999</v>
      </c>
      <c r="Z35" s="6">
        <f>IF(SSBR[[#This Row],[TON (mg L-1)]]-SSBR[[#This Row],[NO2-N (mg L-1)]]&lt;0,0.19,SSBR[[#This Row],[TON (mg L-1)]]-SSBR[[#This Row],[NO2-N (mg L-1)]])</f>
        <v>7.3939999999999984</v>
      </c>
      <c r="AA35" s="4">
        <f>SUM(SSBR[[#This Row],[NO3-N (mg L-1)]],SSBR[[#This Row],[NO2-N (mg L-1)]],SSBR[[#This Row],[NH4-N (mg L-1)]])</f>
        <v>192.45999999999998</v>
      </c>
      <c r="AB35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5.4992785636723326E-3</v>
      </c>
      <c r="AC35" s="164">
        <f>IF(IFERROR(SSBR[[#This Row],[NO2-N (mg L-1)]]/SSBR[[#This Row],[NH4-N (mg L-1)]],0)&lt;0,0,IFERROR(SSBR[[#This Row],[NO2-N (mg L-1)]]/SSBR[[#This Row],[NH4-N (mg L-1)]],0))</f>
        <v>0.2083180987202925</v>
      </c>
      <c r="AD35" s="164">
        <f>SSBR[[#This Row],[NO2-N (mg L-1)]]/(SSBR[[#This Row],[NO3-N (mg L-1)]]+SSBR[[#This Row],[NO2-N (mg L-1)]])</f>
        <v>0.81185750636132314</v>
      </c>
      <c r="AE35" s="20">
        <f>46/14*SSBR[[#This Row],[NO2-N (mg L-1)]]/(EXP(-2300/(SSBR[[#This Row],[Temp. (°C)]]+273))*10^(SSBR[[#This Row],[pHreactor]]))</f>
        <v>3.1953573713874625E-2</v>
      </c>
      <c r="AF35" s="20">
        <f>17/14*(SSBR[NH4-N (mg L-1)]*10^SSBR[[#This Row],[pHreactor]])/(EXP((6344/(273+SSBR[[#This Row],[Temp. (°C)]])))+10^SSBR[pHreactor])</f>
        <v>0.74644123982521038</v>
      </c>
      <c r="AG35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1305.24</v>
      </c>
      <c r="AH35" s="19">
        <f>IFERROR(IF(Influent[[#This Row],[COD (mg L-1)]]-SSBR[[#This Row],[COD (mg L-1)]]&lt;0,0,Influent[[#This Row],[COD (mg L-1)]]-SSBR[[#This Row],[COD (mg L-1)]]),0)</f>
        <v>1505</v>
      </c>
      <c r="AI35" s="20">
        <f>Influent[[#This Row],[COD (mg L-1)]]/SSBR[HRT (h)]*24/1000</f>
        <v>1.8284879999999999</v>
      </c>
      <c r="AJ35" s="20">
        <f>IF(((SSBR[[#This Row],[ΔC   (mg L-1)]])/SSBR[[#This Row],[HRT (h)]]*24/1000) &lt;0,0, (SSBR[[#This Row],[ΔC   (mg L-1)]])/SSBR[HRT (h)]*24/1000)</f>
        <v>0.97584199999999988</v>
      </c>
      <c r="AK35" s="6">
        <f>IF(IFERROR((Influent[[#This Row],[NH4-N (mg L-1)]])*SSBR[ARE (%)]/SSBR[HRT (h)]*24/1000,0)&lt;0,0,IFERROR((Influent[[#This Row],[NH4-N (mg L-1)]])*SSBR[ARE (%)]/SSBR[HRT (h)]*24/1000,0))</f>
        <v>0.87179973599999994</v>
      </c>
      <c r="AL35" s="20">
        <f>Influent[[#This Row],[TN (mg L-1)]]/SSBR[[#This Row],[HRT (h)]]*24/1000</f>
        <v>0.97123835999999986</v>
      </c>
      <c r="AM35" s="20">
        <f>SSBR[[#This Row],[NLR (kg N m-3 d-1)]]*SSBR[[#This Row],[NRE (%)]]</f>
        <v>0.8464472959999999</v>
      </c>
      <c r="AN35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0.89773652934499559</v>
      </c>
      <c r="AO35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0.87151345216636622</v>
      </c>
      <c r="AP35" s="6"/>
    </row>
    <row r="36" spans="1:43" x14ac:dyDescent="0.3">
      <c r="A36" s="3">
        <v>43359</v>
      </c>
      <c r="B36" s="29">
        <v>33</v>
      </c>
      <c r="C36" s="161">
        <v>646</v>
      </c>
      <c r="D36" s="162">
        <f t="shared" si="0"/>
        <v>15.504000000000001</v>
      </c>
      <c r="E36" s="163">
        <v>2</v>
      </c>
      <c r="F36" s="163">
        <v>4</v>
      </c>
      <c r="G36" s="163">
        <f>IFERROR(Information!$R$40/(SSBR[[#This Row],[Flow (L h-1)]]*SSBR[[#This Row],[Batch cycles]]*SSBR[[#This Row],[Cycle duration (h)]]/1000)*24,0)</f>
        <v>37.151702786377705</v>
      </c>
      <c r="H36" s="6">
        <v>0.18540333796940209</v>
      </c>
      <c r="I36" s="6">
        <v>6.8572774687065339</v>
      </c>
      <c r="J36" s="6">
        <v>24.795902777777759</v>
      </c>
      <c r="K36" s="163"/>
      <c r="L36" s="163"/>
      <c r="M36" s="29">
        <v>1310</v>
      </c>
      <c r="N36" s="29">
        <f>SSBR[[#This Row],[COD (mg L-1)]]*Information!$AK$41</f>
        <v>1061.1000000000001</v>
      </c>
      <c r="O36" s="29">
        <v>721</v>
      </c>
      <c r="P36" s="29">
        <v>7.9</v>
      </c>
      <c r="Q36" s="29">
        <v>124</v>
      </c>
      <c r="R36" s="29"/>
      <c r="S36" s="29">
        <v>0.74</v>
      </c>
      <c r="T36" s="29">
        <v>46</v>
      </c>
      <c r="U36" s="6">
        <f>SSBR[[#This Row],[NH4-N (mg L-1)]]*1.288</f>
        <v>209.24848000000003</v>
      </c>
      <c r="V36" s="6">
        <f>(SSBR[[#This Row],[NO3-N (mg L-1)]])*4.426</f>
        <v>45.888768000000013</v>
      </c>
      <c r="W36" s="6">
        <f>SSBR[[#This Row],[NO2-N (mg L-1)]]*3.284</f>
        <v>117.01548799999999</v>
      </c>
      <c r="X36" s="29">
        <v>162.46</v>
      </c>
      <c r="Y36" s="29">
        <v>35.631999999999998</v>
      </c>
      <c r="Z36" s="6">
        <f>IF(SSBR[[#This Row],[TON (mg L-1)]]-SSBR[[#This Row],[NO2-N (mg L-1)]]&lt;0,0.19,SSBR[[#This Row],[TON (mg L-1)]]-SSBR[[#This Row],[NO2-N (mg L-1)]])</f>
        <v>10.368000000000002</v>
      </c>
      <c r="AA36" s="4">
        <f>SUM(SSBR[[#This Row],[NO3-N (mg L-1)]],SSBR[[#This Row],[NO2-N (mg L-1)]],SSBR[[#This Row],[NH4-N (mg L-1)]])</f>
        <v>208.46</v>
      </c>
      <c r="AB36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7.9470198675496706E-3</v>
      </c>
      <c r="AC36" s="164">
        <f>IF(IFERROR(SSBR[[#This Row],[NO2-N (mg L-1)]]/SSBR[[#This Row],[NH4-N (mg L-1)]],0)&lt;0,0,IFERROR(SSBR[[#This Row],[NO2-N (mg L-1)]]/SSBR[[#This Row],[NH4-N (mg L-1)]],0))</f>
        <v>0.21932783454388771</v>
      </c>
      <c r="AD36" s="164">
        <f>SSBR[[#This Row],[NO2-N (mg L-1)]]/(SSBR[[#This Row],[NO3-N (mg L-1)]]+SSBR[[#This Row],[NO2-N (mg L-1)]])</f>
        <v>0.77460869565217383</v>
      </c>
      <c r="AE36" s="20">
        <f>46/14*SSBR[[#This Row],[NO2-N (mg L-1)]]/(EXP(-2300/(SSBR[[#This Row],[Temp. (°C)]]+273))*10^(SSBR[[#This Row],[pHreactor]]))</f>
        <v>3.6764366353104733E-2</v>
      </c>
      <c r="AF36" s="20">
        <f>17/14*(SSBR[NH4-N (mg L-1)]*10^SSBR[[#This Row],[pHreactor]])/(EXP((6344/(273+SSBR[[#This Row],[Temp. (°C)]])))+10^SSBR[pHreactor])</f>
        <v>0.79203378810030889</v>
      </c>
      <c r="AG36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1258.6399999999999</v>
      </c>
      <c r="AH36" s="19">
        <f>IFERROR(IF(Influent[[#This Row],[COD (mg L-1)]]-SSBR[[#This Row],[COD (mg L-1)]]&lt;0,0,Influent[[#This Row],[COD (mg L-1)]]-SSBR[[#This Row],[COD (mg L-1)]]),0)</f>
        <v>1490</v>
      </c>
      <c r="AI36" s="20">
        <f>Influent[[#This Row],[COD (mg L-1)]]/SSBR[HRT (h)]*24/1000</f>
        <v>1.8088000000000002</v>
      </c>
      <c r="AJ36" s="20">
        <f>IF(((SSBR[[#This Row],[ΔC   (mg L-1)]])/SSBR[[#This Row],[HRT (h)]]*24/1000) &lt;0,0, (SSBR[[#This Row],[ΔC   (mg L-1)]])/SSBR[HRT (h)]*24/1000)</f>
        <v>0.96254000000000006</v>
      </c>
      <c r="AK36" s="6">
        <f>IF(IFERROR((Influent[[#This Row],[NH4-N (mg L-1)]])*SSBR[ARE (%)]/SSBR[HRT (h)]*24/1000,0)&lt;0,0,IFERROR((Influent[[#This Row],[NH4-N (mg L-1)]])*SSBR[ARE (%)]/SSBR[HRT (h)]*24/1000,0))</f>
        <v>0.84279744000000001</v>
      </c>
      <c r="AL36" s="20">
        <f>Influent[[#This Row],[TN (mg L-1)]]/SSBR[[#This Row],[HRT (h)]]*24/1000</f>
        <v>0.94787580000000016</v>
      </c>
      <c r="AM36" s="20">
        <f>SSBR[[#This Row],[NLR (kg N m-3 d-1)]]*SSBR[[#This Row],[NRE (%)]]</f>
        <v>0.8132106400000001</v>
      </c>
      <c r="AN36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0.88926453547815421</v>
      </c>
      <c r="AO36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0.8579295304300415</v>
      </c>
      <c r="AP36" s="6"/>
    </row>
    <row r="37" spans="1:43" x14ac:dyDescent="0.3">
      <c r="A37" s="3">
        <v>43360</v>
      </c>
      <c r="B37" s="29">
        <v>34</v>
      </c>
      <c r="C37" s="161">
        <v>665.4</v>
      </c>
      <c r="D37" s="162">
        <f t="shared" si="0"/>
        <v>15.9696</v>
      </c>
      <c r="E37" s="163">
        <v>2</v>
      </c>
      <c r="F37" s="163">
        <v>4</v>
      </c>
      <c r="G37" s="163">
        <f>IFERROR(Information!$R$40/(SSBR[[#This Row],[Flow (L h-1)]]*SSBR[[#This Row],[Batch cycles]]*SSBR[[#This Row],[Cycle duration (h)]]/1000)*24,0)</f>
        <v>36.068530207394048</v>
      </c>
      <c r="H37" s="6">
        <v>0.15982650936849441</v>
      </c>
      <c r="I37" s="6">
        <v>6.7975170020818707</v>
      </c>
      <c r="J37" s="6">
        <v>25.985902777777781</v>
      </c>
      <c r="K37" s="29">
        <v>9460</v>
      </c>
      <c r="L37" s="29">
        <f>stableSSBR[[#This Row],[MLSS 
(mg L-1)]]*0.46</f>
        <v>4351.6000000000004</v>
      </c>
      <c r="M37" s="29">
        <v>1300</v>
      </c>
      <c r="N37" s="29">
        <f>SSBR[[#This Row],[COD (mg L-1)]]*Information!$AK$41</f>
        <v>1053</v>
      </c>
      <c r="O37" s="29">
        <v>611</v>
      </c>
      <c r="P37" s="29">
        <v>8</v>
      </c>
      <c r="Q37" s="29">
        <v>110</v>
      </c>
      <c r="R37" s="29"/>
      <c r="S37" s="29">
        <v>0.75</v>
      </c>
      <c r="T37" s="29">
        <v>50.2</v>
      </c>
      <c r="U37" s="6">
        <f>SSBR[[#This Row],[NH4-N (mg L-1)]]*1.288</f>
        <v>205.47463999999999</v>
      </c>
      <c r="V37" s="6">
        <f>(SSBR[[#This Row],[NO3-N (mg L-1)]])*4.426</f>
        <v>55.940214000000012</v>
      </c>
      <c r="W37" s="6">
        <f>SSBR[[#This Row],[NO2-N (mg L-1)]]*3.284</f>
        <v>123.35032399999999</v>
      </c>
      <c r="X37" s="29">
        <v>159.53</v>
      </c>
      <c r="Y37" s="29">
        <v>37.561</v>
      </c>
      <c r="Z37" s="6">
        <f>IF(SSBR[[#This Row],[TON (mg L-1)]]-SSBR[[#This Row],[NO2-N (mg L-1)]]&lt;0,0.19,SSBR[[#This Row],[TON (mg L-1)]]-SSBR[[#This Row],[NO2-N (mg L-1)]])</f>
        <v>12.639000000000003</v>
      </c>
      <c r="AA37" s="4">
        <f>SUM(SSBR[[#This Row],[NO3-N (mg L-1)]],SSBR[[#This Row],[NO2-N (mg L-1)]],SSBR[[#This Row],[NH4-N (mg L-1)]])</f>
        <v>209.73000000000002</v>
      </c>
      <c r="AB37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9.4189452033356449E-3</v>
      </c>
      <c r="AC37" s="164">
        <f>IF(IFERROR(SSBR[[#This Row],[NO2-N (mg L-1)]]/SSBR[[#This Row],[NH4-N (mg L-1)]],0)&lt;0,0,IFERROR(SSBR[[#This Row],[NO2-N (mg L-1)]]/SSBR[[#This Row],[NH4-N (mg L-1)]],0))</f>
        <v>0.23544787814204224</v>
      </c>
      <c r="AD37" s="164">
        <f>SSBR[[#This Row],[NO2-N (mg L-1)]]/(SSBR[[#This Row],[NO3-N (mg L-1)]]+SSBR[[#This Row],[NO2-N (mg L-1)]])</f>
        <v>0.74822709163346612</v>
      </c>
      <c r="AE37" s="20">
        <f>46/14*SSBR[[#This Row],[NO2-N (mg L-1)]]/(EXP(-2300/(SSBR[[#This Row],[Temp. (°C)]]+273))*10^(SSBR[[#This Row],[pHreactor]]))</f>
        <v>4.3125509557482372E-2</v>
      </c>
      <c r="AF37" s="20">
        <f>17/14*(SSBR[NH4-N (mg L-1)]*10^SSBR[[#This Row],[pHreactor]])/(EXP((6344/(273+SSBR[[#This Row],[Temp. (°C)]])))+10^SSBR[pHreactor])</f>
        <v>0.73789125641092534</v>
      </c>
      <c r="AG37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1291.67</v>
      </c>
      <c r="AH37" s="19">
        <f>IFERROR(IF(Influent[[#This Row],[COD (mg L-1)]]-SSBR[[#This Row],[COD (mg L-1)]]&lt;0,0,Influent[[#This Row],[COD (mg L-1)]]-SSBR[[#This Row],[COD (mg L-1)]]),0)</f>
        <v>1555</v>
      </c>
      <c r="AI37" s="20">
        <f>Influent[[#This Row],[COD (mg L-1)]]/SSBR[HRT (h)]*24/1000</f>
        <v>1.8997170000000001</v>
      </c>
      <c r="AJ37" s="20">
        <f>IF(((SSBR[[#This Row],[ΔC   (mg L-1)]])/SSBR[[#This Row],[HRT (h)]]*24/1000) &lt;0,0, (SSBR[[#This Row],[ΔC   (mg L-1)]])/SSBR[HRT (h)]*24/1000)</f>
        <v>1.0346970000000002</v>
      </c>
      <c r="AK37" s="6">
        <f>IF(IFERROR((Influent[[#This Row],[NH4-N (mg L-1)]])*SSBR[ARE (%)]/SSBR[HRT (h)]*24/1000,0)&lt;0,0,IFERROR((Influent[[#This Row],[NH4-N (mg L-1)]])*SSBR[ARE (%)]/SSBR[HRT (h)]*24/1000,0))</f>
        <v>0.89288029800000002</v>
      </c>
      <c r="AL37" s="20">
        <f>Influent[[#This Row],[TN (mg L-1)]]/SSBR[[#This Row],[HRT (h)]]*24/1000</f>
        <v>0.99916464000000005</v>
      </c>
      <c r="AM37" s="20">
        <f>SSBR[[#This Row],[NLR (kg N m-3 d-1)]]*SSBR[[#This Row],[NRE (%)]]</f>
        <v>0.85961029799999999</v>
      </c>
      <c r="AN37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0.89374583721859602</v>
      </c>
      <c r="AO37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0.86032898241875333</v>
      </c>
      <c r="AP37" s="6"/>
    </row>
    <row r="38" spans="1:43" x14ac:dyDescent="0.3">
      <c r="A38" s="3">
        <v>43361</v>
      </c>
      <c r="B38" s="29">
        <v>35</v>
      </c>
      <c r="C38" s="161">
        <v>684.3</v>
      </c>
      <c r="D38" s="162">
        <f t="shared" si="0"/>
        <v>16.423199999999998</v>
      </c>
      <c r="E38" s="163">
        <v>2</v>
      </c>
      <c r="F38" s="163">
        <v>4</v>
      </c>
      <c r="G38" s="163">
        <f>IFERROR(Information!$R$40/(SSBR[[#This Row],[Flow (L h-1)]]*SSBR[[#This Row],[Batch cycles]]*SSBR[[#This Row],[Cycle duration (h)]]/1000)*24,0)</f>
        <v>35.072336694432273</v>
      </c>
      <c r="H38" s="6">
        <v>0.16191533657182561</v>
      </c>
      <c r="I38" s="6">
        <v>6.8135093684940768</v>
      </c>
      <c r="J38" s="6">
        <v>25.75125000000001</v>
      </c>
      <c r="K38" s="163"/>
      <c r="L38" s="163"/>
      <c r="M38" s="29">
        <v>1458</v>
      </c>
      <c r="N38" s="29">
        <f>SSBR[[#This Row],[COD (mg L-1)]]*Information!$AK$41</f>
        <v>1180.98</v>
      </c>
      <c r="O38" s="29">
        <v>555</v>
      </c>
      <c r="P38" s="29">
        <v>7.8</v>
      </c>
      <c r="Q38" s="29">
        <v>118</v>
      </c>
      <c r="R38" s="29">
        <v>32</v>
      </c>
      <c r="S38" s="29">
        <v>0.52</v>
      </c>
      <c r="T38" s="29">
        <v>67.2</v>
      </c>
      <c r="U38" s="6">
        <f>SSBR[[#This Row],[NH4-N (mg L-1)]]*1.288</f>
        <v>194.81</v>
      </c>
      <c r="V38" s="6">
        <f>(SSBR[[#This Row],[NO3-N (mg L-1)]])*4.426</f>
        <v>59.396920000000009</v>
      </c>
      <c r="W38" s="6">
        <f>SSBR[[#This Row],[NO2-N (mg L-1)]]*3.284</f>
        <v>176.61351999999999</v>
      </c>
      <c r="X38" s="29">
        <v>151.25</v>
      </c>
      <c r="Y38" s="29">
        <v>53.78</v>
      </c>
      <c r="Z38" s="6">
        <f>IF(SSBR[[#This Row],[TON (mg L-1)]]-SSBR[[#This Row],[NO2-N (mg L-1)]]&lt;0,0.19,SSBR[[#This Row],[TON (mg L-1)]]-SSBR[[#This Row],[NO2-N (mg L-1)]])</f>
        <v>13.420000000000002</v>
      </c>
      <c r="AA38" s="4">
        <f>SUM(SSBR[[#This Row],[NO3-N (mg L-1)]],SSBR[[#This Row],[NO2-N (mg L-1)]],SSBR[[#This Row],[NH4-N (mg L-1)]])</f>
        <v>218.45</v>
      </c>
      <c r="AB38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1.1983747823369204E-2</v>
      </c>
      <c r="AC38" s="164">
        <f>IF(IFERROR(SSBR[[#This Row],[NO2-N (mg L-1)]]/SSBR[[#This Row],[NH4-N (mg L-1)]],0)&lt;0,0,IFERROR(SSBR[[#This Row],[NO2-N (mg L-1)]]/SSBR[[#This Row],[NH4-N (mg L-1)]],0))</f>
        <v>0.35557024793388431</v>
      </c>
      <c r="AD38" s="164">
        <f>SSBR[[#This Row],[NO2-N (mg L-1)]]/(SSBR[[#This Row],[NO3-N (mg L-1)]]+SSBR[[#This Row],[NO2-N (mg L-1)]])</f>
        <v>0.80029761904761898</v>
      </c>
      <c r="AE38" s="20">
        <f>46/14*SSBR[[#This Row],[NO2-N (mg L-1)]]/(EXP(-2300/(SSBR[[#This Row],[Temp. (°C)]]+273))*10^(SSBR[[#This Row],[pHreactor]]))</f>
        <v>5.987556257520503E-2</v>
      </c>
      <c r="AF38" s="20">
        <f>17/14*(SSBR[NH4-N (mg L-1)]*10^SSBR[[#This Row],[pHreactor]])/(EXP((6344/(273+SSBR[[#This Row],[Temp. (°C)]])))+10^SSBR[pHreactor])</f>
        <v>0.71378293685120908</v>
      </c>
      <c r="AG38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1052.6499999999999</v>
      </c>
      <c r="AH38" s="19">
        <f>IFERROR(IF(Influent[[#This Row],[COD (mg L-1)]]-SSBR[[#This Row],[COD (mg L-1)]]&lt;0,0,Influent[[#This Row],[COD (mg L-1)]]-SSBR[[#This Row],[COD (mg L-1)]]),0)</f>
        <v>1337</v>
      </c>
      <c r="AI38" s="20">
        <f>Influent[[#This Row],[COD (mg L-1)]]/SSBR[HRT (h)]*24/1000</f>
        <v>1.9126184999999996</v>
      </c>
      <c r="AJ38" s="20">
        <f>IF(((SSBR[[#This Row],[ΔC   (mg L-1)]])/SSBR[[#This Row],[HRT (h)]]*24/1000) &lt;0,0, (SSBR[[#This Row],[ΔC   (mg L-1)]])/SSBR[HRT (h)]*24/1000)</f>
        <v>0.91490909999999981</v>
      </c>
      <c r="AK38" s="6">
        <f>IF(IFERROR((Influent[[#This Row],[NH4-N (mg L-1)]])*SSBR[ARE (%)]/SSBR[HRT (h)]*24/1000,0)&lt;0,0,IFERROR((Influent[[#This Row],[NH4-N (mg L-1)]])*SSBR[ARE (%)]/SSBR[HRT (h)]*24/1000,0))</f>
        <v>0.76631335499999975</v>
      </c>
      <c r="AL38" s="20">
        <f>Influent[[#This Row],[TN (mg L-1)]]/SSBR[[#This Row],[HRT (h)]]*24/1000</f>
        <v>0.87439443419999974</v>
      </c>
      <c r="AM38" s="20">
        <f>SSBR[[#This Row],[NLR (kg N m-3 d-1)]]*SSBR[[#This Row],[NRE (%)]]</f>
        <v>0.72490909919999968</v>
      </c>
      <c r="AN38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0.8810085752497836</v>
      </c>
      <c r="AO38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0.82904130086696282</v>
      </c>
      <c r="AP38" s="6"/>
    </row>
    <row r="39" spans="1:43" x14ac:dyDescent="0.3">
      <c r="A39" s="3">
        <v>43362</v>
      </c>
      <c r="B39" s="29">
        <v>36</v>
      </c>
      <c r="C39" s="161">
        <v>665.8</v>
      </c>
      <c r="D39" s="162">
        <f t="shared" si="0"/>
        <v>15.979199999999999</v>
      </c>
      <c r="E39" s="163">
        <v>2</v>
      </c>
      <c r="F39" s="163">
        <v>4</v>
      </c>
      <c r="G39" s="163">
        <f>IFERROR(Information!$R$40/(SSBR[[#This Row],[Flow (L h-1)]]*SSBR[[#This Row],[Batch cycles]]*SSBR[[#This Row],[Cycle duration (h)]]/1000)*24,0)</f>
        <v>36.046860919194955</v>
      </c>
      <c r="H39" s="6">
        <v>0.19148507980569091</v>
      </c>
      <c r="I39" s="6">
        <v>6.8346897987508601</v>
      </c>
      <c r="J39" s="6">
        <v>25.572986111111131</v>
      </c>
      <c r="K39" s="163"/>
      <c r="L39" s="163"/>
      <c r="M39" s="29">
        <v>1346</v>
      </c>
      <c r="N39" s="29">
        <f>SSBR[[#This Row],[COD (mg L-1)]]*Information!$AK$41</f>
        <v>1090.26</v>
      </c>
      <c r="O39" s="29">
        <v>569</v>
      </c>
      <c r="P39" s="29">
        <v>7.8</v>
      </c>
      <c r="Q39" s="29">
        <v>80</v>
      </c>
      <c r="R39" s="29">
        <v>46</v>
      </c>
      <c r="S39" s="29">
        <v>0.54</v>
      </c>
      <c r="T39" s="29">
        <v>54.6</v>
      </c>
      <c r="U39" s="6">
        <f>SSBR[[#This Row],[NH4-N (mg L-1)]]*1.288</f>
        <v>198.55807999999999</v>
      </c>
      <c r="V39" s="6">
        <f>(SSBR[[#This Row],[NO3-N (mg L-1)]])*4.426</f>
        <v>51.921406000000012</v>
      </c>
      <c r="W39" s="6">
        <f>SSBR[[#This Row],[NO2-N (mg L-1)]]*3.284</f>
        <v>140.78179599999999</v>
      </c>
      <c r="X39" s="29">
        <v>154.16</v>
      </c>
      <c r="Y39" s="29">
        <v>42.869</v>
      </c>
      <c r="Z39" s="6">
        <f>IF(SSBR[[#This Row],[TON (mg L-1)]]-SSBR[[#This Row],[NO2-N (mg L-1)]]&lt;0,0.19,SSBR[[#This Row],[TON (mg L-1)]]-SSBR[[#This Row],[NO2-N (mg L-1)]])</f>
        <v>11.731000000000002</v>
      </c>
      <c r="AA39" s="4">
        <f>SUM(SSBR[[#This Row],[NO3-N (mg L-1)]],SSBR[[#This Row],[NO2-N (mg L-1)]],SSBR[[#This Row],[NH4-N (mg L-1)]])</f>
        <v>208.76</v>
      </c>
      <c r="AB39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1.0729507746903984E-2</v>
      </c>
      <c r="AC39" s="164">
        <f>IF(IFERROR(SSBR[[#This Row],[NO2-N (mg L-1)]]/SSBR[[#This Row],[NH4-N (mg L-1)]],0)&lt;0,0,IFERROR(SSBR[[#This Row],[NO2-N (mg L-1)]]/SSBR[[#This Row],[NH4-N (mg L-1)]],0))</f>
        <v>0.27808121432278154</v>
      </c>
      <c r="AD39" s="164">
        <f>SSBR[[#This Row],[NO2-N (mg L-1)]]/(SSBR[[#This Row],[NO3-N (mg L-1)]]+SSBR[[#This Row],[NO2-N (mg L-1)]])</f>
        <v>0.78514652014652009</v>
      </c>
      <c r="AE39" s="20">
        <f>46/14*SSBR[[#This Row],[NO2-N (mg L-1)]]/(EXP(-2300/(SSBR[[#This Row],[Temp. (°C)]]+273))*10^(SSBR[[#This Row],[pHreactor]]))</f>
        <v>4.5665475410658581E-2</v>
      </c>
      <c r="AF39" s="20">
        <f>17/14*(SSBR[NH4-N (mg L-1)]*10^SSBR[[#This Row],[pHreactor]])/(EXP((6344/(273+SSBR[[#This Row],[Temp. (°C)]])))+10^SSBR[pHreactor])</f>
        <v>0.75414473388255254</v>
      </c>
      <c r="AG39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1038.74</v>
      </c>
      <c r="AH39" s="19">
        <f>IFERROR(IF(Influent[[#This Row],[COD (mg L-1)]]-SSBR[[#This Row],[COD (mg L-1)]]&lt;0,0,Influent[[#This Row],[COD (mg L-1)]]-SSBR[[#This Row],[COD (mg L-1)]]),0)</f>
        <v>1454</v>
      </c>
      <c r="AI39" s="20">
        <f>Influent[[#This Row],[COD (mg L-1)]]/SSBR[HRT (h)]*24/1000</f>
        <v>1.8642399999999997</v>
      </c>
      <c r="AJ39" s="20">
        <f>IF(((SSBR[[#This Row],[ΔC   (mg L-1)]])/SSBR[[#This Row],[HRT (h)]]*24/1000) &lt;0,0, (SSBR[[#This Row],[ΔC   (mg L-1)]])/SSBR[HRT (h)]*24/1000)</f>
        <v>0.96807319999999997</v>
      </c>
      <c r="AK39" s="6">
        <f>IF(IFERROR((Influent[[#This Row],[NH4-N (mg L-1)]])*SSBR[ARE (%)]/SSBR[HRT (h)]*24/1000,0)&lt;0,0,IFERROR((Influent[[#This Row],[NH4-N (mg L-1)]])*SSBR[ARE (%)]/SSBR[HRT (h)]*24/1000,0))</f>
        <v>0.72794577199999988</v>
      </c>
      <c r="AL39" s="20">
        <f>Influent[[#This Row],[TN (mg L-1)]]/SSBR[[#This Row],[HRT (h)]]*24/1000</f>
        <v>0.83071866000000005</v>
      </c>
      <c r="AM39" s="20">
        <f>SSBR[[#This Row],[NLR (kg N m-3 d-1)]]*SSBR[[#This Row],[NRE (%)]]</f>
        <v>0.69172625200000004</v>
      </c>
      <c r="AN39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0.87642484969939871</v>
      </c>
      <c r="AO39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0.83268413881542036</v>
      </c>
      <c r="AP39" s="6"/>
    </row>
    <row r="40" spans="1:43" x14ac:dyDescent="0.3">
      <c r="A40" s="3">
        <v>43363</v>
      </c>
      <c r="B40" s="29">
        <v>37</v>
      </c>
      <c r="C40" s="27">
        <v>701.2</v>
      </c>
      <c r="D40" s="28">
        <f>C40/1000*24</f>
        <v>16.828800000000001</v>
      </c>
      <c r="E40" s="163">
        <v>2</v>
      </c>
      <c r="F40" s="163">
        <v>4</v>
      </c>
      <c r="G40" s="41">
        <f>IFERROR(Information!$R$40/(SSBR[[#This Row],[Flow (L h-1)]]*SSBR[[#This Row],[Batch cycles]]*SSBR[[#This Row],[Cycle duration (h)]]/1000)*24,0)</f>
        <v>34.227039361095265</v>
      </c>
      <c r="H40" s="6">
        <v>0.14692574600971589</v>
      </c>
      <c r="I40" s="6">
        <v>6.801646773074272</v>
      </c>
      <c r="J40" s="6">
        <v>24.929722222222239</v>
      </c>
      <c r="K40" s="41"/>
      <c r="L40" s="41"/>
      <c r="M40" s="29">
        <v>1332</v>
      </c>
      <c r="N40" s="29">
        <f>SSBR[[#This Row],[COD (mg L-1)]]*Information!$AK$41</f>
        <v>1078.92</v>
      </c>
      <c r="O40" s="29">
        <v>656</v>
      </c>
      <c r="P40" s="29">
        <v>7.9</v>
      </c>
      <c r="Q40" s="29">
        <v>74</v>
      </c>
      <c r="R40" s="29">
        <v>32</v>
      </c>
      <c r="S40" s="29">
        <v>0.57999999999999996</v>
      </c>
      <c r="T40" s="29">
        <v>40.6</v>
      </c>
      <c r="U40" s="6">
        <f>SSBR[[#This Row],[NH4-N (mg L-1)]]*1.288</f>
        <v>209.86672000000002</v>
      </c>
      <c r="V40" s="6">
        <f>(SSBR[[#This Row],[NO3-N (mg L-1)]])*4.426</f>
        <v>0.84094000000000002</v>
      </c>
      <c r="W40" s="6">
        <f>SSBR[[#This Row],[NO2-N (mg L-1)]]*3.284</f>
        <v>189.28976</v>
      </c>
      <c r="X40" s="29">
        <v>162.94</v>
      </c>
      <c r="Y40" s="29">
        <v>57.64</v>
      </c>
      <c r="Z40" s="6">
        <f>IF(SSBR[[#This Row],[TON (mg L-1)]]-SSBR[[#This Row],[NO2-N (mg L-1)]]&lt;0,0.19,SSBR[[#This Row],[TON (mg L-1)]]-SSBR[[#This Row],[NO2-N (mg L-1)]])</f>
        <v>0.19</v>
      </c>
      <c r="AA40" s="4">
        <f>SUM(SSBR[[#This Row],[NO3-N (mg L-1)]],SSBR[[#This Row],[NO2-N (mg L-1)]],SSBR[[#This Row],[NH4-N (mg L-1)]])</f>
        <v>220.76999999999998</v>
      </c>
      <c r="AB40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1.4311970833709965E-4</v>
      </c>
      <c r="AC40" s="48">
        <f>IF(IFERROR(SSBR[[#This Row],[NO2-N (mg L-1)]]/SSBR[[#This Row],[NH4-N (mg L-1)]],0)&lt;0,0,IFERROR(SSBR[[#This Row],[NO2-N (mg L-1)]]/SSBR[[#This Row],[NH4-N (mg L-1)]],0))</f>
        <v>0.35374984656928932</v>
      </c>
      <c r="AD40" s="48">
        <f>SSBR[[#This Row],[NO2-N (mg L-1)]]/(SSBR[[#This Row],[NO3-N (mg L-1)]]+SSBR[[#This Row],[NO2-N (mg L-1)]])</f>
        <v>0.9967145080408093</v>
      </c>
      <c r="AE40" s="20">
        <f>46/14*SSBR[[#This Row],[NO2-N (mg L-1)]]/(EXP(-2300/(SSBR[[#This Row],[Temp. (°C)]]+273))*10^(SSBR[[#This Row],[pHreactor]]))</f>
        <v>6.7365098675015694E-2</v>
      </c>
      <c r="AF40" s="20">
        <f>17/14*(SSBR[NH4-N (mg L-1)]*10^SSBR[[#This Row],[pHreactor]])/(EXP((6344/(273+SSBR[[#This Row],[Temp. (°C)]])))+10^SSBR[pHreactor])</f>
        <v>0.70590265351322179</v>
      </c>
      <c r="AG40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1269.73</v>
      </c>
      <c r="AH40" s="19">
        <f>IFERROR(IF(Influent[[#This Row],[COD (mg L-1)]]-SSBR[[#This Row],[COD (mg L-1)]]&lt;0,0,Influent[[#This Row],[COD (mg L-1)]]-SSBR[[#This Row],[COD (mg L-1)]]),0)</f>
        <v>1593</v>
      </c>
      <c r="AI40" s="20">
        <f>Influent[[#This Row],[COD (mg L-1)]]/SSBR[HRT (h)]*24/1000</f>
        <v>2.0510099999999998</v>
      </c>
      <c r="AJ40" s="20">
        <f>IF(((SSBR[[#This Row],[ΔC   (mg L-1)]])/SSBR[[#This Row],[HRT (h)]]*24/1000) &lt;0,0, (SSBR[[#This Row],[ΔC   (mg L-1)]])/SSBR[HRT (h)]*24/1000)</f>
        <v>1.1170116000000001</v>
      </c>
      <c r="AK40" s="6">
        <f>IF(IFERROR((Influent[[#This Row],[NH4-N (mg L-1)]])*SSBR[ARE (%)]/SSBR[HRT (h)]*24/1000,0)&lt;0,0,IFERROR((Influent[[#This Row],[NH4-N (mg L-1)]])*SSBR[ARE (%)]/SSBR[HRT (h)]*24/1000,0))</f>
        <v>0.93088507200000004</v>
      </c>
      <c r="AL40" s="20">
        <f>Influent[[#This Row],[TN (mg L-1)]]/SSBR[[#This Row],[HRT (h)]]*24/1000</f>
        <v>1.0634329079999998</v>
      </c>
      <c r="AM40" s="20">
        <f>SSBR[[#This Row],[NLR (kg N m-3 d-1)]]*SSBR[[#This Row],[NRE (%)]]</f>
        <v>0.90862898399999981</v>
      </c>
      <c r="AN40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0.89068097953706804</v>
      </c>
      <c r="AO40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0.85443000415405612</v>
      </c>
      <c r="AP40" s="6"/>
    </row>
    <row r="41" spans="1:43" x14ac:dyDescent="0.3">
      <c r="A41" s="3">
        <v>43364</v>
      </c>
      <c r="B41" s="29">
        <v>38</v>
      </c>
      <c r="C41" s="27">
        <v>648.20000000000005</v>
      </c>
      <c r="D41" s="28">
        <f t="shared" ref="D41:D47" si="2">C41/1000*24</f>
        <v>15.556799999999999</v>
      </c>
      <c r="E41" s="163">
        <v>2</v>
      </c>
      <c r="F41" s="163">
        <v>4</v>
      </c>
      <c r="G41" s="41">
        <f>IFERROR(Information!$R$40/(SSBR[[#This Row],[Flow (L h-1)]]*SSBR[[#This Row],[Batch cycles]]*SSBR[[#This Row],[Cycle duration (h)]]/1000)*24,0)</f>
        <v>37.025609379821042</v>
      </c>
      <c r="H41" s="6">
        <v>0.16725884802220739</v>
      </c>
      <c r="I41" s="6">
        <v>6.8070319222762352</v>
      </c>
      <c r="J41" s="6">
        <v>22.88493055555556</v>
      </c>
      <c r="K41" s="41">
        <f>stableSSBR[[#This Row],[MLVSS 
(mg L-1)]]/0.46</f>
        <v>8086.95652173913</v>
      </c>
      <c r="L41" s="41">
        <f>1860*2</f>
        <v>3720</v>
      </c>
      <c r="M41" s="29">
        <v>1375</v>
      </c>
      <c r="N41" s="29">
        <f>SSBR[[#This Row],[COD (mg L-1)]]*Information!$AK$41</f>
        <v>1113.75</v>
      </c>
      <c r="O41" s="29">
        <v>809</v>
      </c>
      <c r="P41" s="29">
        <v>7.9</v>
      </c>
      <c r="Q41" s="29">
        <v>82</v>
      </c>
      <c r="S41" s="29">
        <v>0.56000000000000005</v>
      </c>
      <c r="T41" s="29">
        <v>41.4</v>
      </c>
      <c r="U41" s="6">
        <f>SSBR[[#This Row],[NH4-N (mg L-1)]]*1.288</f>
        <v>263.15127999999999</v>
      </c>
      <c r="V41" s="6">
        <f>(SSBR[[#This Row],[NO3-N (mg L-1)]])*4.426</f>
        <v>83.306172000000004</v>
      </c>
      <c r="W41" s="6">
        <f>SSBR[[#This Row],[NO2-N (mg L-1)]]*3.284</f>
        <v>74.146152000000001</v>
      </c>
      <c r="X41" s="29">
        <v>204.31</v>
      </c>
      <c r="Y41" s="29">
        <v>22.577999999999999</v>
      </c>
      <c r="Z41" s="6">
        <f>IF(SSBR[[#This Row],[TON (mg L-1)]]-SSBR[[#This Row],[NO2-N (mg L-1)]]&lt;0,0.19,SSBR[[#This Row],[TON (mg L-1)]]-SSBR[[#This Row],[NO2-N (mg L-1)]])</f>
        <v>18.821999999999999</v>
      </c>
      <c r="AA41" s="4">
        <f>SUM(SSBR[[#This Row],[NO3-N (mg L-1)]],SSBR[[#This Row],[NO2-N (mg L-1)]],SSBR[[#This Row],[NH4-N (mg L-1)]])</f>
        <v>245.71</v>
      </c>
      <c r="AB41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1.6392757296266297E-2</v>
      </c>
      <c r="AC41" s="48">
        <f>IF(IFERROR(SSBR[[#This Row],[NO2-N (mg L-1)]]/SSBR[[#This Row],[NH4-N (mg L-1)]],0)&lt;0,0,IFERROR(SSBR[[#This Row],[NO2-N (mg L-1)]]/SSBR[[#This Row],[NH4-N (mg L-1)]],0))</f>
        <v>0.11050854094268513</v>
      </c>
      <c r="AD41" s="48">
        <f>SSBR[[#This Row],[NO2-N (mg L-1)]]/(SSBR[[#This Row],[NO3-N (mg L-1)]]+SSBR[[#This Row],[NO2-N (mg L-1)]])</f>
        <v>0.54536231884057973</v>
      </c>
      <c r="AE41" s="20">
        <f>46/14*SSBR[[#This Row],[NO2-N (mg L-1)]]/(EXP(-2300/(SSBR[[#This Row],[Temp. (°C)]]+273))*10^(SSBR[[#This Row],[pHreactor]]))</f>
        <v>2.7490410036857281E-2</v>
      </c>
      <c r="AF41" s="20">
        <f>17/14*(SSBR[NH4-N (mg L-1)]*10^SSBR[[#This Row],[pHreactor]])/(EXP((6344/(273+SSBR[[#This Row],[Temp. (°C)]])))+10^SSBR[pHreactor])</f>
        <v>0.77388882710364892</v>
      </c>
      <c r="AG41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1106.79</v>
      </c>
      <c r="AH41" s="19">
        <f>IFERROR(IF(Influent[[#This Row],[COD (mg L-1)]]-SSBR[[#This Row],[COD (mg L-1)]]&lt;0,0,Influent[[#This Row],[COD (mg L-1)]]-SSBR[[#This Row],[COD (mg L-1)]]),0)</f>
        <v>1505</v>
      </c>
      <c r="AI41" s="20">
        <f>Influent[[#This Row],[COD (mg L-1)]]/SSBR[HRT (h)]*24/1000</f>
        <v>1.8668160000000003</v>
      </c>
      <c r="AJ41" s="20">
        <f>IF(((SSBR[[#This Row],[ΔC   (mg L-1)]])/SSBR[[#This Row],[HRT (h)]]*24/1000) &lt;0,0, (SSBR[[#This Row],[ΔC   (mg L-1)]])/SSBR[HRT (h)]*24/1000)</f>
        <v>0.9755410000000001</v>
      </c>
      <c r="AK41" s="6">
        <f>IF(IFERROR((Influent[[#This Row],[NH4-N (mg L-1)]])*SSBR[ARE (%)]/SSBR[HRT (h)]*24/1000,0)&lt;0,0,IFERROR((Influent[[#This Row],[NH4-N (mg L-1)]])*SSBR[ARE (%)]/SSBR[HRT (h)]*24/1000,0))</f>
        <v>0.74425675800000013</v>
      </c>
      <c r="AL41" s="20">
        <f>Influent[[#This Row],[TN (mg L-1)]]/SSBR[[#This Row],[HRT (h)]]*24/1000</f>
        <v>0.90222698720000005</v>
      </c>
      <c r="AM41" s="20">
        <f>SSBR[[#This Row],[NLR (kg N m-3 d-1)]]*SSBR[[#This Row],[NRE (%)]]</f>
        <v>0.74295776520000001</v>
      </c>
      <c r="AN41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0.84893900184842885</v>
      </c>
      <c r="AO41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0.82347100645450522</v>
      </c>
      <c r="AP41" s="6">
        <v>4.7E-2</v>
      </c>
    </row>
    <row r="42" spans="1:43" x14ac:dyDescent="0.3">
      <c r="A42" s="3">
        <v>43365</v>
      </c>
      <c r="B42" s="29">
        <v>39</v>
      </c>
      <c r="C42" s="27">
        <v>673.6</v>
      </c>
      <c r="D42" s="28">
        <f t="shared" si="2"/>
        <v>16.166399999999999</v>
      </c>
      <c r="E42" s="163">
        <v>2</v>
      </c>
      <c r="F42" s="163">
        <v>4</v>
      </c>
      <c r="G42" s="41">
        <f>IFERROR(Information!$R$40/(SSBR[[#This Row],[Flow (L h-1)]]*SSBR[[#This Row],[Batch cycles]]*SSBR[[#This Row],[Cycle duration (h)]]/1000)*24,0)</f>
        <v>35.629453681710217</v>
      </c>
      <c r="H42" s="6">
        <v>0.17746009715475389</v>
      </c>
      <c r="I42" s="6">
        <v>6.8070687022900849</v>
      </c>
      <c r="J42" s="6">
        <v>22.29333333333334</v>
      </c>
      <c r="K42" s="41"/>
      <c r="L42" s="41"/>
      <c r="M42" s="29">
        <v>1425</v>
      </c>
      <c r="N42" s="29">
        <f>SSBR[[#This Row],[COD (mg L-1)]]*Information!$AK$41</f>
        <v>1154.25</v>
      </c>
      <c r="O42" s="29">
        <v>636</v>
      </c>
      <c r="P42" s="29">
        <v>8</v>
      </c>
      <c r="Q42" s="29">
        <v>64</v>
      </c>
      <c r="S42" s="29">
        <v>0.62</v>
      </c>
      <c r="T42" s="29">
        <v>52.8</v>
      </c>
      <c r="U42" s="6">
        <f>SSBR[[#This Row],[NH4-N (mg L-1)]]*1.288</f>
        <v>187.63584</v>
      </c>
      <c r="V42" s="6">
        <f>(SSBR[[#This Row],[NO3-N (mg L-1)]])*4.426</f>
        <v>12.043145999999986</v>
      </c>
      <c r="W42" s="6">
        <f>SSBR[[#This Row],[NO2-N (mg L-1)]]*3.284</f>
        <v>164.45943599999998</v>
      </c>
      <c r="X42" s="29">
        <v>145.68</v>
      </c>
      <c r="Y42" s="29">
        <v>50.079000000000001</v>
      </c>
      <c r="Z42" s="6">
        <f>IF(SSBR[[#This Row],[TON (mg L-1)]]-SSBR[[#This Row],[NO2-N (mg L-1)]]&lt;0,0.19,SSBR[[#This Row],[TON (mg L-1)]]-SSBR[[#This Row],[NO2-N (mg L-1)]])</f>
        <v>2.7209999999999965</v>
      </c>
      <c r="AA42" s="4">
        <f>SUM(SSBR[[#This Row],[NO3-N (mg L-1)]],SSBR[[#This Row],[NO2-N (mg L-1)]],SSBR[[#This Row],[NH4-N (mg L-1)]])</f>
        <v>198.48000000000002</v>
      </c>
      <c r="AB42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2.1897281550272785E-3</v>
      </c>
      <c r="AC42" s="48">
        <f>IF(IFERROR(SSBR[[#This Row],[NO2-N (mg L-1)]]/SSBR[[#This Row],[NH4-N (mg L-1)]],0)&lt;0,0,IFERROR(SSBR[[#This Row],[NO2-N (mg L-1)]]/SSBR[[#This Row],[NH4-N (mg L-1)]],0))</f>
        <v>0.34376029654036244</v>
      </c>
      <c r="AD42" s="48">
        <f>SSBR[[#This Row],[NO2-N (mg L-1)]]/(SSBR[[#This Row],[NO3-N (mg L-1)]]+SSBR[[#This Row],[NO2-N (mg L-1)]])</f>
        <v>0.94846590909090911</v>
      </c>
      <c r="AE42" s="20">
        <f>46/14*SSBR[[#This Row],[NO2-N (mg L-1)]]/(EXP(-2300/(SSBR[[#This Row],[Temp. (°C)]]+273))*10^(SSBR[[#This Row],[pHreactor]]))</f>
        <v>6.1926704026899697E-2</v>
      </c>
      <c r="AF42" s="20">
        <f>17/14*(SSBR[NH4-N (mg L-1)]*10^SSBR[[#This Row],[pHreactor]])/(EXP((6344/(273+SSBR[[#This Row],[Temp. (°C)]])))+10^SSBR[pHreactor])</f>
        <v>0.52872207017490025</v>
      </c>
      <c r="AG42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1189.82</v>
      </c>
      <c r="AH42" s="19">
        <f>IFERROR(IF(Influent[[#This Row],[COD (mg L-1)]]-SSBR[[#This Row],[COD (mg L-1)]]&lt;0,0,Influent[[#This Row],[COD (mg L-1)]]-SSBR[[#This Row],[COD (mg L-1)]]),0)</f>
        <v>1445</v>
      </c>
      <c r="AI42" s="20">
        <f>Influent[[#This Row],[COD (mg L-1)]]/SSBR[HRT (h)]*24/1000</f>
        <v>1.9332320000000001</v>
      </c>
      <c r="AJ42" s="20">
        <f>IF(((SSBR[[#This Row],[ΔC   (mg L-1)]])/SSBR[[#This Row],[HRT (h)]]*24/1000) &lt;0,0, (SSBR[[#This Row],[ΔC   (mg L-1)]])/SSBR[HRT (h)]*24/1000)</f>
        <v>0.97335199999999988</v>
      </c>
      <c r="AK42" s="6">
        <f>IF(IFERROR((Influent[[#This Row],[NH4-N (mg L-1)]])*SSBR[ARE (%)]/SSBR[HRT (h)]*24/1000,0)&lt;0,0,IFERROR((Influent[[#This Row],[NH4-N (mg L-1)]])*SSBR[ARE (%)]/SSBR[HRT (h)]*24/1000,0))</f>
        <v>0.83702883199999989</v>
      </c>
      <c r="AL42" s="20">
        <f>Influent[[#This Row],[TN (mg L-1)]]/SSBR[[#This Row],[HRT (h)]]*24/1000</f>
        <v>0.95590239199999993</v>
      </c>
      <c r="AM42" s="20">
        <f>SSBR[[#This Row],[NLR (kg N m-3 d-1)]]*SSBR[[#This Row],[NRE (%)]]</f>
        <v>0.82220626399999996</v>
      </c>
      <c r="AN42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0.89506590794496865</v>
      </c>
      <c r="AO42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0.86013621357273473</v>
      </c>
      <c r="AP42" s="6"/>
    </row>
    <row r="43" spans="1:43" x14ac:dyDescent="0.3">
      <c r="A43" s="3">
        <v>43366</v>
      </c>
      <c r="B43" s="29">
        <v>40</v>
      </c>
      <c r="C43" s="27">
        <v>668.1</v>
      </c>
      <c r="D43" s="28">
        <f t="shared" si="2"/>
        <v>16.034400000000002</v>
      </c>
      <c r="E43" s="163">
        <v>2</v>
      </c>
      <c r="F43" s="163">
        <v>4</v>
      </c>
      <c r="G43" s="41">
        <f>IFERROR(Information!$R$40/(SSBR[[#This Row],[Flow (L h-1)]]*SSBR[[#This Row],[Batch cycles]]*SSBR[[#This Row],[Cycle duration (h)]]/1000)*24,0)</f>
        <v>35.922766052986077</v>
      </c>
      <c r="H43" s="6">
        <v>0.20008344923504959</v>
      </c>
      <c r="I43" s="6">
        <v>6.8356502086230844</v>
      </c>
      <c r="J43" s="6">
        <v>21.368750000000009</v>
      </c>
      <c r="K43" s="41"/>
      <c r="L43" s="41"/>
      <c r="M43" s="29">
        <v>1485</v>
      </c>
      <c r="N43" s="29">
        <f>SSBR[[#This Row],[COD (mg L-1)]]*Information!$AK$41</f>
        <v>1202.8500000000001</v>
      </c>
      <c r="O43" s="29">
        <v>709</v>
      </c>
      <c r="P43" s="29">
        <v>7.9</v>
      </c>
      <c r="Q43" s="29">
        <v>192</v>
      </c>
      <c r="S43" s="29">
        <v>0.69</v>
      </c>
      <c r="T43" s="29">
        <v>39.6</v>
      </c>
      <c r="U43" s="6">
        <f>SSBR[[#This Row],[NH4-N (mg L-1)]]*1.288</f>
        <v>228.06616</v>
      </c>
      <c r="V43" s="6">
        <f>(SSBR[[#This Row],[NO3-N (mg L-1)]])*4.426</f>
        <v>85.125258000000002</v>
      </c>
      <c r="W43" s="6">
        <f>SSBR[[#This Row],[NO2-N (mg L-1)]]*3.284</f>
        <v>66.885227999999998</v>
      </c>
      <c r="X43" s="29">
        <v>177.07</v>
      </c>
      <c r="Y43" s="29">
        <v>20.367000000000001</v>
      </c>
      <c r="Z43" s="6">
        <f>IF(SSBR[[#This Row],[TON (mg L-1)]]-SSBR[[#This Row],[NO2-N (mg L-1)]]&lt;0,0.19,SSBR[[#This Row],[TON (mg L-1)]]-SSBR[[#This Row],[NO2-N (mg L-1)]])</f>
        <v>19.233000000000001</v>
      </c>
      <c r="AA43" s="4">
        <f>SUM(SSBR[[#This Row],[NO3-N (mg L-1)]],SSBR[[#This Row],[NO2-N (mg L-1)]],SSBR[[#This Row],[NH4-N (mg L-1)]])</f>
        <v>216.67</v>
      </c>
      <c r="AB43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1.550260754616606E-2</v>
      </c>
      <c r="AC43" s="48">
        <f>IF(IFERROR(SSBR[[#This Row],[NO2-N (mg L-1)]]/SSBR[[#This Row],[NH4-N (mg L-1)]],0)&lt;0,0,IFERROR(SSBR[[#This Row],[NO2-N (mg L-1)]]/SSBR[[#This Row],[NH4-N (mg L-1)]],0))</f>
        <v>0.11502230756198115</v>
      </c>
      <c r="AD43" s="48">
        <f>SSBR[[#This Row],[NO2-N (mg L-1)]]/(SSBR[[#This Row],[NO3-N (mg L-1)]]+SSBR[[#This Row],[NO2-N (mg L-1)]])</f>
        <v>0.51431818181818179</v>
      </c>
      <c r="AE43" s="20">
        <f>46/14*SSBR[[#This Row],[NO2-N (mg L-1)]]/(EXP(-2300/(SSBR[[#This Row],[Temp. (°C)]]+273))*10^(SSBR[[#This Row],[pHreactor]]))</f>
        <v>2.416531616000573E-2</v>
      </c>
      <c r="AF43" s="20">
        <f>17/14*(SSBR[NH4-N (mg L-1)]*10^SSBR[[#This Row],[pHreactor]])/(EXP((6344/(273+SSBR[[#This Row],[Temp. (°C)]])))+10^SSBR[pHreactor])</f>
        <v>0.64157986408228118</v>
      </c>
      <c r="AG43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1201.03</v>
      </c>
      <c r="AH43" s="19">
        <f>IFERROR(IF(Influent[[#This Row],[COD (mg L-1)]]-SSBR[[#This Row],[COD (mg L-1)]]&lt;0,0,Influent[[#This Row],[COD (mg L-1)]]-SSBR[[#This Row],[COD (mg L-1)]]),0)</f>
        <v>1340</v>
      </c>
      <c r="AI43" s="20">
        <f>Influent[[#This Row],[COD (mg L-1)]]/SSBR[HRT (h)]*24/1000</f>
        <v>1.8873825000000002</v>
      </c>
      <c r="AJ43" s="20">
        <f>IF(((SSBR[[#This Row],[ΔC   (mg L-1)]])/SSBR[[#This Row],[HRT (h)]]*24/1000) &lt;0,0, (SSBR[[#This Row],[ΔC   (mg L-1)]])/SSBR[HRT (h)]*24/1000)</f>
        <v>0.89525399999999999</v>
      </c>
      <c r="AK43" s="6">
        <f>IF(IFERROR((Influent[[#This Row],[NH4-N (mg L-1)]])*SSBR[ARE (%)]/SSBR[HRT (h)]*24/1000,0)&lt;0,0,IFERROR((Influent[[#This Row],[NH4-N (mg L-1)]])*SSBR[ARE (%)]/SSBR[HRT (h)]*24/1000,0))</f>
        <v>0.82886490300000015</v>
      </c>
      <c r="AL43" s="20">
        <f>Influent[[#This Row],[TN (mg L-1)]]/SSBR[[#This Row],[HRT (h)]]*24/1000</f>
        <v>0.94729899000000006</v>
      </c>
      <c r="AM43" s="20">
        <f>SSBR[[#This Row],[NLR (kg N m-3 d-1)]]*SSBR[[#This Row],[NRE (%)]]</f>
        <v>0.80254176300000002</v>
      </c>
      <c r="AN43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0.87510051491853003</v>
      </c>
      <c r="AO43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0.84718950560688333</v>
      </c>
      <c r="AP43" s="6"/>
    </row>
    <row r="44" spans="1:43" x14ac:dyDescent="0.3">
      <c r="A44" s="3">
        <v>43367</v>
      </c>
      <c r="B44" s="29">
        <v>41</v>
      </c>
      <c r="C44" s="27"/>
      <c r="D44" s="28"/>
      <c r="E44" s="163"/>
      <c r="F44" s="163"/>
      <c r="G44" s="41"/>
      <c r="H44" s="6"/>
      <c r="I44" s="6"/>
      <c r="J44" s="6"/>
      <c r="K44" s="29">
        <v>8420</v>
      </c>
      <c r="L44" s="41">
        <v>3250</v>
      </c>
      <c r="M44" s="29"/>
      <c r="O44" s="29"/>
      <c r="P44" s="29"/>
      <c r="Q44" s="29"/>
      <c r="S44" s="29"/>
      <c r="T44" s="29"/>
      <c r="U44" s="6"/>
      <c r="V44" s="6"/>
      <c r="W44" s="6"/>
      <c r="X44" s="29"/>
      <c r="Y44" s="29"/>
      <c r="Z44" s="6"/>
      <c r="AA44" s="4"/>
      <c r="AB44" s="21"/>
      <c r="AC44" s="48"/>
      <c r="AD44" s="48"/>
      <c r="AE44" s="20"/>
      <c r="AF44" s="20"/>
      <c r="AG44" s="129"/>
      <c r="AH44" s="19"/>
      <c r="AI44" s="20"/>
      <c r="AJ44" s="20"/>
      <c r="AK44" s="6"/>
      <c r="AL44" s="20"/>
      <c r="AM44" s="20"/>
      <c r="AN44" s="26"/>
      <c r="AO44" s="26"/>
      <c r="AP44" s="6"/>
      <c r="AQ44" t="s">
        <v>547</v>
      </c>
    </row>
    <row r="45" spans="1:43" x14ac:dyDescent="0.3">
      <c r="A45" s="3">
        <v>43368</v>
      </c>
      <c r="B45" s="29">
        <v>42</v>
      </c>
      <c r="C45" s="27">
        <v>623.4</v>
      </c>
      <c r="D45" s="28">
        <f t="shared" si="2"/>
        <v>14.961599999999999</v>
      </c>
      <c r="E45" s="163">
        <v>2</v>
      </c>
      <c r="F45" s="163">
        <v>4</v>
      </c>
      <c r="G45" s="41">
        <f>IFERROR(Information!$R$40/(SSBR[[#This Row],[Flow (L h-1)]]*SSBR[[#This Row],[Batch cycles]]*SSBR[[#This Row],[Cycle duration (h)]]/1000)*24,0)</f>
        <v>38.498556304138603</v>
      </c>
      <c r="H45" s="6">
        <v>0.15274809160305419</v>
      </c>
      <c r="I45" s="6">
        <v>6.7924198473282722</v>
      </c>
      <c r="J45" s="6">
        <v>21.566388888888881</v>
      </c>
      <c r="K45" s="41"/>
      <c r="L45" s="41"/>
      <c r="M45" s="29">
        <v>1500</v>
      </c>
      <c r="N45" s="29">
        <f>SSBR[[#This Row],[COD (mg L-1)]]*Information!$AK$41</f>
        <v>1215</v>
      </c>
      <c r="O45" s="29">
        <v>584</v>
      </c>
      <c r="P45" s="29">
        <v>7.9</v>
      </c>
      <c r="Q45" s="29">
        <v>210</v>
      </c>
      <c r="S45" s="29">
        <v>0.74</v>
      </c>
      <c r="T45" s="29">
        <v>44.3</v>
      </c>
      <c r="U45" s="6">
        <f>SSBR[[#This Row],[NH4-N (mg L-1)]]*1.288</f>
        <v>194.84864000000002</v>
      </c>
      <c r="V45" s="6">
        <f>(SSBR[[#This Row],[NO3-N (mg L-1)]])*4.426</f>
        <v>59.640349999999991</v>
      </c>
      <c r="W45" s="6">
        <f>SSBR[[#This Row],[NO2-N (mg L-1)]]*3.284</f>
        <v>101.22929999999999</v>
      </c>
      <c r="X45" s="29">
        <v>151.28</v>
      </c>
      <c r="Y45" s="29">
        <v>30.824999999999999</v>
      </c>
      <c r="Z45" s="6">
        <f>IF(SSBR[[#This Row],[TON (mg L-1)]]-SSBR[[#This Row],[NO2-N (mg L-1)]]&lt;0,0.19,SSBR[[#This Row],[TON (mg L-1)]]-SSBR[[#This Row],[NO2-N (mg L-1)]])</f>
        <v>13.474999999999998</v>
      </c>
      <c r="AA45" s="4">
        <f>SUM(SSBR[[#This Row],[NO3-N (mg L-1)]],SSBR[[#This Row],[NO2-N (mg L-1)]],SSBR[[#This Row],[NH4-N (mg L-1)]])</f>
        <v>195.57999999999998</v>
      </c>
      <c r="AB45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1.2784387393028594E-2</v>
      </c>
      <c r="AC45" s="48">
        <f>IF(IFERROR(SSBR[[#This Row],[NO2-N (mg L-1)]]/SSBR[[#This Row],[NH4-N (mg L-1)]],0)&lt;0,0,IFERROR(SSBR[[#This Row],[NO2-N (mg L-1)]]/SSBR[[#This Row],[NH4-N (mg L-1)]],0))</f>
        <v>0.20376123744050767</v>
      </c>
      <c r="AD45" s="48">
        <f>SSBR[[#This Row],[NO2-N (mg L-1)]]/(SSBR[[#This Row],[NO3-N (mg L-1)]]+SSBR[[#This Row],[NO2-N (mg L-1)]])</f>
        <v>0.69582392776523705</v>
      </c>
      <c r="AE45" s="20">
        <f>46/14*SSBR[[#This Row],[NO2-N (mg L-1)]]/(EXP(-2300/(SSBR[[#This Row],[Temp. (°C)]]+273))*10^(SSBR[[#This Row],[pHreactor]]))</f>
        <v>4.0190382961823638E-2</v>
      </c>
      <c r="AF45" s="20">
        <f>17/14*(SSBR[NH4-N (mg L-1)]*10^SSBR[[#This Row],[pHreactor]])/(EXP((6344/(273+SSBR[[#This Row],[Temp. (°C)]])))+10^SSBR[pHreactor])</f>
        <v>0.50354975647470979</v>
      </c>
      <c r="AG45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1009.72</v>
      </c>
      <c r="AH45" s="19">
        <f>IFERROR(IF(Influent[[#This Row],[COD (mg L-1)]]-SSBR[[#This Row],[COD (mg L-1)]]&lt;0,0,Influent[[#This Row],[COD (mg L-1)]]-SSBR[[#This Row],[COD (mg L-1)]]),0)</f>
        <v>795</v>
      </c>
      <c r="AI45" s="20">
        <f>Influent[[#This Row],[COD (mg L-1)]]/SSBR[HRT (h)]*24/1000</f>
        <v>1.4307029999999998</v>
      </c>
      <c r="AJ45" s="20">
        <f>IF(((SSBR[[#This Row],[ΔC   (mg L-1)]])/SSBR[[#This Row],[HRT (h)]]*24/1000) &lt;0,0, (SSBR[[#This Row],[ΔC   (mg L-1)]])/SSBR[HRT (h)]*24/1000)</f>
        <v>0.4956029999999999</v>
      </c>
      <c r="AK45" s="6">
        <f>IF(IFERROR((Influent[[#This Row],[NH4-N (mg L-1)]])*SSBR[ARE (%)]/SSBR[HRT (h)]*24/1000,0)&lt;0,0,IFERROR((Influent[[#This Row],[NH4-N (mg L-1)]])*SSBR[ARE (%)]/SSBR[HRT (h)]*24/1000,0))</f>
        <v>0.65707606799999985</v>
      </c>
      <c r="AL45" s="20">
        <f>Influent[[#This Row],[TN (mg L-1)]]/SSBR[[#This Row],[HRT (h)]]*24/1000</f>
        <v>0.75150869999999981</v>
      </c>
      <c r="AM45" s="20">
        <f>SSBR[[#This Row],[NLR (kg N m-3 d-1)]]*SSBR[[#This Row],[NRE (%)]]</f>
        <v>0.62958412799999985</v>
      </c>
      <c r="AN45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0.8744876794159131</v>
      </c>
      <c r="AO45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0.8377602654500208</v>
      </c>
      <c r="AP45" s="6"/>
    </row>
    <row r="46" spans="1:43" x14ac:dyDescent="0.3">
      <c r="A46" s="3">
        <v>43369</v>
      </c>
      <c r="B46" s="29">
        <v>43</v>
      </c>
      <c r="C46" s="27">
        <v>634.20000000000005</v>
      </c>
      <c r="D46" s="28">
        <f t="shared" si="2"/>
        <v>15.220800000000002</v>
      </c>
      <c r="E46" s="163">
        <v>2</v>
      </c>
      <c r="F46" s="163">
        <v>4</v>
      </c>
      <c r="G46" s="41">
        <f>IFERROR(Information!$R$40/(SSBR[[#This Row],[Flow (L h-1)]]*SSBR[[#This Row],[Batch cycles]]*SSBR[[#This Row],[Cycle duration (h)]]/1000)*24,0)</f>
        <v>37.842951750236509</v>
      </c>
      <c r="H46" s="6">
        <v>0.1049132546842473</v>
      </c>
      <c r="I46" s="6">
        <v>6.7995079805690377</v>
      </c>
      <c r="J46" s="6">
        <v>22.588541666666689</v>
      </c>
      <c r="K46" s="41"/>
      <c r="L46" s="41"/>
      <c r="M46" s="29">
        <v>1490</v>
      </c>
      <c r="N46" s="29">
        <f>SSBR[[#This Row],[COD (mg L-1)]]*Information!$AK$41</f>
        <v>1206.9000000000001</v>
      </c>
      <c r="O46" s="29">
        <v>637</v>
      </c>
      <c r="P46" s="29">
        <v>7.9</v>
      </c>
      <c r="Q46" s="29">
        <v>300</v>
      </c>
      <c r="S46" s="29">
        <v>0.97</v>
      </c>
      <c r="T46" s="29">
        <v>39.4</v>
      </c>
      <c r="U46" s="6">
        <f>SSBR[[#This Row],[NH4-N (mg L-1)]]*1.288</f>
        <v>199.13768000000002</v>
      </c>
      <c r="V46" s="6">
        <f>(SSBR[[#This Row],[NO3-N (mg L-1)]])*4.426</f>
        <v>67.213236000000009</v>
      </c>
      <c r="W46" s="6">
        <f>SSBR[[#This Row],[NO2-N (mg L-1)]]*3.284</f>
        <v>79.518775999999988</v>
      </c>
      <c r="X46" s="29">
        <v>154.61000000000001</v>
      </c>
      <c r="Y46" s="29">
        <v>24.213999999999999</v>
      </c>
      <c r="Z46" s="6">
        <f>IF(SSBR[[#This Row],[TON (mg L-1)]]-SSBR[[#This Row],[NO2-N (mg L-1)]]&lt;0,0.19,SSBR[[#This Row],[TON (mg L-1)]]-SSBR[[#This Row],[NO2-N (mg L-1)]])</f>
        <v>15.186</v>
      </c>
      <c r="AA46" s="4">
        <f>SUM(SSBR[[#This Row],[NO3-N (mg L-1)]],SSBR[[#This Row],[NO2-N (mg L-1)]],SSBR[[#This Row],[NH4-N (mg L-1)]])</f>
        <v>194.01000000000002</v>
      </c>
      <c r="AB46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1.2435411361049467E-2</v>
      </c>
      <c r="AC46" s="48">
        <f>IF(IFERROR(SSBR[[#This Row],[NO2-N (mg L-1)]]/SSBR[[#This Row],[NH4-N (mg L-1)]],0)&lt;0,0,IFERROR(SSBR[[#This Row],[NO2-N (mg L-1)]]/SSBR[[#This Row],[NH4-N (mg L-1)]],0))</f>
        <v>0.1566134143975163</v>
      </c>
      <c r="AD46" s="48">
        <f>SSBR[[#This Row],[NO2-N (mg L-1)]]/(SSBR[[#This Row],[NO3-N (mg L-1)]]+SSBR[[#This Row],[NO2-N (mg L-1)]])</f>
        <v>0.61456852791878169</v>
      </c>
      <c r="AE46" s="20">
        <f>46/14*SSBR[[#This Row],[NO2-N (mg L-1)]]/(EXP(-2300/(SSBR[[#This Row],[Temp. (°C)]]+273))*10^(SSBR[[#This Row],[pHreactor]]))</f>
        <v>3.0232305487791319E-2</v>
      </c>
      <c r="AF46" s="20">
        <f>17/14*(SSBR[NH4-N (mg L-1)]*10^SSBR[[#This Row],[pHreactor]])/(EXP((6344/(273+SSBR[[#This Row],[Temp. (°C)]])))+10^SSBR[pHreactor])</f>
        <v>0.56340067388752602</v>
      </c>
      <c r="AG46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1181.79</v>
      </c>
      <c r="AH46" s="19">
        <f>IFERROR(IF(Influent[[#This Row],[COD (mg L-1)]]-SSBR[[#This Row],[COD (mg L-1)]]&lt;0,0,Influent[[#This Row],[COD (mg L-1)]]-SSBR[[#This Row],[COD (mg L-1)]]),0)</f>
        <v>1140</v>
      </c>
      <c r="AI46" s="20">
        <f>Influent[[#This Row],[COD (mg L-1)]]/SSBR[HRT (h)]*24/1000</f>
        <v>1.6679460000000006</v>
      </c>
      <c r="AJ46" s="20">
        <f>IF(((SSBR[[#This Row],[ΔC   (mg L-1)]])/SSBR[[#This Row],[HRT (h)]]*24/1000) &lt;0,0, (SSBR[[#This Row],[ΔC   (mg L-1)]])/SSBR[HRT (h)]*24/1000)</f>
        <v>0.72298800000000019</v>
      </c>
      <c r="AK46" s="6">
        <f>IF(IFERROR((Influent[[#This Row],[NH4-N (mg L-1)]])*SSBR[ARE (%)]/SSBR[HRT (h)]*24/1000,0)&lt;0,0,IFERROR((Influent[[#This Row],[NH4-N (mg L-1)]])*SSBR[ARE (%)]/SSBR[HRT (h)]*24/1000,0))</f>
        <v>0.77447869800000035</v>
      </c>
      <c r="AL46" s="20">
        <f>Influent[[#This Row],[TN (mg L-1)]]/SSBR[[#This Row],[HRT (h)]]*24/1000</f>
        <v>0.87280887120000028</v>
      </c>
      <c r="AM46" s="20">
        <f>SSBR[[#This Row],[NLR (kg N m-3 d-1)]]*SSBR[[#This Row],[NRE (%)]]</f>
        <v>0.74976772920000023</v>
      </c>
      <c r="AN46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0.88762174734699817</v>
      </c>
      <c r="AO46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0.85902853870993057</v>
      </c>
      <c r="AP46" s="6"/>
    </row>
    <row r="47" spans="1:43" x14ac:dyDescent="0.3">
      <c r="A47" s="3">
        <v>43370</v>
      </c>
      <c r="B47" s="29">
        <v>44</v>
      </c>
      <c r="C47" s="27">
        <v>638.79999999999995</v>
      </c>
      <c r="D47" s="28">
        <f t="shared" si="2"/>
        <v>15.331199999999999</v>
      </c>
      <c r="E47" s="163">
        <v>2</v>
      </c>
      <c r="F47" s="163">
        <v>4</v>
      </c>
      <c r="G47" s="41">
        <f>IFERROR(Information!$R$40/(SSBR[[#This Row],[Flow (L h-1)]]*SSBR[[#This Row],[Batch cycles]]*SSBR[[#This Row],[Cycle duration (h)]]/1000)*24,0)</f>
        <v>37.570444583594245</v>
      </c>
      <c r="H47" s="6">
        <v>0.22621096460791151</v>
      </c>
      <c r="I47" s="6">
        <v>6.8499264399722168</v>
      </c>
      <c r="J47" s="6">
        <v>23.60291666666668</v>
      </c>
      <c r="K47" s="29">
        <v>8600</v>
      </c>
      <c r="L47" s="41">
        <v>3850</v>
      </c>
      <c r="M47" s="29">
        <v>1485</v>
      </c>
      <c r="N47" s="29">
        <f>SSBR[[#This Row],[COD (mg L-1)]]*Information!$AK$41</f>
        <v>1202.8500000000001</v>
      </c>
      <c r="O47" s="29">
        <v>596</v>
      </c>
      <c r="P47" s="29">
        <v>7.4</v>
      </c>
      <c r="Q47" s="29">
        <v>520</v>
      </c>
      <c r="S47" s="29">
        <v>1.05</v>
      </c>
      <c r="T47" s="29">
        <v>30.3</v>
      </c>
      <c r="U47" s="6">
        <f>SSBR[[#This Row],[NH4-N (mg L-1)]]*1.288</f>
        <v>174.82023999999998</v>
      </c>
      <c r="V47" s="6">
        <f>(SSBR[[#This Row],[NO3-N (mg L-1)]])*4.426</f>
        <v>58.613518000000013</v>
      </c>
      <c r="W47" s="6">
        <f>SSBR[[#This Row],[NO2-N (mg L-1)]]*3.284</f>
        <v>56.015187999999995</v>
      </c>
      <c r="X47" s="29">
        <v>135.72999999999999</v>
      </c>
      <c r="Y47" s="29">
        <v>17.056999999999999</v>
      </c>
      <c r="Z47" s="6">
        <f>IF(SSBR[[#This Row],[TON (mg L-1)]]-SSBR[[#This Row],[NO2-N (mg L-1)]]&lt;0,0.19,SSBR[[#This Row],[TON (mg L-1)]]-SSBR[[#This Row],[NO2-N (mg L-1)]])</f>
        <v>13.243000000000002</v>
      </c>
      <c r="AA47" s="4">
        <f>SUM(SSBR[[#This Row],[NO3-N (mg L-1)]],SSBR[[#This Row],[NO2-N (mg L-1)]],SSBR[[#This Row],[NH4-N (mg L-1)]])</f>
        <v>166.03</v>
      </c>
      <c r="AB47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9.9506337959379982E-3</v>
      </c>
      <c r="AC47" s="48">
        <f>IF(IFERROR(SSBR[[#This Row],[NO2-N (mg L-1)]]/SSBR[[#This Row],[NH4-N (mg L-1)]],0)&lt;0,0,IFERROR(SSBR[[#This Row],[NO2-N (mg L-1)]]/SSBR[[#This Row],[NH4-N (mg L-1)]],0))</f>
        <v>0.12566860679289765</v>
      </c>
      <c r="AD47" s="48">
        <f>SSBR[[#This Row],[NO2-N (mg L-1)]]/(SSBR[[#This Row],[NO3-N (mg L-1)]]+SSBR[[#This Row],[NO2-N (mg L-1)]])</f>
        <v>0.56293729372937285</v>
      </c>
      <c r="AE47" s="20">
        <f>46/14*SSBR[[#This Row],[NO2-N (mg L-1)]]/(EXP(-2300/(SSBR[[#This Row],[Temp. (°C)]]+273))*10^(SSBR[[#This Row],[pHreactor]]))</f>
        <v>1.846425763135167E-2</v>
      </c>
      <c r="AF47" s="20">
        <f>17/14*(SSBR[NH4-N (mg L-1)]*10^SSBR[[#This Row],[pHreactor]])/(EXP((6344/(273+SSBR[[#This Row],[Temp. (°C)]])))+10^SSBR[pHreactor])</f>
        <v>0.59741987746300307</v>
      </c>
      <c r="AG47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1300.57</v>
      </c>
      <c r="AH47" s="19">
        <f>IFERROR(IF(Influent[[#This Row],[COD (mg L-1)]]-SSBR[[#This Row],[COD (mg L-1)]]&lt;0,0,Influent[[#This Row],[COD (mg L-1)]]-SSBR[[#This Row],[COD (mg L-1)]]),0)</f>
        <v>1325</v>
      </c>
      <c r="AI47" s="20">
        <f>Influent[[#This Row],[COD (mg L-1)]]/SSBR[HRT (h)]*24/1000</f>
        <v>1.7950279999999998</v>
      </c>
      <c r="AJ47" s="20">
        <f>IF(((SSBR[[#This Row],[ΔC   (mg L-1)]])/SSBR[[#This Row],[HRT (h)]]*24/1000) &lt;0,0, (SSBR[[#This Row],[ΔC   (mg L-1)]])/SSBR[HRT (h)]*24/1000)</f>
        <v>0.84640999999999988</v>
      </c>
      <c r="AK47" s="6">
        <f>IF(IFERROR((Influent[[#This Row],[NH4-N (mg L-1)]])*SSBR[ARE (%)]/SSBR[HRT (h)]*24/1000,0)&lt;0,0,IFERROR((Influent[[#This Row],[NH4-N (mg L-1)]])*SSBR[ARE (%)]/SSBR[HRT (h)]*24/1000,0))</f>
        <v>0.85015975599999982</v>
      </c>
      <c r="AL47" s="20">
        <f>Influent[[#This Row],[TN (mg L-1)]]/SSBR[[#This Row],[HRT (h)]]*24/1000</f>
        <v>0.93699183999999969</v>
      </c>
      <c r="AM47" s="20">
        <f>SSBR[[#This Row],[NLR (kg N m-3 d-1)]]*SSBR[[#This Row],[NRE (%)]]</f>
        <v>0.83093187599999974</v>
      </c>
      <c r="AN47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0.90745261148234013</v>
      </c>
      <c r="AO47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0.88680801745295879</v>
      </c>
      <c r="AP47" s="6"/>
    </row>
    <row r="48" spans="1:43" x14ac:dyDescent="0.3">
      <c r="A48" s="3">
        <v>43371</v>
      </c>
      <c r="B48" s="29">
        <v>45</v>
      </c>
      <c r="C48" s="27">
        <v>625</v>
      </c>
      <c r="D48" s="28">
        <f t="shared" ref="D48:D65" si="3">C48/1000*24</f>
        <v>15</v>
      </c>
      <c r="E48" s="42">
        <v>1</v>
      </c>
      <c r="F48" s="163">
        <v>4</v>
      </c>
      <c r="G48" s="41">
        <f>IFERROR(Information!$R$40/(SSBR[[#This Row],[Flow (L h-1)]]*SSBR[[#This Row],[Batch cycles]]*SSBR[[#This Row],[Cycle duration (h)]]/1000)*24,0)</f>
        <v>76.800000000000011</v>
      </c>
      <c r="H48" s="28">
        <v>0.20128383067314409</v>
      </c>
      <c r="I48" s="28">
        <v>6.8308868841082386</v>
      </c>
      <c r="J48" s="41">
        <v>23.053402777777791</v>
      </c>
      <c r="K48" s="41">
        <f>stableSSBR[[#This Row],[MLVSS 
(mg L-1)]]/0.47</f>
        <v>6170.2127659574471</v>
      </c>
      <c r="L48" s="41">
        <f>1450*2</f>
        <v>2900</v>
      </c>
      <c r="M48">
        <v>1630</v>
      </c>
      <c r="N48" s="29">
        <f>SSBR[[#This Row],[COD (mg L-1)]]*Information!$AK$41</f>
        <v>1320.3000000000002</v>
      </c>
      <c r="O48">
        <v>559</v>
      </c>
      <c r="P48">
        <v>8</v>
      </c>
      <c r="Q48">
        <v>138</v>
      </c>
      <c r="R48">
        <v>29</v>
      </c>
      <c r="S48">
        <v>0.98</v>
      </c>
      <c r="T48">
        <v>37.6</v>
      </c>
      <c r="U48" s="6">
        <f>SSBR[[#This Row],[NH4-N (mg L-1)]]*1.288</f>
        <v>188.75640000000001</v>
      </c>
      <c r="V48" s="6">
        <f>(SSBR[[#This Row],[NO3-N (mg L-1)]])*4.426</f>
        <v>59.286270000000016</v>
      </c>
      <c r="W48" s="6">
        <f>SSBR[[#This Row],[NO2-N (mg L-1)]]*3.284</f>
        <v>79.489219999999989</v>
      </c>
      <c r="X48">
        <v>146.55000000000001</v>
      </c>
      <c r="Y48">
        <v>24.204999999999998</v>
      </c>
      <c r="Z48" s="6">
        <f>IF(SSBR[[#This Row],[TON (mg L-1)]]-SSBR[[#This Row],[NO2-N (mg L-1)]]&lt;0,0.19,SSBR[[#This Row],[TON (mg L-1)]]-SSBR[[#This Row],[NO2-N (mg L-1)]])</f>
        <v>13.395000000000003</v>
      </c>
      <c r="AA48" s="4">
        <f>SUM(SSBR[[#This Row],[NO3-N (mg L-1)]],SSBR[[#This Row],[NO2-N (mg L-1)]],SSBR[[#This Row],[NH4-N (mg L-1)]])</f>
        <v>184.15</v>
      </c>
      <c r="AB48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1.1931590433349666E-2</v>
      </c>
      <c r="AC48" s="48">
        <f>IF(IFERROR(SSBR[[#This Row],[NO2-N (mg L-1)]]/SSBR[[#This Row],[NH4-N (mg L-1)]],0)&lt;0,0,IFERROR(SSBR[[#This Row],[NO2-N (mg L-1)]]/SSBR[[#This Row],[NH4-N (mg L-1)]],0))</f>
        <v>0.16516547253497096</v>
      </c>
      <c r="AD48" s="48">
        <f>SSBR[[#This Row],[NO2-N (mg L-1)]]/(SSBR[[#This Row],[NO3-N (mg L-1)]]+SSBR[[#This Row],[NO2-N (mg L-1)]])</f>
        <v>0.64374999999999993</v>
      </c>
      <c r="AE48" s="20">
        <f>46/14*SSBR[[#This Row],[NO2-N (mg L-1)]]/(EXP(-2300/(SSBR[[#This Row],[Temp. (°C)]]+273))*10^(SSBR[[#This Row],[pHreactor]]))</f>
        <v>2.7773127303523319E-2</v>
      </c>
      <c r="AF48" s="20">
        <f>17/14*(SSBR[NH4-N (mg L-1)]*10^SSBR[[#This Row],[pHreactor]])/(EXP((6344/(273+SSBR[[#This Row],[Temp. (°C)]])))+10^SSBR[pHreactor])</f>
        <v>0.59351889472110264</v>
      </c>
      <c r="AG48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1085.05</v>
      </c>
      <c r="AH48" s="19">
        <f>IFERROR(IF(Influent[[#This Row],[COD (mg L-1)]]-SSBR[[#This Row],[COD (mg L-1)]]&lt;0,0,Influent[[#This Row],[COD (mg L-1)]]-SSBR[[#This Row],[COD (mg L-1)]]),0)</f>
        <v>980</v>
      </c>
      <c r="AI48" s="20">
        <f>Influent[[#This Row],[COD (mg L-1)]]/SSBR[HRT (h)]*24/1000</f>
        <v>0.81562499999999982</v>
      </c>
      <c r="AJ48" s="20">
        <f>IF(((SSBR[[#This Row],[ΔC   (mg L-1)]])/SSBR[[#This Row],[HRT (h)]]*24/1000) &lt;0,0, (SSBR[[#This Row],[ΔC   (mg L-1)]])/SSBR[HRT (h)]*24/1000)</f>
        <v>0.30624999999999997</v>
      </c>
      <c r="AK48" s="6">
        <f>IF(IFERROR((Influent[[#This Row],[NH4-N (mg L-1)]])*SSBR[ARE (%)]/SSBR[HRT (h)]*24/1000,0)&lt;0,0,IFERROR((Influent[[#This Row],[NH4-N (mg L-1)]])*SSBR[ARE (%)]/SSBR[HRT (h)]*24/1000,0))</f>
        <v>0.35082812499999999</v>
      </c>
      <c r="AL48" s="20">
        <f>Influent[[#This Row],[TN (mg L-1)]]/SSBR[[#This Row],[HRT (h)]]*24/1000</f>
        <v>0.39668750000000003</v>
      </c>
      <c r="AM48" s="20">
        <f>SSBR[[#This Row],[NLR (kg N m-3 d-1)]]*SSBR[[#This Row],[NRE (%)]]</f>
        <v>0.33914062500000003</v>
      </c>
      <c r="AN48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0.88453356445004727</v>
      </c>
      <c r="AO48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0.85493146368363004</v>
      </c>
      <c r="AP48" s="6">
        <v>2.7199999999999998E-2</v>
      </c>
    </row>
    <row r="49" spans="1:43" x14ac:dyDescent="0.3">
      <c r="A49" s="3">
        <v>43372</v>
      </c>
      <c r="B49" s="29">
        <v>46</v>
      </c>
      <c r="C49" s="27">
        <v>741.4</v>
      </c>
      <c r="D49" s="28">
        <f t="shared" si="3"/>
        <v>17.793599999999998</v>
      </c>
      <c r="E49" s="42">
        <v>1</v>
      </c>
      <c r="F49" s="163">
        <v>4</v>
      </c>
      <c r="G49" s="41">
        <f>IFERROR(Information!$R$40/(SSBR[[#This Row],[Flow (L h-1)]]*SSBR[[#This Row],[Batch cycles]]*SSBR[[#This Row],[Cycle duration (h)]]/1000)*24,0)</f>
        <v>64.742379282438634</v>
      </c>
      <c r="H49" s="28">
        <v>0.16830673143650279</v>
      </c>
      <c r="I49" s="28">
        <v>6.8106335877862403</v>
      </c>
      <c r="J49" s="41">
        <v>22.570000000000011</v>
      </c>
      <c r="K49" s="41"/>
      <c r="L49" s="41"/>
      <c r="M49">
        <v>2110</v>
      </c>
      <c r="N49" s="29">
        <f>SSBR[[#This Row],[COD (mg L-1)]]*Information!$AK$41</f>
        <v>1709.1000000000001</v>
      </c>
      <c r="O49">
        <v>576</v>
      </c>
      <c r="P49">
        <v>8</v>
      </c>
      <c r="Q49">
        <v>122</v>
      </c>
      <c r="R49">
        <v>45</v>
      </c>
      <c r="S49">
        <v>16.260000000000002</v>
      </c>
      <c r="T49">
        <v>46.9</v>
      </c>
      <c r="U49" s="6">
        <f>SSBR[[#This Row],[NH4-N (mg L-1)]]*1.288</f>
        <v>192.22112000000001</v>
      </c>
      <c r="V49" s="6">
        <f>(SSBR[[#This Row],[NO3-N (mg L-1)]])*4.426</f>
        <v>0.84094000000000002</v>
      </c>
      <c r="W49" s="6">
        <f>SSBR[[#This Row],[NO2-N (mg L-1)]]*3.284</f>
        <v>171.50033199999999</v>
      </c>
      <c r="X49">
        <v>149.24</v>
      </c>
      <c r="Y49">
        <v>52.222999999999999</v>
      </c>
      <c r="Z49" s="6">
        <f>IF(SSBR[[#This Row],[TON (mg L-1)]]-SSBR[[#This Row],[NO2-N (mg L-1)]]&lt;0,0.19,SSBR[[#This Row],[TON (mg L-1)]]-SSBR[[#This Row],[NO2-N (mg L-1)]])</f>
        <v>0.19</v>
      </c>
      <c r="AA49" s="4">
        <f>SUM(SSBR[[#This Row],[NO3-N (mg L-1)]],SSBR[[#This Row],[NO2-N (mg L-1)]],SSBR[[#This Row],[NH4-N (mg L-1)]])</f>
        <v>201.65300000000002</v>
      </c>
      <c r="AB49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1.6401084197986983E-4</v>
      </c>
      <c r="AC49" s="48">
        <f>IF(IFERROR(SSBR[[#This Row],[NO2-N (mg L-1)]]/SSBR[[#This Row],[NH4-N (mg L-1)]],0)&lt;0,0,IFERROR(SSBR[[#This Row],[NO2-N (mg L-1)]]/SSBR[[#This Row],[NH4-N (mg L-1)]],0))</f>
        <v>0.34992629321897611</v>
      </c>
      <c r="AD49" s="48">
        <f>SSBR[[#This Row],[NO2-N (mg L-1)]]/(SSBR[[#This Row],[NO3-N (mg L-1)]]+SSBR[[#This Row],[NO2-N (mg L-1)]])</f>
        <v>0.99637494514719638</v>
      </c>
      <c r="AE49" s="20">
        <f>46/14*SSBR[[#This Row],[NO2-N (mg L-1)]]/(EXP(-2300/(SSBR[[#This Row],[Temp. (°C)]]+273))*10^(SSBR[[#This Row],[pHreactor]]))</f>
        <v>6.3584744063059986E-2</v>
      </c>
      <c r="AF49" s="20">
        <f>17/14*(SSBR[NH4-N (mg L-1)]*10^SSBR[[#This Row],[pHreactor]])/(EXP((6344/(273+SSBR[[#This Row],[Temp. (°C)]])))+10^SSBR[pHreactor])</f>
        <v>0.55715225234302868</v>
      </c>
      <c r="AG49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1106.047</v>
      </c>
      <c r="AH49" s="19">
        <f>IFERROR(IF(Influent[[#This Row],[COD (mg L-1)]]-SSBR[[#This Row],[COD (mg L-1)]]&lt;0,0,Influent[[#This Row],[COD (mg L-1)]]-SSBR[[#This Row],[COD (mg L-1)]]),0)</f>
        <v>800</v>
      </c>
      <c r="AI49" s="20">
        <f>Influent[[#This Row],[COD (mg L-1)]]/SSBR[HRT (h)]*24/1000</f>
        <v>1.0787369999999998</v>
      </c>
      <c r="AJ49" s="20">
        <f>IF(((SSBR[[#This Row],[ΔC   (mg L-1)]])/SSBR[[#This Row],[HRT (h)]]*24/1000) &lt;0,0, (SSBR[[#This Row],[ΔC   (mg L-1)]])/SSBR[HRT (h)]*24/1000)</f>
        <v>0.29655999999999993</v>
      </c>
      <c r="AK49" s="6">
        <f>IF(IFERROR((Influent[[#This Row],[NH4-N (mg L-1)]])*SSBR[ARE (%)]/SSBR[HRT (h)]*24/1000,0)&lt;0,0,IFERROR((Influent[[#This Row],[NH4-N (mg L-1)]])*SSBR[ARE (%)]/SSBR[HRT (h)]*24/1000,0))</f>
        <v>0.42944112200000001</v>
      </c>
      <c r="AL49" s="20">
        <f>Influent[[#This Row],[TN (mg L-1)]]/SSBR[[#This Row],[HRT (h)]]*24/1000</f>
        <v>0.48498680999999993</v>
      </c>
      <c r="AM49" s="20">
        <f>SSBR[[#This Row],[NLR (kg N m-3 d-1)]]*SSBR[[#This Row],[NRE (%)]]</f>
        <v>0.41023404289999998</v>
      </c>
      <c r="AN49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0.8858759654354974</v>
      </c>
      <c r="AO49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0.84586639150042042</v>
      </c>
      <c r="AP49" s="6"/>
    </row>
    <row r="50" spans="1:43" x14ac:dyDescent="0.3">
      <c r="A50" s="3">
        <v>43373</v>
      </c>
      <c r="B50" s="29">
        <v>47</v>
      </c>
      <c r="C50" s="27">
        <v>725.8</v>
      </c>
      <c r="D50" s="28">
        <f t="shared" si="3"/>
        <v>17.4192</v>
      </c>
      <c r="E50" s="42">
        <v>1</v>
      </c>
      <c r="F50" s="163">
        <v>4</v>
      </c>
      <c r="G50" s="41">
        <f>IFERROR(Information!$R$40/(SSBR[[#This Row],[Flow (L h-1)]]*SSBR[[#This Row],[Batch cycles]]*SSBR[[#This Row],[Cycle duration (h)]]/1000)*24,0)</f>
        <v>66.133921190410575</v>
      </c>
      <c r="H50" s="28">
        <v>0.162809457579973</v>
      </c>
      <c r="I50" s="28">
        <v>6.8108929068150008</v>
      </c>
      <c r="J50" s="41">
        <v>21.71083333333333</v>
      </c>
      <c r="K50" s="41"/>
      <c r="L50" s="41"/>
      <c r="M50">
        <v>1530</v>
      </c>
      <c r="N50" s="29">
        <f>SSBR[[#This Row],[COD (mg L-1)]]*Information!$AK$41</f>
        <v>1239.3000000000002</v>
      </c>
      <c r="O50">
        <v>551</v>
      </c>
      <c r="P50">
        <v>8</v>
      </c>
      <c r="Q50">
        <v>110</v>
      </c>
      <c r="R50">
        <v>23</v>
      </c>
      <c r="S50">
        <v>1.08</v>
      </c>
      <c r="T50">
        <v>49.2</v>
      </c>
      <c r="U50" s="6">
        <f>SSBR[[#This Row],[NH4-N (mg L-1)]]*1.288</f>
        <v>196.34272000000001</v>
      </c>
      <c r="V50" s="6">
        <f>(SSBR[[#This Row],[NO3-N (mg L-1)]])*4.426</f>
        <v>78.508388000000011</v>
      </c>
      <c r="W50" s="6">
        <f>SSBR[[#This Row],[NO2-N (mg L-1)]]*3.284</f>
        <v>103.321208</v>
      </c>
      <c r="X50">
        <v>152.44</v>
      </c>
      <c r="Y50">
        <v>31.462</v>
      </c>
      <c r="Z50" s="6">
        <f>IF(SSBR[[#This Row],[TON (mg L-1)]]-SSBR[[#This Row],[NO2-N (mg L-1)]]&lt;0,0.19,SSBR[[#This Row],[TON (mg L-1)]]-SSBR[[#This Row],[NO2-N (mg L-1)]])</f>
        <v>17.738000000000003</v>
      </c>
      <c r="AA50" s="4">
        <f>SUM(SSBR[[#This Row],[NO3-N (mg L-1)]],SSBR[[#This Row],[NO2-N (mg L-1)]],SSBR[[#This Row],[NH4-N (mg L-1)]])</f>
        <v>201.64</v>
      </c>
      <c r="AB50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1.4445095931463568E-2</v>
      </c>
      <c r="AC50" s="48">
        <f>IF(IFERROR(SSBR[[#This Row],[NO2-N (mg L-1)]]/SSBR[[#This Row],[NH4-N (mg L-1)]],0)&lt;0,0,IFERROR(SSBR[[#This Row],[NO2-N (mg L-1)]]/SSBR[[#This Row],[NH4-N (mg L-1)]],0))</f>
        <v>0.20638939910784571</v>
      </c>
      <c r="AD50" s="48">
        <f>SSBR[[#This Row],[NO2-N (mg L-1)]]/(SSBR[[#This Row],[NO3-N (mg L-1)]]+SSBR[[#This Row],[NO2-N (mg L-1)]])</f>
        <v>0.63947154471544709</v>
      </c>
      <c r="AE50" s="20">
        <f>46/14*SSBR[[#This Row],[NO2-N (mg L-1)]]/(EXP(-2300/(SSBR[[#This Row],[Temp. (°C)]]+273))*10^(SSBR[[#This Row],[pHreactor]]))</f>
        <v>3.9162491730404557E-2</v>
      </c>
      <c r="AF50" s="20">
        <f>17/14*(SSBR[NH4-N (mg L-1)]*10^SSBR[[#This Row],[pHreactor]])/(EXP((6344/(273+SSBR[[#This Row],[Temp. (°C)]])))+10^SSBR[pHreactor])</f>
        <v>0.53499808095916301</v>
      </c>
      <c r="AG50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1178.7600000000002</v>
      </c>
      <c r="AH50" s="19">
        <f>IFERROR(IF(Influent[[#This Row],[COD (mg L-1)]]-SSBR[[#This Row],[COD (mg L-1)]]&lt;0,0,Influent[[#This Row],[COD (mg L-1)]]-SSBR[[#This Row],[COD (mg L-1)]]),0)</f>
        <v>1440</v>
      </c>
      <c r="AI50" s="20">
        <f>Influent[[#This Row],[COD (mg L-1)]]/SSBR[HRT (h)]*24/1000</f>
        <v>1.0778130000000001</v>
      </c>
      <c r="AJ50" s="20">
        <f>IF(((SSBR[[#This Row],[ΔC   (mg L-1)]])/SSBR[[#This Row],[HRT (h)]]*24/1000) &lt;0,0, (SSBR[[#This Row],[ΔC   (mg L-1)]])/SSBR[HRT (h)]*24/1000)</f>
        <v>0.52257600000000004</v>
      </c>
      <c r="AK50" s="6">
        <f>IF(IFERROR((Influent[[#This Row],[NH4-N (mg L-1)]])*SSBR[ARE (%)]/SSBR[HRT (h)]*24/1000,0)&lt;0,0,IFERROR((Influent[[#This Row],[NH4-N (mg L-1)]])*SSBR[ARE (%)]/SSBR[HRT (h)]*24/1000,0))</f>
        <v>0.44562668400000005</v>
      </c>
      <c r="AL50" s="20">
        <f>Influent[[#This Row],[TN (mg L-1)]]/SSBR[[#This Row],[HRT (h)]]*24/1000</f>
        <v>0.50101974000000016</v>
      </c>
      <c r="AM50" s="20">
        <f>SSBR[[#This Row],[NLR (kg N m-3 d-1)]]*SSBR[[#This Row],[NRE (%)]]</f>
        <v>0.42784458400000008</v>
      </c>
      <c r="AN50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0.88956824108953925</v>
      </c>
      <c r="AO50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0.85394755903230468</v>
      </c>
      <c r="AP50" s="6"/>
    </row>
    <row r="51" spans="1:43" x14ac:dyDescent="0.3">
      <c r="A51" s="3">
        <v>43374</v>
      </c>
      <c r="B51" s="29">
        <v>48</v>
      </c>
      <c r="C51" s="27">
        <v>726.2</v>
      </c>
      <c r="D51" s="28">
        <f t="shared" si="3"/>
        <v>17.428800000000003</v>
      </c>
      <c r="E51" s="42">
        <v>1</v>
      </c>
      <c r="F51" s="163">
        <v>4</v>
      </c>
      <c r="G51" s="41">
        <f>IFERROR(Information!$R$40/(SSBR[[#This Row],[Flow (L h-1)]]*SSBR[[#This Row],[Batch cycles]]*SSBR[[#This Row],[Cycle duration (h)]]/1000)*24,0)</f>
        <v>66.097493803359953</v>
      </c>
      <c r="H51" s="28">
        <v>0.17459403192227649</v>
      </c>
      <c r="I51" s="28">
        <v>6.8027196391394744</v>
      </c>
      <c r="J51" s="41">
        <v>21.26076388888891</v>
      </c>
      <c r="K51" s="41"/>
      <c r="L51" s="41"/>
      <c r="M51">
        <v>1560</v>
      </c>
      <c r="N51" s="29">
        <f>SSBR[[#This Row],[COD (mg L-1)]]*Information!$AK$41</f>
        <v>1263.6000000000001</v>
      </c>
      <c r="O51">
        <v>1061</v>
      </c>
      <c r="P51">
        <v>8</v>
      </c>
      <c r="Q51">
        <v>102</v>
      </c>
      <c r="R51">
        <v>35</v>
      </c>
      <c r="S51">
        <v>1.06</v>
      </c>
      <c r="T51">
        <v>43.6</v>
      </c>
      <c r="U51" s="6">
        <f>SSBR[[#This Row],[NH4-N (mg L-1)]]*1.288</f>
        <v>210.08568000000002</v>
      </c>
      <c r="V51" s="6">
        <f>(SSBR[[#This Row],[NO3-N (mg L-1)]])*4.426</f>
        <v>44.786693999999997</v>
      </c>
      <c r="W51" s="6">
        <f>SSBR[[#This Row],[NO2-N (mg L-1)]]*3.284</f>
        <v>109.951604</v>
      </c>
      <c r="X51">
        <v>163.11000000000001</v>
      </c>
      <c r="Y51">
        <v>33.481000000000002</v>
      </c>
      <c r="Z51" s="6">
        <f>IF(SSBR[[#This Row],[TON (mg L-1)]]-SSBR[[#This Row],[NO2-N (mg L-1)]]&lt;0,0.19,SSBR[[#This Row],[TON (mg L-1)]]-SSBR[[#This Row],[NO2-N (mg L-1)]])</f>
        <v>10.119</v>
      </c>
      <c r="AA51" s="4">
        <f>SUM(SSBR[[#This Row],[NO3-N (mg L-1)]],SSBR[[#This Row],[NO2-N (mg L-1)]],SSBR[[#This Row],[NH4-N (mg L-1)]])</f>
        <v>206.71</v>
      </c>
      <c r="AB51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8.5155980442484583E-3</v>
      </c>
      <c r="AC51" s="48">
        <f>IF(IFERROR(SSBR[[#This Row],[NO2-N (mg L-1)]]/SSBR[[#This Row],[NH4-N (mg L-1)]],0)&lt;0,0,IFERROR(SSBR[[#This Row],[NO2-N (mg L-1)]]/SSBR[[#This Row],[NH4-N (mg L-1)]],0))</f>
        <v>0.20526638464839678</v>
      </c>
      <c r="AD51" s="48">
        <f>SSBR[[#This Row],[NO2-N (mg L-1)]]/(SSBR[[#This Row],[NO3-N (mg L-1)]]+SSBR[[#This Row],[NO2-N (mg L-1)]])</f>
        <v>0.76791284403669724</v>
      </c>
      <c r="AE51" s="20">
        <f>46/14*SSBR[[#This Row],[NO2-N (mg L-1)]]/(EXP(-2300/(SSBR[[#This Row],[Temp. (°C)]]+273))*10^(SSBR[[#This Row],[pHreactor]]))</f>
        <v>4.2977352337825833E-2</v>
      </c>
      <c r="AF51" s="20">
        <f>17/14*(SSBR[NH4-N (mg L-1)]*10^SSBR[[#This Row],[pHreactor]])/(EXP((6344/(273+SSBR[[#This Row],[Temp. (°C)]])))+10^SSBR[pHreactor])</f>
        <v>0.54365719549078639</v>
      </c>
      <c r="AG51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1144.69</v>
      </c>
      <c r="AH51" s="19">
        <f>IFERROR(IF(Influent[[#This Row],[COD (mg L-1)]]-SSBR[[#This Row],[COD (mg L-1)]]&lt;0,0,Influent[[#This Row],[COD (mg L-1)]]-SSBR[[#This Row],[COD (mg L-1)]]),0)</f>
        <v>1400</v>
      </c>
      <c r="AI51" s="20">
        <f>Influent[[#This Row],[COD (mg L-1)]]/SSBR[HRT (h)]*24/1000</f>
        <v>1.0747760000000002</v>
      </c>
      <c r="AJ51" s="20">
        <f>IF(((SSBR[[#This Row],[ΔC   (mg L-1)]])/SSBR[[#This Row],[HRT (h)]]*24/1000) &lt;0,0, (SSBR[[#This Row],[ΔC   (mg L-1)]])/SSBR[HRT (h)]*24/1000)</f>
        <v>0.50834000000000001</v>
      </c>
      <c r="AK51" s="6">
        <f>IF(IFERROR((Influent[[#This Row],[NH4-N (mg L-1)]])*SSBR[ARE (%)]/SSBR[HRT (h)]*24/1000,0)&lt;0,0,IFERROR((Influent[[#This Row],[NH4-N (mg L-1)]])*SSBR[ARE (%)]/SSBR[HRT (h)]*24/1000,0))</f>
        <v>0.43146809899999999</v>
      </c>
      <c r="AL51" s="20">
        <f>Influent[[#This Row],[TN (mg L-1)]]/SSBR[[#This Row],[HRT (h)]]*24/1000</f>
        <v>0.49291805369999997</v>
      </c>
      <c r="AM51" s="20">
        <f>SSBR[[#This Row],[NLR (kg N m-3 d-1)]]*SSBR[[#This Row],[NRE (%)]]</f>
        <v>0.41786165269999997</v>
      </c>
      <c r="AN51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0.87930294509397655</v>
      </c>
      <c r="AO51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0.84773046871259283</v>
      </c>
      <c r="AP51" s="6"/>
    </row>
    <row r="52" spans="1:43" x14ac:dyDescent="0.3">
      <c r="A52" s="3">
        <v>43375</v>
      </c>
      <c r="B52" s="29">
        <v>49</v>
      </c>
      <c r="C52" s="27">
        <v>690.7</v>
      </c>
      <c r="D52" s="28">
        <f t="shared" si="3"/>
        <v>16.576800000000002</v>
      </c>
      <c r="E52" s="42">
        <v>1</v>
      </c>
      <c r="F52" s="163">
        <v>4</v>
      </c>
      <c r="G52" s="41">
        <f>IFERROR(Information!$R$40/(SSBR[[#This Row],[Flow (L h-1)]]*SSBR[[#This Row],[Batch cycles]]*SSBR[[#This Row],[Cycle duration (h)]]/1000)*24,0)</f>
        <v>69.49471550600839</v>
      </c>
      <c r="H52" s="28">
        <v>0.11076335877862679</v>
      </c>
      <c r="I52" s="28">
        <v>6.7861672449687864</v>
      </c>
      <c r="J52" s="41">
        <v>21.77097222222222</v>
      </c>
      <c r="K52" s="41">
        <v>8850</v>
      </c>
      <c r="L52" s="41">
        <v>3610</v>
      </c>
      <c r="M52">
        <v>1740</v>
      </c>
      <c r="N52" s="29">
        <f>SSBR[[#This Row],[COD (mg L-1)]]*Information!$AK$41</f>
        <v>1409.4</v>
      </c>
      <c r="O52">
        <v>2434</v>
      </c>
      <c r="P52">
        <v>7.9</v>
      </c>
      <c r="Q52">
        <v>292</v>
      </c>
      <c r="R52">
        <v>93</v>
      </c>
      <c r="S52">
        <v>1.26</v>
      </c>
      <c r="T52">
        <v>45.9</v>
      </c>
      <c r="U52" s="6">
        <f>SSBR[[#This Row],[NH4-N (mg L-1)]]*1.288</f>
        <v>197.88831999999999</v>
      </c>
      <c r="V52" s="6">
        <f>(SSBR[[#This Row],[NO3-N (mg L-1)]])*4.426</f>
        <v>35.244238000000003</v>
      </c>
      <c r="W52" s="6">
        <f>SSBR[[#This Row],[NO2-N (mg L-1)]]*3.284</f>
        <v>124.58510799999999</v>
      </c>
      <c r="X52">
        <v>153.63999999999999</v>
      </c>
      <c r="Y52">
        <v>37.936999999999998</v>
      </c>
      <c r="Z52" s="6">
        <f>IF(SSBR[[#This Row],[TON (mg L-1)]]-SSBR[[#This Row],[NO2-N (mg L-1)]]&lt;0,0.19,SSBR[[#This Row],[TON (mg L-1)]]-SSBR[[#This Row],[NO2-N (mg L-1)]])</f>
        <v>7.963000000000001</v>
      </c>
      <c r="AA52" s="4">
        <f>SUM(SSBR[[#This Row],[NO3-N (mg L-1)]],SSBR[[#This Row],[NO2-N (mg L-1)]],SSBR[[#This Row],[NH4-N (mg L-1)]])</f>
        <v>199.54</v>
      </c>
      <c r="AB52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6.6184048671830862E-3</v>
      </c>
      <c r="AC52" s="48">
        <f>IF(IFERROR(SSBR[[#This Row],[NO2-N (mg L-1)]]/SSBR[[#This Row],[NH4-N (mg L-1)]],0)&lt;0,0,IFERROR(SSBR[[#This Row],[NO2-N (mg L-1)]]/SSBR[[#This Row],[NH4-N (mg L-1)]],0))</f>
        <v>0.24692137464202032</v>
      </c>
      <c r="AD52" s="48">
        <f>SSBR[[#This Row],[NO2-N (mg L-1)]]/(SSBR[[#This Row],[NO3-N (mg L-1)]]+SSBR[[#This Row],[NO2-N (mg L-1)]])</f>
        <v>0.82651416122004351</v>
      </c>
      <c r="AE52" s="20">
        <f>46/14*SSBR[[#This Row],[NO2-N (mg L-1)]]/(EXP(-2300/(SSBR[[#This Row],[Temp. (°C)]]+273))*10^(SSBR[[#This Row],[pHreactor]]))</f>
        <v>4.990926159563714E-2</v>
      </c>
      <c r="AF52" s="20">
        <f>17/14*(SSBR[NH4-N (mg L-1)]*10^SSBR[[#This Row],[pHreactor]])/(EXP((6344/(273+SSBR[[#This Row],[Temp. (°C)]])))+10^SSBR[pHreactor])</f>
        <v>0.51168594346902274</v>
      </c>
      <c r="AG52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1157.26</v>
      </c>
      <c r="AH52" s="19">
        <f>IFERROR(IF(Influent[[#This Row],[COD (mg L-1)]]-SSBR[[#This Row],[COD (mg L-1)]]&lt;0,0,Influent[[#This Row],[COD (mg L-1)]]-SSBR[[#This Row],[COD (mg L-1)]]),0)</f>
        <v>1190</v>
      </c>
      <c r="AI52" s="20">
        <f>Influent[[#This Row],[COD (mg L-1)]]/SSBR[HRT (h)]*24/1000</f>
        <v>1.0118755000000001</v>
      </c>
      <c r="AJ52" s="20">
        <f>IF(((SSBR[[#This Row],[ΔC   (mg L-1)]])/SSBR[[#This Row],[HRT (h)]]*24/1000) &lt;0,0, (SSBR[[#This Row],[ΔC   (mg L-1)]])/SSBR[HRT (h)]*24/1000)</f>
        <v>0.41096650000000012</v>
      </c>
      <c r="AK52" s="6">
        <f>IF(IFERROR((Influent[[#This Row],[NH4-N (mg L-1)]])*SSBR[ARE (%)]/SSBR[HRT (h)]*24/1000,0)&lt;0,0,IFERROR((Influent[[#This Row],[NH4-N (mg L-1)]])*SSBR[ARE (%)]/SSBR[HRT (h)]*24/1000,0))</f>
        <v>0.41551130599999997</v>
      </c>
      <c r="AL52" s="20">
        <f>Influent[[#This Row],[TN (mg L-1)]]/SSBR[[#This Row],[HRT (h)]]*24/1000</f>
        <v>0.46863995000000008</v>
      </c>
      <c r="AM52" s="20">
        <f>SSBR[[#This Row],[NLR (kg N m-3 d-1)]]*SSBR[[#This Row],[NRE (%)]]</f>
        <v>0.39972881100000007</v>
      </c>
      <c r="AN52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0.88676297169811313</v>
      </c>
      <c r="AO52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0.85295504789977894</v>
      </c>
      <c r="AP52" s="6"/>
    </row>
    <row r="53" spans="1:43" x14ac:dyDescent="0.3">
      <c r="A53" s="3">
        <v>43376</v>
      </c>
      <c r="B53" s="29">
        <v>50</v>
      </c>
      <c r="C53" s="27"/>
      <c r="D53" s="28"/>
      <c r="E53" s="42"/>
      <c r="F53" s="163"/>
      <c r="G53" s="41"/>
      <c r="H53" s="28"/>
      <c r="I53" s="28"/>
      <c r="J53" s="41"/>
      <c r="K53" s="41"/>
      <c r="L53" s="41"/>
      <c r="U53" s="6"/>
      <c r="V53" s="6"/>
      <c r="W53" s="6"/>
      <c r="Z53" s="6"/>
      <c r="AA53" s="4"/>
      <c r="AB53" s="21"/>
      <c r="AC53" s="48"/>
      <c r="AD53" s="48"/>
      <c r="AE53" s="20"/>
      <c r="AF53" s="20"/>
      <c r="AG53" s="129"/>
      <c r="AH53" s="19"/>
      <c r="AI53" s="20"/>
      <c r="AJ53" s="20"/>
      <c r="AK53" s="6"/>
      <c r="AL53" s="20"/>
      <c r="AM53" s="20"/>
      <c r="AN53" s="26"/>
      <c r="AO53" s="26"/>
      <c r="AP53" s="6"/>
    </row>
    <row r="54" spans="1:43" x14ac:dyDescent="0.3">
      <c r="A54" s="3">
        <v>43377</v>
      </c>
      <c r="B54" s="29">
        <v>51</v>
      </c>
      <c r="C54" s="27">
        <v>645</v>
      </c>
      <c r="D54" s="28">
        <f t="shared" si="3"/>
        <v>15.48</v>
      </c>
      <c r="E54" s="42">
        <v>1</v>
      </c>
      <c r="F54" s="163">
        <v>4</v>
      </c>
      <c r="G54" s="41">
        <f>IFERROR(Information!$R$40/(SSBR[[#This Row],[Flow (L h-1)]]*SSBR[[#This Row],[Batch cycles]]*SSBR[[#This Row],[Cycle duration (h)]]/1000)*24,0)</f>
        <v>74.418604651162781</v>
      </c>
      <c r="H54" s="28">
        <v>0.14396252602359519</v>
      </c>
      <c r="I54" s="28">
        <v>6.8129618320610748</v>
      </c>
      <c r="J54" s="41">
        <v>23.578958333333318</v>
      </c>
      <c r="K54" s="41">
        <f>stableSSBR[[#This Row],[MLVSS 
(mg L-1)]]/0.49</f>
        <v>3857.1428571428573</v>
      </c>
      <c r="L54" s="41">
        <f>945*2</f>
        <v>1890</v>
      </c>
      <c r="M54">
        <v>1660</v>
      </c>
      <c r="N54" s="29">
        <f>SSBR[[#This Row],[COD (mg L-1)]]*Information!$AK$41</f>
        <v>1344.6000000000001</v>
      </c>
      <c r="O54">
        <v>620</v>
      </c>
      <c r="P54">
        <v>7.6</v>
      </c>
      <c r="Q54">
        <v>232</v>
      </c>
      <c r="S54">
        <v>1.04</v>
      </c>
      <c r="T54">
        <v>13.8</v>
      </c>
      <c r="U54" s="6">
        <f>SSBR[[#This Row],[NH4-N (mg L-1)]]*1.288</f>
        <v>114.01376</v>
      </c>
      <c r="V54" s="6">
        <f>(SSBR[[#This Row],[NO3-N (mg L-1)]])*4.426</f>
        <v>34.540504000000006</v>
      </c>
      <c r="W54" s="6">
        <f>SSBR[[#This Row],[NO2-N (mg L-1)]]*3.284</f>
        <v>19.690864000000001</v>
      </c>
      <c r="X54">
        <v>88.52</v>
      </c>
      <c r="Y54">
        <v>5.9960000000000004</v>
      </c>
      <c r="Z54" s="6">
        <f>IF(SSBR[[#This Row],[TON (mg L-1)]]-SSBR[[#This Row],[NO2-N (mg L-1)]]&lt;0,0.19,SSBR[[#This Row],[TON (mg L-1)]]-SSBR[[#This Row],[NO2-N (mg L-1)]])</f>
        <v>7.8040000000000003</v>
      </c>
      <c r="AA54" s="4">
        <f>SUM(SSBR[[#This Row],[NO3-N (mg L-1)]],SSBR[[#This Row],[NO2-N (mg L-1)]],SSBR[[#This Row],[NH4-N (mg L-1)]])</f>
        <v>102.32</v>
      </c>
      <c r="AB54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8.1838964743388091E-3</v>
      </c>
      <c r="AC54" s="48">
        <f>IF(IFERROR(SSBR[[#This Row],[NO2-N (mg L-1)]]/SSBR[[#This Row],[NH4-N (mg L-1)]],0)&lt;0,0,IFERROR(SSBR[[#This Row],[NO2-N (mg L-1)]]/SSBR[[#This Row],[NH4-N (mg L-1)]],0))</f>
        <v>6.7736104835065536E-2</v>
      </c>
      <c r="AD54" s="48">
        <f>SSBR[[#This Row],[NO2-N (mg L-1)]]/(SSBR[[#This Row],[NO3-N (mg L-1)]]+SSBR[[#This Row],[NO2-N (mg L-1)]])</f>
        <v>0.4344927536231884</v>
      </c>
      <c r="AE54" s="20">
        <f>46/14*SSBR[[#This Row],[NO2-N (mg L-1)]]/(EXP(-2300/(SSBR[[#This Row],[Temp. (°C)]]+273))*10^(SSBR[[#This Row],[pHreactor]]))</f>
        <v>7.071759564713705E-3</v>
      </c>
      <c r="AF54" s="20">
        <f>17/14*(SSBR[NH4-N (mg L-1)]*10^SSBR[[#This Row],[pHreactor]])/(EXP((6344/(273+SSBR[[#This Row],[Temp. (°C)]])))+10^SSBR[pHreactor])</f>
        <v>0.3573231758465949</v>
      </c>
      <c r="AG54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939.78</v>
      </c>
      <c r="AH54" s="19">
        <f>IFERROR(IF(Influent[[#This Row],[COD (mg L-1)]]-SSBR[[#This Row],[COD (mg L-1)]]&lt;0,0,Influent[[#This Row],[COD (mg L-1)]]-SSBR[[#This Row],[COD (mg L-1)]]),0)</f>
        <v>590</v>
      </c>
      <c r="AI54" s="20">
        <f>Influent[[#This Row],[COD (mg L-1)]]/SSBR[HRT (h)]*24/1000</f>
        <v>0.72562500000000008</v>
      </c>
      <c r="AJ54" s="20">
        <f>IF(((SSBR[[#This Row],[ΔC   (mg L-1)]])/SSBR[[#This Row],[HRT (h)]]*24/1000) &lt;0,0, (SSBR[[#This Row],[ΔC   (mg L-1)]])/SSBR[HRT (h)]*24/1000)</f>
        <v>0.19027500000000003</v>
      </c>
      <c r="AK54" s="6">
        <f>IF(IFERROR((Influent[[#This Row],[NH4-N (mg L-1)]])*SSBR[ARE (%)]/SSBR[HRT (h)]*24/1000,0)&lt;0,0,IFERROR((Influent[[#This Row],[NH4-N (mg L-1)]])*SSBR[ARE (%)]/SSBR[HRT (h)]*24/1000,0))</f>
        <v>0.30752954999999998</v>
      </c>
      <c r="AL54" s="20">
        <f>Influent[[#This Row],[TN (mg L-1)]]/SSBR[[#This Row],[HRT (h)]]*24/1000</f>
        <v>0.33614175000000002</v>
      </c>
      <c r="AM54" s="20">
        <f>SSBR[[#This Row],[NLR (kg N m-3 d-1)]]*SSBR[[#This Row],[NRE (%)]]</f>
        <v>0.30314355000000004</v>
      </c>
      <c r="AN54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0.91505613664715479</v>
      </c>
      <c r="AO54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0.90183248584860409</v>
      </c>
      <c r="AP54" s="6">
        <v>4.5999999999999999E-2</v>
      </c>
    </row>
    <row r="55" spans="1:43" x14ac:dyDescent="0.3">
      <c r="A55" s="3">
        <v>43378</v>
      </c>
      <c r="B55" s="29">
        <v>52</v>
      </c>
      <c r="C55" s="27">
        <v>703</v>
      </c>
      <c r="D55" s="28">
        <f t="shared" si="3"/>
        <v>16.872</v>
      </c>
      <c r="E55" s="42">
        <v>1</v>
      </c>
      <c r="F55" s="163">
        <v>4</v>
      </c>
      <c r="G55" s="41">
        <f>IFERROR(Information!$R$40/(SSBR[[#This Row],[Flow (L h-1)]]*SSBR[[#This Row],[Batch cycles]]*SSBR[[#This Row],[Cycle duration (h)]]/1000)*24,0)</f>
        <v>68.278805120910391</v>
      </c>
      <c r="H55" s="28">
        <v>0.17793893129771041</v>
      </c>
      <c r="I55" s="28">
        <v>6.8145211658570819</v>
      </c>
      <c r="J55" s="41">
        <v>24.358819444444439</v>
      </c>
      <c r="K55" s="41">
        <v>7320</v>
      </c>
      <c r="L55" s="41">
        <f>stableSSBR[[#This Row],[MLSS 
(mg L-1)]]*0.45</f>
        <v>3294</v>
      </c>
      <c r="M55">
        <v>1636</v>
      </c>
      <c r="N55" s="29">
        <f>SSBR[[#This Row],[COD (mg L-1)]]*Information!$AK$41</f>
        <v>1325.16</v>
      </c>
      <c r="O55">
        <v>637</v>
      </c>
      <c r="P55">
        <v>7.9</v>
      </c>
      <c r="Q55">
        <v>320</v>
      </c>
      <c r="S55">
        <v>2.13</v>
      </c>
      <c r="T55">
        <v>42.1</v>
      </c>
      <c r="U55" s="6">
        <f>SSBR[[#This Row],[NH4-N (mg L-1)]]*1.288</f>
        <v>199.1892</v>
      </c>
      <c r="V55" s="6">
        <f>(SSBR[[#This Row],[NO3-N (mg L-1)]])*4.426</f>
        <v>12.875233999999995</v>
      </c>
      <c r="W55" s="6">
        <f>SSBR[[#This Row],[NO2-N (mg L-1)]]*3.284</f>
        <v>128.70324400000001</v>
      </c>
      <c r="X55">
        <v>154.65</v>
      </c>
      <c r="Y55">
        <v>39.191000000000003</v>
      </c>
      <c r="Z55" s="6">
        <f>IF(SSBR[[#This Row],[TON (mg L-1)]]-SSBR[[#This Row],[NO2-N (mg L-1)]]&lt;0,0.19,SSBR[[#This Row],[TON (mg L-1)]]-SSBR[[#This Row],[NO2-N (mg L-1)]])</f>
        <v>2.9089999999999989</v>
      </c>
      <c r="AA55" s="4">
        <f>SUM(SSBR[[#This Row],[NO3-N (mg L-1)]],SSBR[[#This Row],[NO2-N (mg L-1)]],SSBR[[#This Row],[NH4-N (mg L-1)]])</f>
        <v>196.75</v>
      </c>
      <c r="AB55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3.368262606379898E-3</v>
      </c>
      <c r="AC55" s="48">
        <f>IF(IFERROR(SSBR[[#This Row],[NO2-N (mg L-1)]]/SSBR[[#This Row],[NH4-N (mg L-1)]],0)&lt;0,0,IFERROR(SSBR[[#This Row],[NO2-N (mg L-1)]]/SSBR[[#This Row],[NH4-N (mg L-1)]],0))</f>
        <v>0.25341739411574526</v>
      </c>
      <c r="AD55" s="48">
        <f>SSBR[[#This Row],[NO2-N (mg L-1)]]/(SSBR[[#This Row],[NO3-N (mg L-1)]]+SSBR[[#This Row],[NO2-N (mg L-1)]])</f>
        <v>0.93090261282660336</v>
      </c>
      <c r="AE55" s="20">
        <f>46/14*SSBR[[#This Row],[NO2-N (mg L-1)]]/(EXP(-2300/(SSBR[[#This Row],[Temp. (°C)]]+273))*10^(SSBR[[#This Row],[pHreactor]]))</f>
        <v>4.5129432592196948E-2</v>
      </c>
      <c r="AF55" s="20">
        <f>17/14*(SSBR[NH4-N (mg L-1)]*10^SSBR[[#This Row],[pHreactor]])/(EXP((6344/(273+SSBR[[#This Row],[Temp. (°C)]])))+10^SSBR[pHreactor])</f>
        <v>0.66252758781958954</v>
      </c>
      <c r="AG55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821.55</v>
      </c>
      <c r="AH55" s="19">
        <f>IFERROR(IF(Influent[[#This Row],[COD (mg L-1)]]-SSBR[[#This Row],[COD (mg L-1)]]&lt;0,0,Influent[[#This Row],[COD (mg L-1)]]-SSBR[[#This Row],[COD (mg L-1)]]),0)</f>
        <v>179</v>
      </c>
      <c r="AI55" s="20">
        <f>Influent[[#This Row],[COD (mg L-1)]]/SSBR[HRT (h)]*24/1000</f>
        <v>0.63797249999999983</v>
      </c>
      <c r="AJ55" s="20">
        <f>IF(((SSBR[[#This Row],[ΔC   (mg L-1)]])/SSBR[[#This Row],[HRT (h)]]*24/1000) &lt;0,0, (SSBR[[#This Row],[ΔC   (mg L-1)]])/SSBR[HRT (h)]*24/1000)</f>
        <v>6.2918499999999988E-2</v>
      </c>
      <c r="AK55" s="6">
        <f>IF(IFERROR((Influent[[#This Row],[NH4-N (mg L-1)]])*SSBR[ARE (%)]/SSBR[HRT (h)]*24/1000,0)&lt;0,0,IFERROR((Influent[[#This Row],[NH4-N (mg L-1)]])*SSBR[ARE (%)]/SSBR[HRT (h)]*24/1000,0))</f>
        <v>0.30357297499999991</v>
      </c>
      <c r="AL55" s="20">
        <f>Influent[[#This Row],[TN (mg L-1)]]/SSBR[[#This Row],[HRT (h)]]*24/1000</f>
        <v>0.36114867500000003</v>
      </c>
      <c r="AM55" s="20">
        <f>SSBR[[#This Row],[NLR (kg N m-3 d-1)]]*SSBR[[#This Row],[NRE (%)]]</f>
        <v>0.29199105000000003</v>
      </c>
      <c r="AN55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0.84812923499950899</v>
      </c>
      <c r="AO55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0.80850649666650443</v>
      </c>
      <c r="AP55" s="6"/>
    </row>
    <row r="56" spans="1:43" x14ac:dyDescent="0.3">
      <c r="A56" s="3">
        <v>43379</v>
      </c>
      <c r="B56" s="29">
        <v>53</v>
      </c>
      <c r="C56" s="27">
        <v>715.3</v>
      </c>
      <c r="D56" s="28">
        <f t="shared" si="3"/>
        <v>17.167199999999998</v>
      </c>
      <c r="E56" s="42">
        <v>1</v>
      </c>
      <c r="F56" s="163">
        <v>4</v>
      </c>
      <c r="G56" s="41">
        <f>IFERROR(Information!$R$40/(SSBR[[#This Row],[Flow (L h-1)]]*SSBR[[#This Row],[Batch cycles]]*SSBR[[#This Row],[Cycle duration (h)]]/1000)*24,0)</f>
        <v>67.104711309939887</v>
      </c>
      <c r="H56" s="28">
        <v>0.17337265787647529</v>
      </c>
      <c r="I56" s="28">
        <v>6.8169604441360523</v>
      </c>
      <c r="J56" s="41">
        <v>22.216250000000009</v>
      </c>
      <c r="K56" s="41"/>
      <c r="L56" s="41"/>
      <c r="M56">
        <v>1575</v>
      </c>
      <c r="N56" s="29">
        <f>SSBR[[#This Row],[COD (mg L-1)]]*Information!$AK$41</f>
        <v>1275.75</v>
      </c>
      <c r="O56">
        <v>481</v>
      </c>
      <c r="P56">
        <v>7.8</v>
      </c>
      <c r="Q56">
        <v>300</v>
      </c>
      <c r="S56">
        <v>2.0499999999999998</v>
      </c>
      <c r="T56">
        <v>47.7</v>
      </c>
      <c r="U56" s="6">
        <f>SSBR[[#This Row],[NH4-N (mg L-1)]]*1.288</f>
        <v>194.79712000000001</v>
      </c>
      <c r="V56" s="6">
        <f>(SSBR[[#This Row],[NO3-N (mg L-1)]])*4.426</f>
        <v>68.518906000000015</v>
      </c>
      <c r="W56" s="6">
        <f>SSBR[[#This Row],[NO2-N (mg L-1)]]*3.284</f>
        <v>105.807196</v>
      </c>
      <c r="X56">
        <v>151.24</v>
      </c>
      <c r="Y56">
        <v>32.219000000000001</v>
      </c>
      <c r="Z56" s="6">
        <f>IF(SSBR[[#This Row],[TON (mg L-1)]]-SSBR[[#This Row],[NO2-N (mg L-1)]]&lt;0,0.19,SSBR[[#This Row],[TON (mg L-1)]]-SSBR[[#This Row],[NO2-N (mg L-1)]])</f>
        <v>15.481000000000002</v>
      </c>
      <c r="AA56" s="4">
        <f>SUM(SSBR[[#This Row],[NO3-N (mg L-1)]],SSBR[[#This Row],[NO2-N (mg L-1)]],SSBR[[#This Row],[NH4-N (mg L-1)]])</f>
        <v>198.94</v>
      </c>
      <c r="AB56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1.4740159579532688E-2</v>
      </c>
      <c r="AC56" s="48">
        <f>IF(IFERROR(SSBR[[#This Row],[NO2-N (mg L-1)]]/SSBR[[#This Row],[NH4-N (mg L-1)]],0)&lt;0,0,IFERROR(SSBR[[#This Row],[NO2-N (mg L-1)]]/SSBR[[#This Row],[NH4-N (mg L-1)]],0))</f>
        <v>0.21303226659613858</v>
      </c>
      <c r="AD56" s="48">
        <f>SSBR[[#This Row],[NO2-N (mg L-1)]]/(SSBR[[#This Row],[NO3-N (mg L-1)]]+SSBR[[#This Row],[NO2-N (mg L-1)]])</f>
        <v>0.67545073375262055</v>
      </c>
      <c r="AE56" s="20">
        <f>46/14*SSBR[[#This Row],[NO2-N (mg L-1)]]/(EXP(-2300/(SSBR[[#This Row],[Temp. (°C)]]+273))*10^(SSBR[[#This Row],[pHreactor]]))</f>
        <v>3.9023468932758258E-2</v>
      </c>
      <c r="AF56" s="20">
        <f>17/14*(SSBR[NH4-N (mg L-1)]*10^SSBR[[#This Row],[pHreactor]])/(EXP((6344/(273+SSBR[[#This Row],[Temp. (°C)]])))+10^SSBR[pHreactor])</f>
        <v>0.55837663264516868</v>
      </c>
      <c r="AG56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1002.56</v>
      </c>
      <c r="AH56" s="19">
        <f>IFERROR(IF(Influent[[#This Row],[COD (mg L-1)]]-SSBR[[#This Row],[COD (mg L-1)]]&lt;0,0,Influent[[#This Row],[COD (mg L-1)]]-SSBR[[#This Row],[COD (mg L-1)]]),0)</f>
        <v>650</v>
      </c>
      <c r="AI56" s="20">
        <f>Influent[[#This Row],[COD (mg L-1)]]/SSBR[HRT (h)]*24/1000</f>
        <v>0.79577124999999993</v>
      </c>
      <c r="AJ56" s="20">
        <f>IF(((SSBR[[#This Row],[ΔC   (mg L-1)]])/SSBR[[#This Row],[HRT (h)]]*24/1000) &lt;0,0, (SSBR[[#This Row],[ΔC   (mg L-1)]])/SSBR[HRT (h)]*24/1000)</f>
        <v>0.23247249999999997</v>
      </c>
      <c r="AK56" s="6">
        <f>IF(IFERROR((Influent[[#This Row],[NH4-N (mg L-1)]])*SSBR[ARE (%)]/SSBR[HRT (h)]*24/1000,0)&lt;0,0,IFERROR((Influent[[#This Row],[NH4-N (mg L-1)]])*SSBR[ARE (%)]/SSBR[HRT (h)]*24/1000,0))</f>
        <v>0.37562548900000003</v>
      </c>
      <c r="AL56" s="20">
        <f>Influent[[#This Row],[TN (mg L-1)]]/SSBR[[#This Row],[HRT (h)]]*24/1000</f>
        <v>0.42978800499999997</v>
      </c>
      <c r="AM56" s="20">
        <f>SSBR[[#This Row],[NLR (kg N m-3 d-1)]]*SSBR[[#This Row],[NRE (%)]]</f>
        <v>0.35863711399999992</v>
      </c>
      <c r="AN56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0.87412401165210152</v>
      </c>
      <c r="AO56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0.8344511941416326</v>
      </c>
      <c r="AP56" s="6"/>
    </row>
    <row r="57" spans="1:43" x14ac:dyDescent="0.3">
      <c r="A57" s="3">
        <v>43380</v>
      </c>
      <c r="B57" s="29">
        <v>54</v>
      </c>
      <c r="C57" s="27">
        <v>747.7</v>
      </c>
      <c r="D57" s="28">
        <f t="shared" si="3"/>
        <v>17.944800000000001</v>
      </c>
      <c r="E57" s="42">
        <v>1</v>
      </c>
      <c r="F57" s="163">
        <v>4</v>
      </c>
      <c r="G57" s="41">
        <f>IFERROR(Information!$R$40/(SSBR[[#This Row],[Flow (L h-1)]]*SSBR[[#This Row],[Batch cycles]]*SSBR[[#This Row],[Cycle duration (h)]]/1000)*24,0)</f>
        <v>64.196870402567868</v>
      </c>
      <c r="H57" s="28">
        <v>0.14687065368567481</v>
      </c>
      <c r="I57" s="28">
        <v>6.811801112656501</v>
      </c>
      <c r="J57" s="41">
        <v>20.712430555555571</v>
      </c>
      <c r="K57" s="41"/>
      <c r="L57" s="41"/>
      <c r="M57">
        <v>1550</v>
      </c>
      <c r="N57" s="29">
        <f>SSBR[[#This Row],[COD (mg L-1)]]*Information!$AK$41</f>
        <v>1255.5</v>
      </c>
      <c r="O57">
        <v>583</v>
      </c>
      <c r="P57">
        <v>7.8</v>
      </c>
      <c r="Q57">
        <v>280</v>
      </c>
      <c r="S57">
        <v>2.16</v>
      </c>
      <c r="T57">
        <v>52.6</v>
      </c>
      <c r="U57" s="6">
        <f>SSBR[[#This Row],[NH4-N (mg L-1)]]*1.288</f>
        <v>197.72087999999999</v>
      </c>
      <c r="V57" s="6">
        <f>(SSBR[[#This Row],[NO3-N (mg L-1)]])*4.426</f>
        <v>72.913924000000023</v>
      </c>
      <c r="W57" s="6">
        <f>SSBR[[#This Row],[NO2-N (mg L-1)]]*3.284</f>
        <v>118.63778399999998</v>
      </c>
      <c r="X57">
        <v>153.51</v>
      </c>
      <c r="Y57">
        <v>36.125999999999998</v>
      </c>
      <c r="Z57" s="6">
        <f>IF(SSBR[[#This Row],[TON (mg L-1)]]-SSBR[[#This Row],[NO2-N (mg L-1)]]&lt;0,0.19,SSBR[[#This Row],[TON (mg L-1)]]-SSBR[[#This Row],[NO2-N (mg L-1)]])</f>
        <v>16.474000000000004</v>
      </c>
      <c r="AA57" s="4">
        <f>SUM(SSBR[[#This Row],[NO3-N (mg L-1)]],SSBR[[#This Row],[NO2-N (mg L-1)]],SSBR[[#This Row],[NH4-N (mg L-1)]])</f>
        <v>206.10999999999999</v>
      </c>
      <c r="AB57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1.4660627041265832E-2</v>
      </c>
      <c r="AC57" s="48">
        <f>IF(IFERROR(SSBR[[#This Row],[NO2-N (mg L-1)]]/SSBR[[#This Row],[NH4-N (mg L-1)]],0)&lt;0,0,IFERROR(SSBR[[#This Row],[NO2-N (mg L-1)]]/SSBR[[#This Row],[NH4-N (mg L-1)]],0))</f>
        <v>0.23533320304866132</v>
      </c>
      <c r="AD57" s="48">
        <f>SSBR[[#This Row],[NO2-N (mg L-1)]]/(SSBR[[#This Row],[NO3-N (mg L-1)]]+SSBR[[#This Row],[NO2-N (mg L-1)]])</f>
        <v>0.68680608365019002</v>
      </c>
      <c r="AE57" s="20">
        <f>46/14*SSBR[[#This Row],[NO2-N (mg L-1)]]/(EXP(-2300/(SSBR[[#This Row],[Temp. (°C)]]+273))*10^(SSBR[[#This Row],[pHreactor]]))</f>
        <v>4.6080470902651306E-2</v>
      </c>
      <c r="AF57" s="20">
        <f>17/14*(SSBR[NH4-N (mg L-1)]*10^SSBR[[#This Row],[pHreactor]])/(EXP((6344/(273+SSBR[[#This Row],[Temp. (°C)]])))+10^SSBR[pHreactor])</f>
        <v>0.5018867031986588</v>
      </c>
      <c r="AG57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1071.0900000000001</v>
      </c>
      <c r="AH57" s="19">
        <f>IFERROR(IF(Influent[[#This Row],[COD (mg L-1)]]-SSBR[[#This Row],[COD (mg L-1)]]&lt;0,0,Influent[[#This Row],[COD (mg L-1)]]-SSBR[[#This Row],[COD (mg L-1)]]),0)</f>
        <v>685</v>
      </c>
      <c r="AI57" s="20">
        <f>Influent[[#This Row],[COD (mg L-1)]]/SSBR[HRT (h)]*24/1000</f>
        <v>0.83555475000000001</v>
      </c>
      <c r="AJ57" s="20">
        <f>IF(((SSBR[[#This Row],[ΔC   (mg L-1)]])/SSBR[[#This Row],[HRT (h)]]*24/1000) &lt;0,0, (SSBR[[#This Row],[ΔC   (mg L-1)]])/SSBR[HRT (h)]*24/1000)</f>
        <v>0.25608725000000004</v>
      </c>
      <c r="AK57" s="6">
        <f>IF(IFERROR((Influent[[#This Row],[NH4-N (mg L-1)]])*SSBR[ARE (%)]/SSBR[HRT (h)]*24/1000,0)&lt;0,0,IFERROR((Influent[[#This Row],[NH4-N (mg L-1)]])*SSBR[ARE (%)]/SSBR[HRT (h)]*24/1000,0))</f>
        <v>0.42009150650000004</v>
      </c>
      <c r="AL57" s="20">
        <f>Influent[[#This Row],[TN (mg L-1)]]/SSBR[[#This Row],[HRT (h)]]*24/1000</f>
        <v>0.47804199500000005</v>
      </c>
      <c r="AM57" s="20">
        <f>SSBR[[#This Row],[NLR (kg N m-3 d-1)]]*SSBR[[#This Row],[NRE (%)]]</f>
        <v>0.40098777150000003</v>
      </c>
      <c r="AN57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0.87980739116818041</v>
      </c>
      <c r="AO57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0.83881285680769535</v>
      </c>
      <c r="AP57" s="6"/>
    </row>
    <row r="58" spans="1:43" x14ac:dyDescent="0.3">
      <c r="A58" s="3">
        <v>43381</v>
      </c>
      <c r="B58" s="29">
        <v>55</v>
      </c>
      <c r="C58" s="27">
        <v>755.5</v>
      </c>
      <c r="D58" s="28">
        <f t="shared" si="3"/>
        <v>18.131999999999998</v>
      </c>
      <c r="E58" s="42">
        <v>1</v>
      </c>
      <c r="F58" s="163">
        <v>4</v>
      </c>
      <c r="G58" s="41">
        <f>IFERROR(Information!$R$40/(SSBR[[#This Row],[Flow (L h-1)]]*SSBR[[#This Row],[Batch cycles]]*SSBR[[#This Row],[Cycle duration (h)]]/1000)*24,0)</f>
        <v>63.534083388484447</v>
      </c>
      <c r="H58" s="28">
        <v>0.19396252602359529</v>
      </c>
      <c r="I58" s="28">
        <v>6.8281561415683978</v>
      </c>
      <c r="J58" s="41">
        <v>21.635103448275871</v>
      </c>
      <c r="K58" s="41">
        <v>8020</v>
      </c>
      <c r="L58" s="41">
        <v>4640</v>
      </c>
      <c r="M58">
        <v>1620</v>
      </c>
      <c r="N58" s="29">
        <f>SSBR[[#This Row],[COD (mg L-1)]]*Information!$AK$41</f>
        <v>1312.2</v>
      </c>
      <c r="O58">
        <v>582</v>
      </c>
      <c r="P58">
        <v>7.9</v>
      </c>
      <c r="Q58">
        <v>220</v>
      </c>
      <c r="S58">
        <v>2.2000000000000002</v>
      </c>
      <c r="T58">
        <v>60.7</v>
      </c>
      <c r="U58" s="6">
        <f>SSBR[[#This Row],[NH4-N (mg L-1)]]*1.288</f>
        <v>211.43808000000001</v>
      </c>
      <c r="V58" s="6">
        <f>(SSBR[[#This Row],[NO3-N (mg L-1)]])*4.426</f>
        <v>19.695700000000013</v>
      </c>
      <c r="W58" s="6">
        <f>SSBR[[#This Row],[NO2-N (mg L-1)]]*3.284</f>
        <v>184.72499999999999</v>
      </c>
      <c r="X58">
        <v>164.16</v>
      </c>
      <c r="Y58">
        <v>56.25</v>
      </c>
      <c r="Z58" s="6">
        <f>IF(SSBR[[#This Row],[TON (mg L-1)]]-SSBR[[#This Row],[NO2-N (mg L-1)]]&lt;0,0.19,SSBR[[#This Row],[TON (mg L-1)]]-SSBR[[#This Row],[NO2-N (mg L-1)]])</f>
        <v>4.4500000000000028</v>
      </c>
      <c r="AA58" s="4">
        <f>SUM(SSBR[[#This Row],[NO3-N (mg L-1)]],SSBR[[#This Row],[NO2-N (mg L-1)]],SSBR[[#This Row],[NH4-N (mg L-1)]])</f>
        <v>224.86</v>
      </c>
      <c r="AB58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4.0222716343981087E-3</v>
      </c>
      <c r="AC58" s="48">
        <f>IF(IFERROR(SSBR[[#This Row],[NO2-N (mg L-1)]]/SSBR[[#This Row],[NH4-N (mg L-1)]],0)&lt;0,0,IFERROR(SSBR[[#This Row],[NO2-N (mg L-1)]]/SSBR[[#This Row],[NH4-N (mg L-1)]],0))</f>
        <v>0.34265350877192985</v>
      </c>
      <c r="AD58" s="48">
        <f>SSBR[[#This Row],[NO2-N (mg L-1)]]/(SSBR[[#This Row],[NO3-N (mg L-1)]]+SSBR[[#This Row],[NO2-N (mg L-1)]])</f>
        <v>0.92668863261943979</v>
      </c>
      <c r="AE58" s="20">
        <f>46/14*SSBR[[#This Row],[NO2-N (mg L-1)]]/(EXP(-2300/(SSBR[[#This Row],[Temp. (°C)]]+273))*10^(SSBR[[#This Row],[pHreactor]]))</f>
        <v>6.7423989043898458E-2</v>
      </c>
      <c r="AF58" s="20">
        <f>17/14*(SSBR[NH4-N (mg L-1)]*10^SSBR[[#This Row],[pHreactor]])/(EXP((6344/(273+SSBR[[#This Row],[Temp. (°C)]])))+10^SSBR[pHreactor])</f>
        <v>0.59612492353204416</v>
      </c>
      <c r="AG58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1045.6399999999999</v>
      </c>
      <c r="AH58" s="19">
        <f>IFERROR(IF(Influent[[#This Row],[COD (mg L-1)]]-SSBR[[#This Row],[COD (mg L-1)]]&lt;0,0,Influent[[#This Row],[COD (mg L-1)]]-SSBR[[#This Row],[COD (mg L-1)]]),0)</f>
        <v>795</v>
      </c>
      <c r="AI58" s="20">
        <f>Influent[[#This Row],[COD (mg L-1)]]/SSBR[HRT (h)]*24/1000</f>
        <v>0.91226625000000006</v>
      </c>
      <c r="AJ58" s="20">
        <f>IF(((SSBR[[#This Row],[ΔC   (mg L-1)]])/SSBR[[#This Row],[HRT (h)]]*24/1000) &lt;0,0, (SSBR[[#This Row],[ΔC   (mg L-1)]])/SSBR[HRT (h)]*24/1000)</f>
        <v>0.30031125000000003</v>
      </c>
      <c r="AK58" s="6">
        <f>IF(IFERROR((Influent[[#This Row],[NH4-N (mg L-1)]])*SSBR[ARE (%)]/SSBR[HRT (h)]*24/1000,0)&lt;0,0,IFERROR((Influent[[#This Row],[NH4-N (mg L-1)]])*SSBR[ARE (%)]/SSBR[HRT (h)]*24/1000,0))</f>
        <v>0.41791993500000002</v>
      </c>
      <c r="AL58" s="20">
        <f>Influent[[#This Row],[TN (mg L-1)]]/SSBR[[#This Row],[HRT (h)]]*24/1000</f>
        <v>0.48642678624999997</v>
      </c>
      <c r="AM58" s="20">
        <f>SSBR[[#This Row],[NLR (kg N m-3 d-1)]]*SSBR[[#This Row],[NRE (%)]]</f>
        <v>0.40148592124999999</v>
      </c>
      <c r="AN58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0.8707910271546635</v>
      </c>
      <c r="AO58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0.8253779039291137</v>
      </c>
      <c r="AP58" s="6"/>
      <c r="AQ58" t="s">
        <v>554</v>
      </c>
    </row>
    <row r="59" spans="1:43" x14ac:dyDescent="0.3">
      <c r="A59" s="3">
        <v>43382</v>
      </c>
      <c r="B59" s="29">
        <v>56</v>
      </c>
      <c r="C59" s="27">
        <v>731.6</v>
      </c>
      <c r="D59" s="28">
        <f t="shared" si="3"/>
        <v>17.558399999999999</v>
      </c>
      <c r="E59" s="42">
        <v>1</v>
      </c>
      <c r="F59" s="163">
        <v>4</v>
      </c>
      <c r="G59" s="41">
        <f>IFERROR(Information!$R$40/(SSBR[[#This Row],[Flow (L h-1)]]*SSBR[[#This Row],[Batch cycles]]*SSBR[[#This Row],[Cycle duration (h)]]/1000)*24,0)</f>
        <v>65.609622744669224</v>
      </c>
      <c r="H59" s="28">
        <v>0.16741845940319261</v>
      </c>
      <c r="I59" s="28">
        <v>6.8095801526717858</v>
      </c>
      <c r="J59" s="41">
        <v>22.737999999999989</v>
      </c>
      <c r="K59" s="41"/>
      <c r="L59" s="41"/>
      <c r="M59">
        <v>1520</v>
      </c>
      <c r="N59" s="29">
        <f>SSBR[[#This Row],[COD (mg L-1)]]*Information!$AK$41</f>
        <v>1231.2</v>
      </c>
      <c r="O59">
        <v>585</v>
      </c>
      <c r="P59">
        <v>7.9</v>
      </c>
      <c r="Q59">
        <v>52</v>
      </c>
      <c r="S59">
        <v>2.4500000000000002</v>
      </c>
      <c r="T59">
        <v>78.3</v>
      </c>
      <c r="U59" s="6">
        <f>SSBR[[#This Row],[NH4-N (mg L-1)]]*1.288</f>
        <v>216.64159999999998</v>
      </c>
      <c r="V59" s="6">
        <f>(SSBR[[#This Row],[NO3-N (mg L-1)]])*4.426</f>
        <v>102.89564799999999</v>
      </c>
      <c r="W59" s="6">
        <f>SSBR[[#This Row],[NO2-N (mg L-1)]]*3.284</f>
        <v>180.79076799999999</v>
      </c>
      <c r="X59">
        <v>168.2</v>
      </c>
      <c r="Y59">
        <v>55.052</v>
      </c>
      <c r="Z59" s="6">
        <f>IF(SSBR[[#This Row],[TON (mg L-1)]]-SSBR[[#This Row],[NO2-N (mg L-1)]]&lt;0,0.19,SSBR[[#This Row],[TON (mg L-1)]]-SSBR[[#This Row],[NO2-N (mg L-1)]])</f>
        <v>23.247999999999998</v>
      </c>
      <c r="AA59" s="4">
        <f>SUM(SSBR[[#This Row],[NO3-N (mg L-1)]],SSBR[[#This Row],[NO2-N (mg L-1)]],SSBR[[#This Row],[NH4-N (mg L-1)]])</f>
        <v>246.5</v>
      </c>
      <c r="AB59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2.0256164502918877E-2</v>
      </c>
      <c r="AC59" s="48">
        <f>IF(IFERROR(SSBR[[#This Row],[NO2-N (mg L-1)]]/SSBR[[#This Row],[NH4-N (mg L-1)]],0)&lt;0,0,IFERROR(SSBR[[#This Row],[NO2-N (mg L-1)]]/SSBR[[#This Row],[NH4-N (mg L-1)]],0))</f>
        <v>0.3273008323424495</v>
      </c>
      <c r="AD59" s="48">
        <f>SSBR[[#This Row],[NO2-N (mg L-1)]]/(SSBR[[#This Row],[NO3-N (mg L-1)]]+SSBR[[#This Row],[NO2-N (mg L-1)]])</f>
        <v>0.70309067688378035</v>
      </c>
      <c r="AE59" s="20">
        <f>46/14*SSBR[[#This Row],[NO2-N (mg L-1)]]/(EXP(-2300/(SSBR[[#This Row],[Temp. (°C)]]+273))*10^(SSBR[[#This Row],[pHreactor]]))</f>
        <v>6.6895646648684276E-2</v>
      </c>
      <c r="AF59" s="20">
        <f>17/14*(SSBR[NH4-N (mg L-1)]*10^SSBR[[#This Row],[pHreactor]])/(EXP((6344/(273+SSBR[[#This Row],[Temp. (°C)]])))+10^SSBR[pHreactor])</f>
        <v>0.63407902293776985</v>
      </c>
      <c r="AG59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1069.4000000000001</v>
      </c>
      <c r="AH59" s="19">
        <f>IFERROR(IF(Influent[[#This Row],[COD (mg L-1)]]-SSBR[[#This Row],[COD (mg L-1)]]&lt;0,0,Influent[[#This Row],[COD (mg L-1)]]-SSBR[[#This Row],[COD (mg L-1)]]),0)</f>
        <v>905</v>
      </c>
      <c r="AI59" s="20">
        <f>Influent[[#This Row],[COD (mg L-1)]]/SSBR[HRT (h)]*24/1000</f>
        <v>0.8870650000000001</v>
      </c>
      <c r="AJ59" s="20">
        <f>IF(((SSBR[[#This Row],[ΔC   (mg L-1)]])/SSBR[[#This Row],[HRT (h)]]*24/1000) &lt;0,0, (SSBR[[#This Row],[ΔC   (mg L-1)]])/SSBR[HRT (h)]*24/1000)</f>
        <v>0.33104899999999998</v>
      </c>
      <c r="AK59" s="6">
        <f>IF(IFERROR((Influent[[#This Row],[NH4-N (mg L-1)]])*SSBR[ARE (%)]/SSBR[HRT (h)]*24/1000,0)&lt;0,0,IFERROR((Influent[[#This Row],[NH4-N (mg L-1)]])*SSBR[ARE (%)]/SSBR[HRT (h)]*24/1000,0))</f>
        <v>0.41982865999999996</v>
      </c>
      <c r="AL59" s="20">
        <f>Influent[[#This Row],[TN (mg L-1)]]/SSBR[[#This Row],[HRT (h)]]*24/1000</f>
        <v>0.48142938000000002</v>
      </c>
      <c r="AM59" s="20">
        <f>SSBR[[#This Row],[NLR (kg N m-3 d-1)]]*SSBR[[#This Row],[NRE (%)]]</f>
        <v>0.39125968</v>
      </c>
      <c r="AN59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0.87217873698609316</v>
      </c>
      <c r="AO59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0.81270420180837322</v>
      </c>
      <c r="AP59" s="6"/>
    </row>
    <row r="60" spans="1:43" x14ac:dyDescent="0.3">
      <c r="A60" s="3">
        <v>43383</v>
      </c>
      <c r="B60" s="29">
        <v>57</v>
      </c>
      <c r="C60" s="27">
        <v>736.5</v>
      </c>
      <c r="D60" s="28">
        <f t="shared" si="3"/>
        <v>17.676000000000002</v>
      </c>
      <c r="E60" s="42">
        <v>1</v>
      </c>
      <c r="F60" s="163">
        <v>4</v>
      </c>
      <c r="G60" s="41">
        <f>IFERROR(Information!$R$40/(SSBR[[#This Row],[Flow (L h-1)]]*SSBR[[#This Row],[Batch cycles]]*SSBR[[#This Row],[Cycle duration (h)]]/1000)*24,0)</f>
        <v>65.173116089613032</v>
      </c>
      <c r="H60" s="28">
        <v>0.14072172102706509</v>
      </c>
      <c r="I60" s="28">
        <v>6.7956766134628843</v>
      </c>
      <c r="J60" s="41">
        <v>23.836275862068959</v>
      </c>
      <c r="K60" s="41"/>
      <c r="L60" s="41"/>
      <c r="M60">
        <v>1720</v>
      </c>
      <c r="N60" s="29">
        <f>SSBR[[#This Row],[COD (mg L-1)]]*Information!$AK$41</f>
        <v>1393.2</v>
      </c>
      <c r="O60">
        <v>615</v>
      </c>
      <c r="P60">
        <v>7.8</v>
      </c>
      <c r="Q60">
        <v>62</v>
      </c>
      <c r="S60">
        <v>2.69</v>
      </c>
      <c r="T60">
        <v>75.3</v>
      </c>
      <c r="U60" s="6">
        <f>SSBR[[#This Row],[NH4-N (mg L-1)]]*1.288</f>
        <v>201.73944</v>
      </c>
      <c r="V60" s="6">
        <f>(SSBR[[#This Row],[NO3-N (mg L-1)]])*4.426</f>
        <v>116.59411799999999</v>
      </c>
      <c r="W60" s="6">
        <f>SSBR[[#This Row],[NO2-N (mg L-1)]]*3.284</f>
        <v>160.774788</v>
      </c>
      <c r="X60">
        <v>156.63</v>
      </c>
      <c r="Y60">
        <v>48.957000000000001</v>
      </c>
      <c r="Z60" s="6">
        <f>IF(SSBR[[#This Row],[TON (mg L-1)]]-SSBR[[#This Row],[NO2-N (mg L-1)]]&lt;0,0.19,SSBR[[#This Row],[TON (mg L-1)]]-SSBR[[#This Row],[NO2-N (mg L-1)]])</f>
        <v>26.342999999999996</v>
      </c>
      <c r="AA60" s="4">
        <f>SUM(SSBR[[#This Row],[NO3-N (mg L-1)]],SSBR[[#This Row],[NO2-N (mg L-1)]],SSBR[[#This Row],[NH4-N (mg L-1)]])</f>
        <v>231.93</v>
      </c>
      <c r="AB60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2.2784711590856013E-2</v>
      </c>
      <c r="AC60" s="48">
        <f>IF(IFERROR(SSBR[[#This Row],[NO2-N (mg L-1)]]/SSBR[[#This Row],[NH4-N (mg L-1)]],0)&lt;0,0,IFERROR(SSBR[[#This Row],[NO2-N (mg L-1)]]/SSBR[[#This Row],[NH4-N (mg L-1)]],0))</f>
        <v>0.3125646427887378</v>
      </c>
      <c r="AD60" s="48">
        <f>SSBR[[#This Row],[NO2-N (mg L-1)]]/(SSBR[[#This Row],[NO3-N (mg L-1)]]+SSBR[[#This Row],[NO2-N (mg L-1)]])</f>
        <v>0.65015936254980078</v>
      </c>
      <c r="AE60" s="20">
        <f>46/14*SSBR[[#This Row],[NO2-N (mg L-1)]]/(EXP(-2300/(SSBR[[#This Row],[Temp. (°C)]]+273))*10^(SSBR[[#This Row],[pHreactor]]))</f>
        <v>5.9682399079552938E-2</v>
      </c>
      <c r="AF60" s="20">
        <f>17/14*(SSBR[NH4-N (mg L-1)]*10^SSBR[[#This Row],[pHreactor]])/(EXP((6344/(273+SSBR[[#This Row],[Temp. (°C)]])))+10^SSBR[pHreactor])</f>
        <v>0.61900322437723199</v>
      </c>
      <c r="AG60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1080.8699999999999</v>
      </c>
      <c r="AH60" s="19">
        <f>IFERROR(IF(Influent[[#This Row],[COD (mg L-1)]]-SSBR[[#This Row],[COD (mg L-1)]]&lt;0,0,Influent[[#This Row],[COD (mg L-1)]]-SSBR[[#This Row],[COD (mg L-1)]]),0)</f>
        <v>725</v>
      </c>
      <c r="AI60" s="20">
        <f>Influent[[#This Row],[COD (mg L-1)]]/SSBR[HRT (h)]*24/1000</f>
        <v>0.90037125000000018</v>
      </c>
      <c r="AJ60" s="20">
        <f>IF(((SSBR[[#This Row],[ΔC   (mg L-1)]])/SSBR[[#This Row],[HRT (h)]]*24/1000) &lt;0,0, (SSBR[[#This Row],[ΔC   (mg L-1)]])/SSBR[HRT (h)]*24/1000)</f>
        <v>0.26698125000000006</v>
      </c>
      <c r="AK60" s="6">
        <f>IF(IFERROR((Influent[[#This Row],[NH4-N (mg L-1)]])*SSBR[ARE (%)]/SSBR[HRT (h)]*24/1000,0)&lt;0,0,IFERROR((Influent[[#This Row],[NH4-N (mg L-1)]])*SSBR[ARE (%)]/SSBR[HRT (h)]*24/1000,0))</f>
        <v>0.4257596025</v>
      </c>
      <c r="AL60" s="20">
        <f>Influent[[#This Row],[TN (mg L-1)]]/SSBR[[#This Row],[HRT (h)]]*24/1000</f>
        <v>0.48351224999999998</v>
      </c>
      <c r="AM60" s="20">
        <f>SSBR[[#This Row],[NLR (kg N m-3 d-1)]]*SSBR[[#This Row],[NRE (%)]]</f>
        <v>0.39810402749999996</v>
      </c>
      <c r="AN60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0.88069012797074964</v>
      </c>
      <c r="AO60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0.8233587204874333</v>
      </c>
      <c r="AP60" s="6"/>
    </row>
    <row r="61" spans="1:43" x14ac:dyDescent="0.3">
      <c r="A61" s="3">
        <v>43384</v>
      </c>
      <c r="B61" s="29">
        <v>58</v>
      </c>
      <c r="C61" s="27">
        <v>727.2</v>
      </c>
      <c r="D61" s="28">
        <f t="shared" si="3"/>
        <v>17.452800000000003</v>
      </c>
      <c r="E61" s="42">
        <v>1</v>
      </c>
      <c r="F61" s="163">
        <v>4</v>
      </c>
      <c r="G61" s="41">
        <f>IFERROR(Information!$R$40/(SSBR[[#This Row],[Flow (L h-1)]]*SSBR[[#This Row],[Batch cycles]]*SSBR[[#This Row],[Cycle duration (h)]]/1000)*24,0)</f>
        <v>66.006600660065999</v>
      </c>
      <c r="H61" s="28">
        <v>0.14113115891741859</v>
      </c>
      <c r="I61" s="28">
        <v>6.8139875086745416</v>
      </c>
      <c r="J61" s="41">
        <v>24.347586206896551</v>
      </c>
      <c r="K61" s="41">
        <v>7360</v>
      </c>
      <c r="L61" s="41">
        <v>3820</v>
      </c>
      <c r="M61">
        <v>1560</v>
      </c>
      <c r="N61" s="29">
        <f>SSBR[[#This Row],[COD (mg L-1)]]*Information!$AK$41</f>
        <v>1263.6000000000001</v>
      </c>
      <c r="O61">
        <v>610</v>
      </c>
      <c r="P61">
        <v>7.9</v>
      </c>
      <c r="Q61">
        <v>60</v>
      </c>
      <c r="S61">
        <v>2.74</v>
      </c>
      <c r="T61">
        <v>69.599999999999994</v>
      </c>
      <c r="U61" s="6">
        <f>SSBR[[#This Row],[NH4-N (mg L-1)]]*1.288</f>
        <v>205.13976000000002</v>
      </c>
      <c r="V61" s="6">
        <f>(SSBR[[#This Row],[NO3-N (mg L-1)]])*4.426</f>
        <v>308.01419199999998</v>
      </c>
      <c r="W61" s="6">
        <f>SSBR[[#This Row],[NO2-N (mg L-1)]]*3.284</f>
        <v>2.6272E-2</v>
      </c>
      <c r="X61">
        <v>159.27000000000001</v>
      </c>
      <c r="Y61">
        <v>8.0000000000000002E-3</v>
      </c>
      <c r="Z61" s="6">
        <f>IF(SSBR[[#This Row],[TON (mg L-1)]]-SSBR[[#This Row],[NO2-N (mg L-1)]]&lt;0,0.19,SSBR[[#This Row],[TON (mg L-1)]]-SSBR[[#This Row],[NO2-N (mg L-1)]])</f>
        <v>69.591999999999999</v>
      </c>
      <c r="AA61" s="4">
        <f>SUM(SSBR[[#This Row],[NO3-N (mg L-1)]],SSBR[[#This Row],[NO2-N (mg L-1)]],SSBR[[#This Row],[NH4-N (mg L-1)]])</f>
        <v>228.87</v>
      </c>
      <c r="AB61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5.9647047731694561E-2</v>
      </c>
      <c r="AC61" s="48">
        <f>IF(IFERROR(SSBR[[#This Row],[NO2-N (mg L-1)]]/SSBR[[#This Row],[NH4-N (mg L-1)]],0)&lt;0,0,IFERROR(SSBR[[#This Row],[NO2-N (mg L-1)]]/SSBR[[#This Row],[NH4-N (mg L-1)]],0))</f>
        <v>5.0229170590820614E-5</v>
      </c>
      <c r="AD61" s="48">
        <f>SSBR[[#This Row],[NO2-N (mg L-1)]]/(SSBR[[#This Row],[NO3-N (mg L-1)]]+SSBR[[#This Row],[NO2-N (mg L-1)]])</f>
        <v>1.1494252873563219E-4</v>
      </c>
      <c r="AE61" s="20">
        <f>46/14*SSBR[[#This Row],[NO2-N (mg L-1)]]/(EXP(-2300/(SSBR[[#This Row],[Temp. (°C)]]+273))*10^(SSBR[[#This Row],[pHreactor]]))</f>
        <v>9.2262257165379637E-6</v>
      </c>
      <c r="AF61" s="20">
        <f>17/14*(SSBR[NH4-N (mg L-1)]*10^SSBR[[#This Row],[pHreactor]])/(EXP((6344/(273+SSBR[[#This Row],[Temp. (°C)]])))+10^SSBR[pHreactor])</f>
        <v>0.68093780843046992</v>
      </c>
      <c r="AG61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1097.1299999999999</v>
      </c>
      <c r="AH61" s="19">
        <f>IFERROR(IF(Influent[[#This Row],[COD (mg L-1)]]-SSBR[[#This Row],[COD (mg L-1)]]&lt;0,0,Influent[[#This Row],[COD (mg L-1)]]-SSBR[[#This Row],[COD (mg L-1)]]),0)</f>
        <v>880</v>
      </c>
      <c r="AI61" s="20">
        <f>Influent[[#This Row],[COD (mg L-1)]]/SSBR[HRT (h)]*24/1000</f>
        <v>0.88718399999999997</v>
      </c>
      <c r="AJ61" s="20">
        <f>IF(((SSBR[[#This Row],[ΔC   (mg L-1)]])/SSBR[[#This Row],[HRT (h)]]*24/1000) &lt;0,0, (SSBR[[#This Row],[ΔC   (mg L-1)]])/SSBR[HRT (h)]*24/1000)</f>
        <v>0.31996800000000003</v>
      </c>
      <c r="AK61" s="6">
        <f>IF(IFERROR((Influent[[#This Row],[NH4-N (mg L-1)]])*SSBR[ARE (%)]/SSBR[HRT (h)]*24/1000,0)&lt;0,0,IFERROR((Influent[[#This Row],[NH4-N (mg L-1)]])*SSBR[ARE (%)]/SSBR[HRT (h)]*24/1000,0))</f>
        <v>0.424223028</v>
      </c>
      <c r="AL61" s="20">
        <f>Influent[[#This Row],[TN (mg L-1)]]/SSBR[[#This Row],[HRT (h)]]*24/1000</f>
        <v>0.48555144000000006</v>
      </c>
      <c r="AM61" s="20">
        <f>SSBR[[#This Row],[NLR (kg N m-3 d-1)]]*SSBR[[#This Row],[NRE (%)]]</f>
        <v>0.40233430800000008</v>
      </c>
      <c r="AN61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0.8798868778280543</v>
      </c>
      <c r="AO61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0.82861314961809207</v>
      </c>
      <c r="AP61" s="6"/>
    </row>
    <row r="62" spans="1:43" x14ac:dyDescent="0.3">
      <c r="A62" s="3">
        <v>43385</v>
      </c>
      <c r="B62" s="29">
        <v>59</v>
      </c>
      <c r="C62" s="27">
        <v>743.7</v>
      </c>
      <c r="D62" s="28">
        <f t="shared" si="3"/>
        <v>17.848800000000001</v>
      </c>
      <c r="E62" s="42">
        <v>1</v>
      </c>
      <c r="F62" s="163">
        <v>4</v>
      </c>
      <c r="G62" s="41">
        <f>IFERROR(Information!$R$40/(SSBR[[#This Row],[Flow (L h-1)]]*SSBR[[#This Row],[Batch cycles]]*SSBR[[#This Row],[Cycle duration (h)]]/1000)*24,0)</f>
        <v>64.542154094392899</v>
      </c>
      <c r="H62" s="28">
        <v>0.13693268563497621</v>
      </c>
      <c r="I62" s="28">
        <v>6.802654406662068</v>
      </c>
      <c r="J62" s="41">
        <v>24.301241379310369</v>
      </c>
      <c r="K62" s="41">
        <f>stableSSBR[[#This Row],[MLVSS 
(mg L-1)]]/0.46</f>
        <v>5391.304347826087</v>
      </c>
      <c r="L62" s="41">
        <f>1240*2</f>
        <v>2480</v>
      </c>
      <c r="M62">
        <v>1570</v>
      </c>
      <c r="N62" s="29">
        <f>SSBR[[#This Row],[COD (mg L-1)]]*Information!$AK$41</f>
        <v>1271.7</v>
      </c>
      <c r="O62">
        <v>574</v>
      </c>
      <c r="P62">
        <v>7.9</v>
      </c>
      <c r="Q62">
        <v>58</v>
      </c>
      <c r="S62">
        <v>2.89</v>
      </c>
      <c r="T62">
        <v>46.2</v>
      </c>
      <c r="U62" s="6">
        <f>SSBR[[#This Row],[NH4-N (mg L-1)]]*1.288</f>
        <v>196.12376</v>
      </c>
      <c r="V62" s="6">
        <f>(SSBR[[#This Row],[NO3-N (mg L-1)]])*4.426</f>
        <v>204.44579200000001</v>
      </c>
      <c r="W62" s="6">
        <f>SSBR[[#This Row],[NO2-N (mg L-1)]]*3.284</f>
        <v>2.6272E-2</v>
      </c>
      <c r="X62">
        <v>152.27000000000001</v>
      </c>
      <c r="Y62">
        <v>8.0000000000000002E-3</v>
      </c>
      <c r="Z62" s="6">
        <f>IF(SSBR[[#This Row],[TON (mg L-1)]]-SSBR[[#This Row],[NO2-N (mg L-1)]]&lt;0,0.19,SSBR[[#This Row],[TON (mg L-1)]]-SSBR[[#This Row],[NO2-N (mg L-1)]])</f>
        <v>46.192</v>
      </c>
      <c r="AA62" s="4">
        <f>SUM(SSBR[[#This Row],[NO3-N (mg L-1)]],SSBR[[#This Row],[NO2-N (mg L-1)]],SSBR[[#This Row],[NH4-N (mg L-1)]])</f>
        <v>198.47000000000003</v>
      </c>
      <c r="AB62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3.6994145583559575E-2</v>
      </c>
      <c r="AC62" s="48">
        <f>IF(IFERROR(SSBR[[#This Row],[NO2-N (mg L-1)]]/SSBR[[#This Row],[NH4-N (mg L-1)]],0)&lt;0,0,IFERROR(SSBR[[#This Row],[NO2-N (mg L-1)]]/SSBR[[#This Row],[NH4-N (mg L-1)]],0))</f>
        <v>5.2538254416497009E-5</v>
      </c>
      <c r="AD62" s="48">
        <f>SSBR[[#This Row],[NO2-N (mg L-1)]]/(SSBR[[#This Row],[NO3-N (mg L-1)]]+SSBR[[#This Row],[NO2-N (mg L-1)]])</f>
        <v>1.7316017316017316E-4</v>
      </c>
      <c r="AE62" s="20">
        <f>46/14*SSBR[[#This Row],[NO2-N (mg L-1)]]/(EXP(-2300/(SSBR[[#This Row],[Temp. (°C)]]+273))*10^(SSBR[[#This Row],[pHreactor]]))</f>
        <v>9.4815827733971916E-6</v>
      </c>
      <c r="AF62" s="20">
        <f>17/14*(SSBR[NH4-N (mg L-1)]*10^SSBR[[#This Row],[pHreactor]])/(EXP((6344/(273+SSBR[[#This Row],[Temp. (°C)]])))+10^SSBR[pHreactor])</f>
        <v>0.63220022918300878</v>
      </c>
      <c r="AG62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1202.43</v>
      </c>
      <c r="AH62" s="19">
        <f>IFERROR(IF(Influent[[#This Row],[COD (mg L-1)]]-SSBR[[#This Row],[COD (mg L-1)]]&lt;0,0,Influent[[#This Row],[COD (mg L-1)]]-SSBR[[#This Row],[COD (mg L-1)]]),0)</f>
        <v>925</v>
      </c>
      <c r="AI62" s="20">
        <f>Influent[[#This Row],[COD (mg L-1)]]/SSBR[HRT (h)]*24/1000</f>
        <v>0.92776575000000006</v>
      </c>
      <c r="AJ62" s="20">
        <f>IF(((SSBR[[#This Row],[ΔC   (mg L-1)]])/SSBR[[#This Row],[HRT (h)]]*24/1000) &lt;0,0, (SSBR[[#This Row],[ΔC   (mg L-1)]])/SSBR[HRT (h)]*24/1000)</f>
        <v>0.34396125</v>
      </c>
      <c r="AK62" s="6">
        <f>IF(IFERROR((Influent[[#This Row],[NH4-N (mg L-1)]])*SSBR[ARE (%)]/SSBR[HRT (h)]*24/1000,0)&lt;0,0,IFERROR((Influent[[#This Row],[NH4-N (mg L-1)]])*SSBR[ARE (%)]/SSBR[HRT (h)]*24/1000,0))</f>
        <v>0.46430306550000006</v>
      </c>
      <c r="AL62" s="20">
        <f>Influent[[#This Row],[TN (mg L-1)]]/SSBR[[#This Row],[HRT (h)]]*24/1000</f>
        <v>0.52403853690000002</v>
      </c>
      <c r="AM62" s="20">
        <f>SSBR[[#This Row],[NLR (kg N m-3 d-1)]]*SSBR[[#This Row],[NRE (%)]]</f>
        <v>0.45023746739999998</v>
      </c>
      <c r="AN62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0.89130558926404457</v>
      </c>
      <c r="AO62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0.85916862157394513</v>
      </c>
      <c r="AP62" s="6">
        <v>3.6999999999999998E-2</v>
      </c>
    </row>
    <row r="63" spans="1:43" x14ac:dyDescent="0.3">
      <c r="A63" s="3">
        <v>43386</v>
      </c>
      <c r="B63" s="29">
        <v>60</v>
      </c>
      <c r="C63" s="27">
        <v>711.3</v>
      </c>
      <c r="D63" s="28">
        <f t="shared" si="3"/>
        <v>17.071199999999997</v>
      </c>
      <c r="E63" s="42">
        <v>1</v>
      </c>
      <c r="F63" s="163">
        <v>4</v>
      </c>
      <c r="G63" s="41">
        <f>IFERROR(Information!$R$40/(SSBR[[#This Row],[Flow (L h-1)]]*SSBR[[#This Row],[Batch cycles]]*SSBR[[#This Row],[Cycle duration (h)]]/1000)*24,0)</f>
        <v>67.482075073808517</v>
      </c>
      <c r="H63" s="28">
        <v>0.13722414989590609</v>
      </c>
      <c r="I63" s="28">
        <v>6.808811936155478</v>
      </c>
      <c r="J63" s="41">
        <v>25.118344827586231</v>
      </c>
      <c r="K63" s="41"/>
      <c r="L63" s="41"/>
      <c r="M63">
        <v>1625</v>
      </c>
      <c r="N63" s="29">
        <f>SSBR[[#This Row],[COD (mg L-1)]]*Information!$AK$41</f>
        <v>1316.25</v>
      </c>
      <c r="O63">
        <v>603</v>
      </c>
      <c r="P63">
        <v>7.9</v>
      </c>
      <c r="Q63">
        <v>66</v>
      </c>
      <c r="S63">
        <v>3.06</v>
      </c>
      <c r="T63">
        <v>47.5</v>
      </c>
      <c r="U63" s="6">
        <f>SSBR[[#This Row],[NH4-N (mg L-1)]]*1.288</f>
        <v>194.65544</v>
      </c>
      <c r="V63" s="6">
        <f>(SSBR[[#This Row],[NO3-N (mg L-1)]])*4.426</f>
        <v>210.199592</v>
      </c>
      <c r="W63" s="6">
        <f>SSBR[[#This Row],[NO2-N (mg L-1)]]*3.284</f>
        <v>2.6272E-2</v>
      </c>
      <c r="X63">
        <v>151.13</v>
      </c>
      <c r="Y63">
        <v>8.0000000000000002E-3</v>
      </c>
      <c r="Z63" s="6">
        <f>IF(SSBR[[#This Row],[TON (mg L-1)]]-SSBR[[#This Row],[NO2-N (mg L-1)]]&lt;0,0.19,SSBR[[#This Row],[TON (mg L-1)]]-SSBR[[#This Row],[NO2-N (mg L-1)]])</f>
        <v>47.491999999999997</v>
      </c>
      <c r="AA63" s="4">
        <f>SUM(SSBR[[#This Row],[NO3-N (mg L-1)]],SSBR[[#This Row],[NO2-N (mg L-1)]],SSBR[[#This Row],[NH4-N (mg L-1)]])</f>
        <v>198.63</v>
      </c>
      <c r="AB63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3.8431099638282201E-2</v>
      </c>
      <c r="AC63" s="48">
        <f>IF(IFERROR(SSBR[[#This Row],[NO2-N (mg L-1)]]/SSBR[[#This Row],[NH4-N (mg L-1)]],0)&lt;0,0,IFERROR(SSBR[[#This Row],[NO2-N (mg L-1)]]/SSBR[[#This Row],[NH4-N (mg L-1)]],0))</f>
        <v>5.2934559650631907E-5</v>
      </c>
      <c r="AD63" s="48">
        <f>SSBR[[#This Row],[NO2-N (mg L-1)]]/(SSBR[[#This Row],[NO3-N (mg L-1)]]+SSBR[[#This Row],[NO2-N (mg L-1)]])</f>
        <v>1.6842105263157895E-4</v>
      </c>
      <c r="AE63" s="20">
        <f>46/14*SSBR[[#This Row],[NO2-N (mg L-1)]]/(EXP(-2300/(SSBR[[#This Row],[Temp. (°C)]]+273))*10^(SSBR[[#This Row],[pHreactor]]))</f>
        <v>9.1519680618889305E-6</v>
      </c>
      <c r="AF63" s="20">
        <f>17/14*(SSBR[NH4-N (mg L-1)]*10^SSBR[[#This Row],[pHreactor]])/(EXP((6344/(273+SSBR[[#This Row],[Temp. (°C)]])))+10^SSBR[pHreactor])</f>
        <v>0.67458537938366925</v>
      </c>
      <c r="AG63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1188.27</v>
      </c>
      <c r="AH63" s="19">
        <f>IFERROR(IF(Influent[[#This Row],[COD (mg L-1)]]-SSBR[[#This Row],[COD (mg L-1)]]&lt;0,0,Influent[[#This Row],[COD (mg L-1)]]-SSBR[[#This Row],[COD (mg L-1)]]),0)</f>
        <v>820</v>
      </c>
      <c r="AI63" s="20">
        <f>Influent[[#This Row],[COD (mg L-1)]]/SSBR[HRT (h)]*24/1000</f>
        <v>0.86956425000000015</v>
      </c>
      <c r="AJ63" s="20">
        <f>IF(((SSBR[[#This Row],[ΔC   (mg L-1)]])/SSBR[[#This Row],[HRT (h)]]*24/1000) &lt;0,0, (SSBR[[#This Row],[ΔC   (mg L-1)]])/SSBR[HRT (h)]*24/1000)</f>
        <v>0.29163299999999998</v>
      </c>
      <c r="AK63" s="6">
        <f>IF(IFERROR((Influent[[#This Row],[NH4-N (mg L-1)]])*SSBR[ARE (%)]/SSBR[HRT (h)]*24/1000,0)&lt;0,0,IFERROR((Influent[[#This Row],[NH4-N (mg L-1)]])*SSBR[ARE (%)]/SSBR[HRT (h)]*24/1000,0))</f>
        <v>0.43950160050000003</v>
      </c>
      <c r="AL63" s="20">
        <f>Influent[[#This Row],[TN (mg L-1)]]/SSBR[[#This Row],[HRT (h)]]*24/1000</f>
        <v>0.49332211500000012</v>
      </c>
      <c r="AM63" s="20">
        <f>SSBR[[#This Row],[NLR (kg N m-3 d-1)]]*SSBR[[#This Row],[NRE (%)]]</f>
        <v>0.42267935550000019</v>
      </c>
      <c r="AN63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0.89103035546903153</v>
      </c>
      <c r="AO63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0.8568019609256724</v>
      </c>
      <c r="AP63" s="6"/>
    </row>
    <row r="64" spans="1:43" x14ac:dyDescent="0.3">
      <c r="A64" s="3">
        <v>43387</v>
      </c>
      <c r="B64" s="29">
        <v>61</v>
      </c>
      <c r="C64" s="27">
        <v>707.3</v>
      </c>
      <c r="D64" s="28">
        <f t="shared" si="3"/>
        <v>16.975199999999997</v>
      </c>
      <c r="E64" s="42">
        <v>1</v>
      </c>
      <c r="F64" s="163">
        <v>4</v>
      </c>
      <c r="G64" s="41">
        <f>IFERROR(Information!$R$40/(SSBR[[#This Row],[Flow (L h-1)]]*SSBR[[#This Row],[Batch cycles]]*SSBR[[#This Row],[Cycle duration (h)]]/1000)*24,0)</f>
        <v>67.863707054997889</v>
      </c>
      <c r="H64" s="28">
        <v>0.13206536856745499</v>
      </c>
      <c r="I64" s="28">
        <v>6.815297635604999</v>
      </c>
      <c r="J64" s="41">
        <v>22.921250000000001</v>
      </c>
      <c r="K64" s="41"/>
      <c r="L64" s="41"/>
      <c r="M64">
        <v>1605</v>
      </c>
      <c r="N64" s="29">
        <f>SSBR[[#This Row],[COD (mg L-1)]]*Information!$AK$41</f>
        <v>1300.0500000000002</v>
      </c>
      <c r="O64">
        <v>470</v>
      </c>
      <c r="P64">
        <v>7.9</v>
      </c>
      <c r="Q64">
        <v>54</v>
      </c>
      <c r="S64">
        <v>3.17</v>
      </c>
      <c r="T64">
        <v>47.2</v>
      </c>
      <c r="U64" s="6">
        <f>SSBR[[#This Row],[NH4-N (mg L-1)]]*1.288</f>
        <v>192.59464</v>
      </c>
      <c r="V64" s="6">
        <f>(SSBR[[#This Row],[NO3-N (mg L-1)]])*4.426</f>
        <v>94.061352000000014</v>
      </c>
      <c r="W64" s="6">
        <f>SSBR[[#This Row],[NO2-N (mg L-1)]]*3.284</f>
        <v>85.213231999999991</v>
      </c>
      <c r="X64">
        <v>149.53</v>
      </c>
      <c r="Y64">
        <v>25.948</v>
      </c>
      <c r="Z64" s="6">
        <f>IF(SSBR[[#This Row],[TON (mg L-1)]]-SSBR[[#This Row],[NO2-N (mg L-1)]]&lt;0,0.19,SSBR[[#This Row],[TON (mg L-1)]]-SSBR[[#This Row],[NO2-N (mg L-1)]])</f>
        <v>21.252000000000002</v>
      </c>
      <c r="AA64" s="4">
        <f>SUM(SSBR[[#This Row],[NO3-N (mg L-1)]],SSBR[[#This Row],[NO2-N (mg L-1)]],SSBR[[#This Row],[NH4-N (mg L-1)]])</f>
        <v>196.73000000000002</v>
      </c>
      <c r="AB64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1.8525589058291273E-2</v>
      </c>
      <c r="AC64" s="48">
        <f>IF(IFERROR(SSBR[[#This Row],[NO2-N (mg L-1)]]/SSBR[[#This Row],[NH4-N (mg L-1)]],0)&lt;0,0,IFERROR(SSBR[[#This Row],[NO2-N (mg L-1)]]/SSBR[[#This Row],[NH4-N (mg L-1)]],0))</f>
        <v>0.17353039523841371</v>
      </c>
      <c r="AD64" s="48">
        <f>SSBR[[#This Row],[NO2-N (mg L-1)]]/(SSBR[[#This Row],[NO3-N (mg L-1)]]+SSBR[[#This Row],[NO2-N (mg L-1)]])</f>
        <v>0.54974576271186437</v>
      </c>
      <c r="AE64" s="20">
        <f>46/14*SSBR[[#This Row],[NO2-N (mg L-1)]]/(EXP(-2300/(SSBR[[#This Row],[Temp. (°C)]]+273))*10^(SSBR[[#This Row],[pHreactor]]))</f>
        <v>3.0968458567625781E-2</v>
      </c>
      <c r="AF64" s="20">
        <f>17/14*(SSBR[NH4-N (mg L-1)]*10^SSBR[[#This Row],[pHreactor]])/(EXP((6344/(273+SSBR[[#This Row],[Temp. (°C)]])))+10^SSBR[pHreactor])</f>
        <v>0.57875689412777453</v>
      </c>
      <c r="AG64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1099.97</v>
      </c>
      <c r="AH64" s="19">
        <f>IFERROR(IF(Influent[[#This Row],[COD (mg L-1)]]-SSBR[[#This Row],[COD (mg L-1)]]&lt;0,0,Influent[[#This Row],[COD (mg L-1)]]-SSBR[[#This Row],[COD (mg L-1)]]),0)</f>
        <v>945</v>
      </c>
      <c r="AI64" s="20">
        <f>Influent[[#This Row],[COD (mg L-1)]]/SSBR[HRT (h)]*24/1000</f>
        <v>0.90180749999999987</v>
      </c>
      <c r="AJ64" s="20">
        <f>IF(((SSBR[[#This Row],[ΔC   (mg L-1)]])/SSBR[[#This Row],[HRT (h)]]*24/1000) &lt;0,0, (SSBR[[#This Row],[ΔC   (mg L-1)]])/SSBR[HRT (h)]*24/1000)</f>
        <v>0.33419924999999995</v>
      </c>
      <c r="AK64" s="6">
        <f>IF(IFERROR((Influent[[#This Row],[NH4-N (mg L-1)]])*SSBR[ARE (%)]/SSBR[HRT (h)]*24/1000,0)&lt;0,0,IFERROR((Influent[[#This Row],[NH4-N (mg L-1)]])*SSBR[ARE (%)]/SSBR[HRT (h)]*24/1000,0))</f>
        <v>0.40569667049999997</v>
      </c>
      <c r="AL64" s="20">
        <f>Influent[[#This Row],[TN (mg L-1)]]/SSBR[[#This Row],[HRT (h)]]*24/1000</f>
        <v>0.45881631509999998</v>
      </c>
      <c r="AM64" s="20">
        <f>SSBR[[#This Row],[NLR (kg N m-3 d-1)]]*SSBR[[#This Row],[NRE (%)]]</f>
        <v>0.38924275059999996</v>
      </c>
      <c r="AN64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0.88468419834965684</v>
      </c>
      <c r="AO64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0.8483629238754592</v>
      </c>
      <c r="AP64" s="6"/>
    </row>
    <row r="65" spans="1:43" x14ac:dyDescent="0.3">
      <c r="A65" s="3">
        <v>43388</v>
      </c>
      <c r="B65" s="29">
        <v>62</v>
      </c>
      <c r="C65" s="27">
        <v>722.1</v>
      </c>
      <c r="D65" s="28">
        <f t="shared" si="3"/>
        <v>17.330400000000001</v>
      </c>
      <c r="E65" s="42">
        <v>1</v>
      </c>
      <c r="F65" s="163">
        <v>4</v>
      </c>
      <c r="G65" s="41">
        <f>IFERROR(Information!$R$40/(SSBR[[#This Row],[Flow (L h-1)]]*SSBR[[#This Row],[Batch cycles]]*SSBR[[#This Row],[Cycle duration (h)]]/1000)*24,0)</f>
        <v>66.472787702534276</v>
      </c>
      <c r="H65" s="28">
        <v>0.2322970159611378</v>
      </c>
      <c r="I65" s="28">
        <v>6.9753525329632167</v>
      </c>
      <c r="J65" s="41">
        <v>22.158541666666672</v>
      </c>
      <c r="K65" s="41">
        <v>6980</v>
      </c>
      <c r="L65" s="41">
        <v>4030</v>
      </c>
      <c r="M65">
        <v>1660</v>
      </c>
      <c r="N65" s="29">
        <f>SSBR[[#This Row],[COD (mg L-1)]]*Information!$AK$41</f>
        <v>1344.6000000000001</v>
      </c>
      <c r="O65">
        <v>560</v>
      </c>
      <c r="P65">
        <v>7.9</v>
      </c>
      <c r="Q65">
        <v>72</v>
      </c>
      <c r="S65">
        <v>3.17</v>
      </c>
      <c r="T65">
        <v>49.3</v>
      </c>
      <c r="U65" s="6">
        <f>SSBR[[#This Row],[NH4-N (mg L-1)]]*1.288</f>
        <v>190.70128</v>
      </c>
      <c r="V65" s="6">
        <f>(SSBR[[#This Row],[NO3-N (mg L-1)]])*4.426</f>
        <v>106.15760999999999</v>
      </c>
      <c r="W65" s="6">
        <f>SSBR[[#This Row],[NO2-N (mg L-1)]]*3.284</f>
        <v>83.134460000000004</v>
      </c>
      <c r="X65">
        <v>148.06</v>
      </c>
      <c r="Y65">
        <v>25.315000000000001</v>
      </c>
      <c r="Z65" s="6">
        <f>IF(SSBR[[#This Row],[TON (mg L-1)]]-SSBR[[#This Row],[NO2-N (mg L-1)]]&lt;0,0.19,SSBR[[#This Row],[TON (mg L-1)]]-SSBR[[#This Row],[NO2-N (mg L-1)]])</f>
        <v>23.984999999999996</v>
      </c>
      <c r="AA65" s="4">
        <f>SUM(SSBR[[#This Row],[NO3-N (mg L-1)]],SSBR[[#This Row],[NO2-N (mg L-1)]],SSBR[[#This Row],[NH4-N (mg L-1)]])</f>
        <v>197.36</v>
      </c>
      <c r="AB65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2.0478296506266858E-2</v>
      </c>
      <c r="AC65" s="48">
        <f>IF(IFERROR(SSBR[[#This Row],[NO2-N (mg L-1)]]/SSBR[[#This Row],[NH4-N (mg L-1)]],0)&lt;0,0,IFERROR(SSBR[[#This Row],[NO2-N (mg L-1)]]/SSBR[[#This Row],[NH4-N (mg L-1)]],0))</f>
        <v>0.17097798189923005</v>
      </c>
      <c r="AD65" s="48">
        <f>SSBR[[#This Row],[NO2-N (mg L-1)]]/(SSBR[[#This Row],[NO3-N (mg L-1)]]+SSBR[[#This Row],[NO2-N (mg L-1)]])</f>
        <v>0.51348884381338744</v>
      </c>
      <c r="AE65" s="20">
        <f>46/14*SSBR[[#This Row],[NO2-N (mg L-1)]]/(EXP(-2300/(SSBR[[#This Row],[Temp. (°C)]]+273))*10^(SSBR[[#This Row],[pHreactor]]))</f>
        <v>2.1323632896840094E-2</v>
      </c>
      <c r="AF65" s="20">
        <f>17/14*(SSBR[NH4-N (mg L-1)]*10^SSBR[[#This Row],[pHreactor]])/(EXP((6344/(273+SSBR[[#This Row],[Temp. (°C)]])))+10^SSBR[pHreactor])</f>
        <v>0.78287590249176298</v>
      </c>
      <c r="AG65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1121.94</v>
      </c>
      <c r="AH65" s="19">
        <f>IFERROR(IF(Influent[[#This Row],[COD (mg L-1)]]-SSBR[[#This Row],[COD (mg L-1)]]&lt;0,0,Influent[[#This Row],[COD (mg L-1)]]-SSBR[[#This Row],[COD (mg L-1)]]),0)</f>
        <v>1160</v>
      </c>
      <c r="AI65" s="20">
        <f>Influent[[#This Row],[COD (mg L-1)]]/SSBR[HRT (h)]*24/1000</f>
        <v>1.0181610000000001</v>
      </c>
      <c r="AJ65" s="20">
        <f>IF(((SSBR[[#This Row],[ΔC   (mg L-1)]])/SSBR[[#This Row],[HRT (h)]]*24/1000) &lt;0,0, (SSBR[[#This Row],[ΔC   (mg L-1)]])/SSBR[HRT (h)]*24/1000)</f>
        <v>0.41881799999999997</v>
      </c>
      <c r="AK65" s="6">
        <f>IF(IFERROR((Influent[[#This Row],[NH4-N (mg L-1)]])*SSBR[ARE (%)]/SSBR[HRT (h)]*24/1000,0)&lt;0,0,IFERROR((Influent[[#This Row],[NH4-N (mg L-1)]])*SSBR[ARE (%)]/SSBR[HRT (h)]*24/1000,0))</f>
        <v>0.42287620199999998</v>
      </c>
      <c r="AL65" s="20">
        <f>Influent[[#This Row],[TN (mg L-1)]]/SSBR[[#This Row],[HRT (h)]]*24/1000</f>
        <v>0.47640547500000002</v>
      </c>
      <c r="AM65" s="20">
        <f>SSBR[[#This Row],[NLR (kg N m-3 d-1)]]*SSBR[[#This Row],[NRE (%)]]</f>
        <v>0.40514864699999997</v>
      </c>
      <c r="AN65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0.88777381944970823</v>
      </c>
      <c r="AO65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0.85042819249715795</v>
      </c>
      <c r="AP65" s="6"/>
    </row>
    <row r="66" spans="1:43" x14ac:dyDescent="0.3">
      <c r="A66" s="3">
        <v>43389</v>
      </c>
      <c r="B66" s="29">
        <v>63</v>
      </c>
      <c r="C66" s="27">
        <v>675.2</v>
      </c>
      <c r="D66" s="28">
        <f t="shared" ref="D66:D73" si="4">C66/1000*24</f>
        <v>16.204799999999999</v>
      </c>
      <c r="E66" s="42">
        <v>1</v>
      </c>
      <c r="F66" s="163">
        <v>4</v>
      </c>
      <c r="G66" s="41">
        <f>IFERROR(Information!$R$40/(SSBR[[#This Row],[Flow (L h-1)]]*SSBR[[#This Row],[Batch cycles]]*SSBR[[#This Row],[Cycle duration (h)]]/1000)*24,0)</f>
        <v>71.090047393364927</v>
      </c>
      <c r="H66" s="28">
        <v>0.20321998612074921</v>
      </c>
      <c r="I66" s="28">
        <v>6.8972928521859709</v>
      </c>
      <c r="J66" s="41">
        <v>23.210000000000012</v>
      </c>
      <c r="K66" s="41"/>
      <c r="L66" s="41"/>
      <c r="M66">
        <v>1510</v>
      </c>
      <c r="N66" s="29">
        <f>SSBR[[#This Row],[COD (mg L-1)]]*Information!$AK$41</f>
        <v>1223.1000000000001</v>
      </c>
      <c r="O66">
        <v>677</v>
      </c>
      <c r="P66">
        <v>7.7</v>
      </c>
      <c r="Q66">
        <v>73</v>
      </c>
      <c r="R66">
        <v>18</v>
      </c>
      <c r="S66">
        <v>3.96</v>
      </c>
      <c r="T66">
        <v>28.1</v>
      </c>
      <c r="U66" s="6">
        <f>SSBR[[#This Row],[NH4-N (mg L-1)]]*1.288</f>
        <v>224.24080000000001</v>
      </c>
      <c r="V66" s="6">
        <f>(SSBR[[#This Row],[NO3-N (mg L-1)]])*4.426</f>
        <v>68.133844000000011</v>
      </c>
      <c r="W66" s="6">
        <f>SSBR[[#This Row],[NO2-N (mg L-1)]]*3.284</f>
        <v>41.726503999999998</v>
      </c>
      <c r="X66">
        <v>174.1</v>
      </c>
      <c r="Y66">
        <v>12.706</v>
      </c>
      <c r="Z66" s="6">
        <f>IF(SSBR[[#This Row],[TON (mg L-1)]]-SSBR[[#This Row],[NO2-N (mg L-1)]]&lt;0,0.19,SSBR[[#This Row],[TON (mg L-1)]]-SSBR[[#This Row],[NO2-N (mg L-1)]])</f>
        <v>15.394000000000002</v>
      </c>
      <c r="AA66" s="4">
        <f>SUM(SSBR[[#This Row],[NO3-N (mg L-1)]],SSBR[[#This Row],[NO2-N (mg L-1)]],SSBR[[#This Row],[NH4-N (mg L-1)]])</f>
        <v>202.2</v>
      </c>
      <c r="AB66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1.4874867136921443E-2</v>
      </c>
      <c r="AC66" s="48">
        <f>IF(IFERROR(SSBR[[#This Row],[NO2-N (mg L-1)]]/SSBR[[#This Row],[NH4-N (mg L-1)]],0)&lt;0,0,IFERROR(SSBR[[#This Row],[NO2-N (mg L-1)]]/SSBR[[#This Row],[NH4-N (mg L-1)]],0))</f>
        <v>7.2981045376220563E-2</v>
      </c>
      <c r="AD66" s="48">
        <f>SSBR[[#This Row],[NO2-N (mg L-1)]]/(SSBR[[#This Row],[NO3-N (mg L-1)]]+SSBR[[#This Row],[NO2-N (mg L-1)]])</f>
        <v>0.45217081850533802</v>
      </c>
      <c r="AE66" s="20">
        <f>46/14*SSBR[[#This Row],[NO2-N (mg L-1)]]/(EXP(-2300/(SSBR[[#This Row],[Temp. (°C)]]+273))*10^(SSBR[[#This Row],[pHreactor]]))</f>
        <v>1.2460597330098718E-2</v>
      </c>
      <c r="AF66" s="20">
        <f>17/14*(SSBR[NH4-N (mg L-1)]*10^SSBR[[#This Row],[pHreactor]])/(EXP((6344/(273+SSBR[[#This Row],[Temp. (°C)]])))+10^SSBR[pHreactor])</f>
        <v>0.83045282301132728</v>
      </c>
      <c r="AG66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1006.8</v>
      </c>
      <c r="AH66" s="19">
        <f>IFERROR(IF(Influent[[#This Row],[COD (mg L-1)]]-SSBR[[#This Row],[COD (mg L-1)]]&lt;0,0,Influent[[#This Row],[COD (mg L-1)]]-SSBR[[#This Row],[COD (mg L-1)]]),0)</f>
        <v>1215</v>
      </c>
      <c r="AI66" s="20">
        <f>Influent[[#This Row],[COD (mg L-1)]]/SSBR[HRT (h)]*24/1000</f>
        <v>0.91996</v>
      </c>
      <c r="AJ66" s="20">
        <f>IF(((SSBR[[#This Row],[ΔC   (mg L-1)]])/SSBR[[#This Row],[HRT (h)]]*24/1000) &lt;0,0, (SSBR[[#This Row],[ΔC   (mg L-1)]])/SSBR[HRT (h)]*24/1000)</f>
        <v>0.41018400000000005</v>
      </c>
      <c r="AK66" s="6">
        <f>IF(IFERROR((Influent[[#This Row],[NH4-N (mg L-1)]])*SSBR[ARE (%)]/SSBR[HRT (h)]*24/1000,0)&lt;0,0,IFERROR((Influent[[#This Row],[NH4-N (mg L-1)]])*SSBR[ARE (%)]/SSBR[HRT (h)]*24/1000,0))</f>
        <v>0.34938224000000001</v>
      </c>
      <c r="AL66" s="20">
        <f>Influent[[#This Row],[TN (mg L-1)]]/SSBR[[#This Row],[HRT (h)]]*24/1000</f>
        <v>0.40822592000000002</v>
      </c>
      <c r="AM66" s="20">
        <f>SSBR[[#This Row],[NLR (kg N m-3 d-1)]]*SSBR[[#This Row],[NRE (%)]]</f>
        <v>0.33996319999999997</v>
      </c>
      <c r="AN66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0.85599669148056257</v>
      </c>
      <c r="AO66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0.83278200463116103</v>
      </c>
      <c r="AP66" s="6"/>
    </row>
    <row r="67" spans="1:43" x14ac:dyDescent="0.3">
      <c r="A67" s="3">
        <v>43390</v>
      </c>
      <c r="B67" s="29">
        <v>64</v>
      </c>
      <c r="C67" s="27">
        <v>681.4</v>
      </c>
      <c r="D67" s="28">
        <f t="shared" si="4"/>
        <v>16.3536</v>
      </c>
      <c r="E67" s="42">
        <v>1</v>
      </c>
      <c r="F67" s="163">
        <v>4</v>
      </c>
      <c r="G67" s="41">
        <f>IFERROR(Information!$R$40/(SSBR[[#This Row],[Flow (L h-1)]]*SSBR[[#This Row],[Batch cycles]]*SSBR[[#This Row],[Cycle duration (h)]]/1000)*24,0)</f>
        <v>70.443205165835053</v>
      </c>
      <c r="H67" s="28">
        <v>0.17190839694656521</v>
      </c>
      <c r="I67" s="28">
        <v>6.8578459403192094</v>
      </c>
      <c r="J67" s="41">
        <v>23.044305555555582</v>
      </c>
      <c r="K67" s="41"/>
      <c r="L67" s="41"/>
      <c r="M67">
        <v>1530</v>
      </c>
      <c r="N67" s="29">
        <f>SSBR[[#This Row],[COD (mg L-1)]]*Information!$AK$41</f>
        <v>1239.3000000000002</v>
      </c>
      <c r="O67">
        <v>659</v>
      </c>
      <c r="P67">
        <v>7.7</v>
      </c>
      <c r="Q67">
        <v>61</v>
      </c>
      <c r="R67">
        <v>14</v>
      </c>
      <c r="S67">
        <v>4.13</v>
      </c>
      <c r="T67">
        <v>38.200000000000003</v>
      </c>
      <c r="U67" s="6">
        <f>SSBR[[#This Row],[NH4-N (mg L-1)]]*1.288</f>
        <v>222.9528</v>
      </c>
      <c r="V67" s="6">
        <f>(SSBR[[#This Row],[NO3-N (mg L-1)]])*4.426</f>
        <v>37.443960000000018</v>
      </c>
      <c r="W67" s="6">
        <f>SSBR[[#This Row],[NO2-N (mg L-1)]]*3.284</f>
        <v>97.666159999999991</v>
      </c>
      <c r="X67">
        <v>173.1</v>
      </c>
      <c r="Y67">
        <v>29.74</v>
      </c>
      <c r="Z67" s="6">
        <f>IF(SSBR[[#This Row],[TON (mg L-1)]]-SSBR[[#This Row],[NO2-N (mg L-1)]]&lt;0,0.19,SSBR[[#This Row],[TON (mg L-1)]]-SSBR[[#This Row],[NO2-N (mg L-1)]])</f>
        <v>8.4600000000000044</v>
      </c>
      <c r="AA67" s="4">
        <f>SUM(SSBR[[#This Row],[NO3-N (mg L-1)]],SSBR[[#This Row],[NO2-N (mg L-1)]],SSBR[[#This Row],[NH4-N (mg L-1)]])</f>
        <v>211.3</v>
      </c>
      <c r="AB67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8.0235204855842214E-3</v>
      </c>
      <c r="AC67" s="48">
        <f>IF(IFERROR(SSBR[[#This Row],[NO2-N (mg L-1)]]/SSBR[[#This Row],[NH4-N (mg L-1)]],0)&lt;0,0,IFERROR(SSBR[[#This Row],[NO2-N (mg L-1)]]/SSBR[[#This Row],[NH4-N (mg L-1)]],0))</f>
        <v>0.17180820335066435</v>
      </c>
      <c r="AD67" s="48">
        <f>SSBR[[#This Row],[NO2-N (mg L-1)]]/(SSBR[[#This Row],[NO3-N (mg L-1)]]+SSBR[[#This Row],[NO2-N (mg L-1)]])</f>
        <v>0.77853403141361244</v>
      </c>
      <c r="AE67" s="20">
        <f>46/14*SSBR[[#This Row],[NO2-N (mg L-1)]]/(EXP(-2300/(SSBR[[#This Row],[Temp. (°C)]]+273))*10^(SSBR[[#This Row],[pHreactor]]))</f>
        <v>3.2077852466839932E-2</v>
      </c>
      <c r="AF67" s="20">
        <f>17/14*(SSBR[NH4-N (mg L-1)]*10^SSBR[[#This Row],[pHreactor]])/(EXP((6344/(273+SSBR[[#This Row],[Temp. (°C)]])))+10^SSBR[pHreactor])</f>
        <v>0.745293158186626</v>
      </c>
      <c r="AG67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1016.2</v>
      </c>
      <c r="AH67" s="19">
        <f>IFERROR(IF(Influent[[#This Row],[COD (mg L-1)]]-SSBR[[#This Row],[COD (mg L-1)]]&lt;0,0,Influent[[#This Row],[COD (mg L-1)]]-SSBR[[#This Row],[COD (mg L-1)]]),0)</f>
        <v>1290</v>
      </c>
      <c r="AI67" s="20">
        <f>Influent[[#This Row],[COD (mg L-1)]]/SSBR[HRT (h)]*24/1000</f>
        <v>0.96077399999999991</v>
      </c>
      <c r="AJ67" s="20">
        <f>IF(((SSBR[[#This Row],[ΔC   (mg L-1)]])/SSBR[[#This Row],[HRT (h)]]*24/1000) &lt;0,0, (SSBR[[#This Row],[ΔC   (mg L-1)]])/SSBR[HRT (h)]*24/1000)</f>
        <v>0.43950299999999992</v>
      </c>
      <c r="AK67" s="6">
        <f>IF(IFERROR((Influent[[#This Row],[NH4-N (mg L-1)]])*SSBR[ARE (%)]/SSBR[HRT (h)]*24/1000,0)&lt;0,0,IFERROR((Influent[[#This Row],[NH4-N (mg L-1)]])*SSBR[ARE (%)]/SSBR[HRT (h)]*24/1000,0))</f>
        <v>0.35923408000000001</v>
      </c>
      <c r="AL67" s="20">
        <f>Influent[[#This Row],[TN (mg L-1)]]/SSBR[[#This Row],[HRT (h)]]*24/1000</f>
        <v>0.41836154289999988</v>
      </c>
      <c r="AM67" s="20">
        <f>SSBR[[#This Row],[NLR (kg N m-3 d-1)]]*SSBR[[#This Row],[NRE (%)]]</f>
        <v>0.34637163289999989</v>
      </c>
      <c r="AN67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0.85898167006109982</v>
      </c>
      <c r="AO67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0.82792416936561597</v>
      </c>
      <c r="AP67" s="6"/>
    </row>
    <row r="68" spans="1:43" x14ac:dyDescent="0.3">
      <c r="A68" s="3">
        <v>43391</v>
      </c>
      <c r="B68" s="29">
        <v>65</v>
      </c>
      <c r="C68" s="27"/>
      <c r="D68" s="28"/>
      <c r="E68" s="42"/>
      <c r="F68" s="163"/>
      <c r="G68" s="41"/>
      <c r="H68" s="28"/>
      <c r="I68" s="28"/>
      <c r="J68" s="41"/>
      <c r="K68" s="41">
        <v>6340</v>
      </c>
      <c r="L68" s="41">
        <v>2895</v>
      </c>
      <c r="U68" s="6"/>
      <c r="V68" s="6"/>
      <c r="W68" s="6"/>
      <c r="Z68" s="6"/>
      <c r="AA68" s="4"/>
      <c r="AB68" s="21"/>
      <c r="AC68" s="48"/>
      <c r="AD68" s="48"/>
      <c r="AE68" s="20"/>
      <c r="AF68" s="20"/>
      <c r="AG68" s="129"/>
      <c r="AH68" s="19"/>
      <c r="AI68" s="20"/>
      <c r="AJ68" s="20"/>
      <c r="AK68" s="6"/>
      <c r="AL68" s="20"/>
      <c r="AM68" s="20"/>
      <c r="AN68" s="26"/>
      <c r="AO68" s="26"/>
      <c r="AP68" s="6"/>
      <c r="AQ68" t="s">
        <v>557</v>
      </c>
    </row>
    <row r="69" spans="1:43" x14ac:dyDescent="0.3">
      <c r="A69" s="3">
        <v>43392</v>
      </c>
      <c r="B69" s="29">
        <v>66</v>
      </c>
      <c r="C69" s="27"/>
      <c r="D69" s="28"/>
      <c r="E69" s="42"/>
      <c r="F69" s="163"/>
      <c r="G69" s="41"/>
      <c r="H69" s="28"/>
      <c r="I69" s="28"/>
      <c r="J69" s="41"/>
      <c r="K69" s="41">
        <f>stableSSBR[[#This Row],[MLVSS 
(mg L-1)]]/0.49</f>
        <v>5061.2244897959181</v>
      </c>
      <c r="L69" s="41">
        <f>1240*2</f>
        <v>2480</v>
      </c>
      <c r="U69" s="6"/>
      <c r="V69" s="6"/>
      <c r="W69" s="6"/>
      <c r="Z69" s="6"/>
      <c r="AA69" s="4"/>
      <c r="AB69" s="21"/>
      <c r="AC69" s="48"/>
      <c r="AD69" s="48"/>
      <c r="AE69" s="20"/>
      <c r="AF69" s="20"/>
      <c r="AG69" s="129"/>
      <c r="AH69" s="19"/>
      <c r="AI69" s="20"/>
      <c r="AJ69" s="20"/>
      <c r="AK69" s="6"/>
      <c r="AL69" s="20"/>
      <c r="AM69" s="20"/>
      <c r="AN69" s="26"/>
      <c r="AO69" s="26"/>
      <c r="AP69" s="6">
        <v>6.8000000000000005E-2</v>
      </c>
    </row>
    <row r="70" spans="1:43" x14ac:dyDescent="0.3">
      <c r="A70" s="3">
        <v>43393</v>
      </c>
      <c r="B70" s="29">
        <v>67</v>
      </c>
      <c r="C70" s="27"/>
      <c r="D70" s="28"/>
      <c r="E70" s="42"/>
      <c r="F70" s="163"/>
      <c r="G70" s="41"/>
      <c r="H70" s="28"/>
      <c r="I70" s="28"/>
      <c r="J70" s="41"/>
      <c r="K70" s="41"/>
      <c r="L70" s="41"/>
      <c r="U70" s="6"/>
      <c r="V70" s="6"/>
      <c r="W70" s="6"/>
      <c r="Z70" s="6"/>
      <c r="AA70" s="4"/>
      <c r="AB70" s="21"/>
      <c r="AC70" s="48"/>
      <c r="AD70" s="48"/>
      <c r="AE70" s="20"/>
      <c r="AF70" s="20"/>
      <c r="AG70" s="129"/>
      <c r="AH70" s="19"/>
      <c r="AI70" s="20"/>
      <c r="AJ70" s="20"/>
      <c r="AK70" s="6"/>
      <c r="AL70" s="20"/>
      <c r="AM70" s="20"/>
      <c r="AN70" s="26"/>
      <c r="AO70" s="26"/>
      <c r="AP70" s="6"/>
    </row>
    <row r="71" spans="1:43" x14ac:dyDescent="0.3">
      <c r="A71" s="3">
        <v>43394</v>
      </c>
      <c r="B71" s="29">
        <v>68</v>
      </c>
      <c r="C71" s="27"/>
      <c r="D71" s="28"/>
      <c r="E71" s="42"/>
      <c r="F71" s="163"/>
      <c r="G71" s="41"/>
      <c r="H71" s="28"/>
      <c r="I71" s="28"/>
      <c r="J71" s="41"/>
      <c r="K71" s="41"/>
      <c r="L71" s="41"/>
      <c r="U71" s="6"/>
      <c r="V71" s="6"/>
      <c r="W71" s="6"/>
      <c r="Z71" s="6"/>
      <c r="AA71" s="4"/>
      <c r="AB71" s="21"/>
      <c r="AC71" s="48"/>
      <c r="AD71" s="48"/>
      <c r="AE71" s="20"/>
      <c r="AF71" s="20"/>
      <c r="AG71" s="129"/>
      <c r="AH71" s="19"/>
      <c r="AI71" s="20"/>
      <c r="AJ71" s="20"/>
      <c r="AK71" s="6"/>
      <c r="AL71" s="20"/>
      <c r="AM71" s="20"/>
      <c r="AN71" s="26"/>
      <c r="AO71" s="26"/>
      <c r="AP71" s="6"/>
    </row>
    <row r="72" spans="1:43" x14ac:dyDescent="0.3">
      <c r="A72" s="3">
        <v>43395</v>
      </c>
      <c r="B72" s="29">
        <v>69</v>
      </c>
      <c r="C72" s="27"/>
      <c r="D72" s="28"/>
      <c r="E72" s="42"/>
      <c r="F72" s="163"/>
      <c r="G72" s="41"/>
      <c r="H72" s="28"/>
      <c r="I72" s="28"/>
      <c r="J72" s="41"/>
      <c r="K72" s="41">
        <v>7000</v>
      </c>
      <c r="L72" s="41">
        <v>2210</v>
      </c>
      <c r="U72" s="6"/>
      <c r="V72" s="6"/>
      <c r="W72" s="6"/>
      <c r="Z72" s="6"/>
      <c r="AA72" s="4"/>
      <c r="AB72" s="21"/>
      <c r="AC72" s="48"/>
      <c r="AD72" s="48"/>
      <c r="AE72" s="20"/>
      <c r="AF72" s="20"/>
      <c r="AG72" s="129"/>
      <c r="AH72" s="19"/>
      <c r="AI72" s="20"/>
      <c r="AJ72" s="20"/>
      <c r="AK72" s="6"/>
      <c r="AL72" s="20"/>
      <c r="AM72" s="20"/>
      <c r="AN72" s="26"/>
      <c r="AO72" s="26"/>
      <c r="AP72" s="6"/>
    </row>
    <row r="73" spans="1:43" x14ac:dyDescent="0.3">
      <c r="A73" s="3">
        <v>43396</v>
      </c>
      <c r="B73" s="29">
        <v>70</v>
      </c>
      <c r="C73" s="27">
        <v>680</v>
      </c>
      <c r="D73" s="28">
        <f t="shared" si="4"/>
        <v>16.32</v>
      </c>
      <c r="E73" s="42">
        <v>1</v>
      </c>
      <c r="F73" s="163">
        <v>4</v>
      </c>
      <c r="G73" s="41">
        <f>IFERROR(Information!$R$40/(SSBR[[#This Row],[Flow (L h-1)]]*SSBR[[#This Row],[Batch cycles]]*SSBR[[#This Row],[Cycle duration (h)]]/1000)*24,0)</f>
        <v>70.588235294117638</v>
      </c>
      <c r="H73" s="28">
        <v>1.6968011126564791E-2</v>
      </c>
      <c r="I73" s="28">
        <v>7.118358831710724</v>
      </c>
      <c r="J73" s="41">
        <v>21.545000000000002</v>
      </c>
      <c r="K73" s="41"/>
      <c r="L73" s="41"/>
      <c r="M73">
        <v>1605</v>
      </c>
      <c r="N73" s="29">
        <f>SSBR[[#This Row],[COD (mg L-1)]]*Information!$AK$41</f>
        <v>1300.0500000000002</v>
      </c>
      <c r="O73">
        <v>666</v>
      </c>
      <c r="P73">
        <v>7.6</v>
      </c>
      <c r="Q73">
        <v>146.69999999999999</v>
      </c>
      <c r="R73">
        <v>32</v>
      </c>
      <c r="S73">
        <v>3.07</v>
      </c>
      <c r="T73">
        <v>27</v>
      </c>
      <c r="U73" s="6">
        <f>SSBR[[#This Row],[NH4-N (mg L-1)]]*1.288</f>
        <v>191.77032</v>
      </c>
      <c r="V73" s="6">
        <f>(SSBR[[#This Row],[NO3-N (mg L-1)]])*4.426</f>
        <v>46.247274000000012</v>
      </c>
      <c r="W73" s="6">
        <f>SSBR[[#This Row],[NO2-N (mg L-1)]]*3.284</f>
        <v>54.353483999999995</v>
      </c>
      <c r="X73">
        <v>148.88999999999999</v>
      </c>
      <c r="Y73">
        <v>16.550999999999998</v>
      </c>
      <c r="Z73" s="6">
        <f>IF(SSBR[[#This Row],[TON (mg L-1)]]-SSBR[[#This Row],[NO2-N (mg L-1)]]&lt;0,0.19,SSBR[[#This Row],[TON (mg L-1)]]-SSBR[[#This Row],[NO2-N (mg L-1)]])</f>
        <v>10.449000000000002</v>
      </c>
      <c r="AA73" s="4">
        <f>SUM(SSBR[[#This Row],[NO3-N (mg L-1)]],SSBR[[#This Row],[NO2-N (mg L-1)]],SSBR[[#This Row],[NH4-N (mg L-1)]])</f>
        <v>175.89</v>
      </c>
      <c r="AB73" s="21">
        <f>IF(IFERROR(SSBR[[#This Row],[NO3-N (mg L-1)]]/(Influent[[#This Row],[NH4-N (mg L-1)]]-SSBR[[#This Row],[NH4-N (mg L-1)]]),0)&lt;0,0,IFERROR(SSBR[[#This Row],[NO3-N (mg L-1)]]/(Influent[[#This Row],[NH4-N (mg L-1)]]-SSBR[[#This Row],[NH4-N (mg L-1)]]),0))</f>
        <v>9.6205725018644519E-3</v>
      </c>
      <c r="AC73" s="48">
        <f>IF(IFERROR(SSBR[[#This Row],[NO2-N (mg L-1)]]/SSBR[[#This Row],[NH4-N (mg L-1)]],0)&lt;0,0,IFERROR(SSBR[[#This Row],[NO2-N (mg L-1)]]/SSBR[[#This Row],[NH4-N (mg L-1)]],0))</f>
        <v>0.11116260326415474</v>
      </c>
      <c r="AD73" s="48">
        <f>SSBR[[#This Row],[NO2-N (mg L-1)]]/(SSBR[[#This Row],[NO3-N (mg L-1)]]+SSBR[[#This Row],[NO2-N (mg L-1)]])</f>
        <v>0.61299999999999999</v>
      </c>
      <c r="AE73" s="20">
        <f>46/14*SSBR[[#This Row],[NO2-N (mg L-1)]]/(EXP(-2300/(SSBR[[#This Row],[Temp. (°C)]]+273))*10^(SSBR[[#This Row],[pHreactor]]))</f>
        <v>1.0194139150248076E-2</v>
      </c>
      <c r="AF73" s="20">
        <f>17/14*(SSBR[NH4-N (mg L-1)]*10^SSBR[[#This Row],[pHreactor]])/(EXP((6344/(273+SSBR[[#This Row],[Temp. (°C)]])))+10^SSBR[pHreactor])</f>
        <v>1.0448672299388675</v>
      </c>
      <c r="AG73" s="129">
        <f>IF(Influent[[#This Row],[NH4-N (mg L-1)]]-(SSBR[[#This Row],[NH4-N (mg L-1)]]+SSBR[[#This Row],[NO3-N (mg L-1)]]+SSBR[[#This Row],[NO2-N (mg L-1)]])&lt;0,0,Influent[[#This Row],[NH4-N (mg L-1)]]-(SSBR[[#This Row],[NH4-N (mg L-1)]]+SSBR[[#This Row],[NO3-N (mg L-1)]]+SSBR[[#This Row],[NO2-N (mg L-1)]]))</f>
        <v>1059.1100000000001</v>
      </c>
      <c r="AH73" s="19">
        <f>IFERROR(IF(Influent[[#This Row],[COD (mg L-1)]]-SSBR[[#This Row],[COD (mg L-1)]]&lt;0,0,Influent[[#This Row],[COD (mg L-1)]]-SSBR[[#This Row],[COD (mg L-1)]]),0)</f>
        <v>590</v>
      </c>
      <c r="AI73" s="20">
        <f>Influent[[#This Row],[COD (mg L-1)]]/SSBR[HRT (h)]*24/1000</f>
        <v>0.74630000000000019</v>
      </c>
      <c r="AJ73" s="20">
        <f>IF(((SSBR[[#This Row],[ΔC   (mg L-1)]])/SSBR[[#This Row],[HRT (h)]]*24/1000) &lt;0,0, (SSBR[[#This Row],[ΔC   (mg L-1)]])/SSBR[HRT (h)]*24/1000)</f>
        <v>0.20060000000000003</v>
      </c>
      <c r="AK73" s="6">
        <f>IF(IFERROR((Influent[[#This Row],[NH4-N (mg L-1)]])*SSBR[ARE (%)]/SSBR[HRT (h)]*24/1000,0)&lt;0,0,IFERROR((Influent[[#This Row],[NH4-N (mg L-1)]])*SSBR[ARE (%)]/SSBR[HRT (h)]*24/1000,0))</f>
        <v>0.36927740000000003</v>
      </c>
      <c r="AL73" s="20">
        <f>Influent[[#This Row],[TN (mg L-1)]]/SSBR[[#This Row],[HRT (h)]]*24/1000</f>
        <v>0.41996800000000006</v>
      </c>
      <c r="AM73" s="20">
        <f>SSBR[[#This Row],[NLR (kg N m-3 d-1)]]*SSBR[[#This Row],[NRE (%)]]</f>
        <v>0.36016540000000002</v>
      </c>
      <c r="AN73" s="26">
        <f>IFERROR(IF((Influent[[#This Row],[NH4-N (mg L-1)]]-SSBR[[#This Row],[NH4-N (mg L-1)]])/Influent[[#This Row],[NH4-N (mg L-1)]]&lt;0, 0,(Influent[[#This Row],[NH4-N (mg L-1)]]-SSBR[[#This Row],[NH4-N (mg L-1)]])/Influent[[#This Row],[NH4-N (mg L-1)]]), 0)</f>
        <v>0.87944129554655881</v>
      </c>
      <c r="AO73" s="26">
        <f>IF(IFERROR((Influent[[#This Row],[TN (mg L-1)]]-SSBR[[#This Row],[TN (mg L-1)]])/Influent[[#This Row],[TN (mg L-1)]],0)&lt;0,0,IFERROR((Influent[[#This Row],[TN (mg L-1)]]-SSBR[[#This Row],[TN (mg L-1)]])/Influent[[#This Row],[TN (mg L-1)]],0))</f>
        <v>0.85760200777202067</v>
      </c>
      <c r="AP73" s="6"/>
    </row>
    <row r="74" spans="1:43" x14ac:dyDescent="0.3">
      <c r="A74" s="3">
        <v>43397</v>
      </c>
      <c r="B74" s="29">
        <v>71</v>
      </c>
      <c r="C74" s="27"/>
      <c r="D74" s="28"/>
      <c r="E74" s="42"/>
      <c r="F74" s="163"/>
      <c r="G74" s="41"/>
      <c r="H74" s="28"/>
      <c r="I74" s="28"/>
      <c r="J74" s="41"/>
      <c r="K74" s="41"/>
      <c r="L74" s="41"/>
      <c r="U74" s="6"/>
      <c r="V74" s="6"/>
      <c r="W74" s="6"/>
      <c r="Z74" s="6"/>
      <c r="AA74" s="4"/>
      <c r="AB74" s="21"/>
      <c r="AC74" s="48"/>
      <c r="AD74" s="48"/>
      <c r="AE74" s="20"/>
      <c r="AF74" s="20"/>
      <c r="AG74" s="129"/>
      <c r="AH74" s="19"/>
      <c r="AI74" s="20"/>
      <c r="AJ74" s="20"/>
      <c r="AK74" s="6"/>
      <c r="AL74" s="20"/>
      <c r="AM74" s="20"/>
      <c r="AN74" s="26"/>
      <c r="AO74" s="26"/>
      <c r="AP74" s="6"/>
    </row>
    <row r="79" spans="1:43" x14ac:dyDescent="0.3">
      <c r="AC79" s="29"/>
    </row>
  </sheetData>
  <mergeCells count="2">
    <mergeCell ref="C2:J2"/>
    <mergeCell ref="M2:AA2"/>
  </mergeCells>
  <conditionalFormatting sqref="A4:J74 M4:AO74">
    <cfRule type="cellIs" dxfId="609" priority="3" operator="lessThanOrEqual">
      <formula>0</formula>
    </cfRule>
  </conditionalFormatting>
  <conditionalFormatting sqref="K4:L53 L54 K55:L74">
    <cfRule type="cellIs" dxfId="608" priority="2" operator="lessThanOrEqual">
      <formula>0</formula>
    </cfRule>
  </conditionalFormatting>
  <conditionalFormatting sqref="AP4:AP34 AP36:AP74">
    <cfRule type="cellIs" dxfId="607" priority="1" operator="lessThanOrEqual">
      <formula>0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79998168889431442"/>
  </sheetPr>
  <dimension ref="A1:AY90"/>
  <sheetViews>
    <sheetView tabSelected="1" zoomScale="70" zoomScaleNormal="70" workbookViewId="0">
      <pane xSplit="2" ySplit="3" topLeftCell="C4" activePane="bottomRight" state="frozen"/>
      <selection activeCell="F26" sqref="F26"/>
      <selection pane="topRight" activeCell="F26" sqref="F26"/>
      <selection pane="bottomLeft" activeCell="F26" sqref="F26"/>
      <selection pane="bottomRight" activeCell="F4" sqref="F4"/>
    </sheetView>
  </sheetViews>
  <sheetFormatPr defaultRowHeight="14.4" x14ac:dyDescent="0.3"/>
  <cols>
    <col min="1" max="1" width="17.33203125" customWidth="1"/>
    <col min="2" max="2" width="12.109375" customWidth="1"/>
    <col min="3" max="3" width="11.21875" customWidth="1"/>
    <col min="4" max="4" width="12" customWidth="1"/>
    <col min="5" max="5" width="7.5546875" customWidth="1"/>
    <col min="6" max="6" width="7.6640625" customWidth="1"/>
    <col min="7" max="7" width="8.33203125" customWidth="1"/>
    <col min="8" max="8" width="9" customWidth="1"/>
    <col min="9" max="10" width="9" style="29" customWidth="1"/>
    <col min="11" max="11" width="7.5546875" customWidth="1"/>
    <col min="12" max="12" width="7.5546875" style="29" customWidth="1"/>
    <col min="13" max="13" width="15" customWidth="1"/>
    <col min="14" max="14" width="7.5546875" customWidth="1"/>
    <col min="15" max="15" width="9.21875" customWidth="1"/>
    <col min="16" max="16" width="8.109375" customWidth="1"/>
    <col min="17" max="17" width="8" customWidth="1"/>
    <col min="18" max="18" width="7.44140625" customWidth="1"/>
    <col min="19" max="19" width="7.21875" hidden="1" customWidth="1"/>
    <col min="20" max="20" width="7.44140625" hidden="1" customWidth="1"/>
    <col min="21" max="21" width="9.5546875" hidden="1" customWidth="1"/>
    <col min="22" max="22" width="7.5546875" style="29" customWidth="1"/>
    <col min="23" max="23" width="7.44140625" style="29" customWidth="1"/>
    <col min="24" max="24" width="8.88671875" style="29" customWidth="1"/>
    <col min="25" max="25" width="7.5546875" customWidth="1"/>
    <col min="27" max="27" width="9.109375" customWidth="1"/>
    <col min="28" max="28" width="9.109375" style="29" customWidth="1"/>
    <col min="31" max="31" width="0" hidden="1" customWidth="1"/>
    <col min="32" max="32" width="13.33203125" style="29" hidden="1" customWidth="1"/>
    <col min="33" max="33" width="13.44140625" style="29" hidden="1" customWidth="1"/>
    <col min="34" max="34" width="12.109375" style="29" hidden="1" customWidth="1"/>
    <col min="35" max="35" width="11" style="29" hidden="1" customWidth="1"/>
    <col min="36" max="36" width="11.6640625" style="29" hidden="1" customWidth="1"/>
    <col min="37" max="37" width="12.44140625" style="29" hidden="1" customWidth="1"/>
    <col min="38" max="38" width="15.21875" customWidth="1"/>
    <col min="39" max="39" width="15.6640625" customWidth="1"/>
    <col min="40" max="40" width="16.44140625" style="29" customWidth="1"/>
    <col min="41" max="41" width="15" style="29" customWidth="1"/>
    <col min="42" max="42" width="12.5546875" customWidth="1"/>
    <col min="43" max="44" width="12.5546875" style="29" customWidth="1"/>
    <col min="45" max="45" width="17" style="29" bestFit="1" customWidth="1"/>
    <col min="46" max="47" width="18.88671875" style="29" bestFit="1" customWidth="1"/>
    <col min="48" max="48" width="16.44140625" bestFit="1" customWidth="1"/>
    <col min="49" max="49" width="71.6640625" customWidth="1"/>
    <col min="51" max="51" width="13.44140625" style="29" customWidth="1"/>
  </cols>
  <sheetData>
    <row r="1" spans="1:51" ht="20.399999999999999" thickBot="1" x14ac:dyDescent="0.45">
      <c r="A1" s="1" t="s">
        <v>246</v>
      </c>
      <c r="B1" s="1"/>
      <c r="C1" s="12"/>
      <c r="D1" s="12"/>
      <c r="E1" s="12"/>
      <c r="F1" s="5"/>
      <c r="G1" s="5"/>
      <c r="H1" s="5"/>
      <c r="I1" s="5"/>
      <c r="J1" s="5"/>
      <c r="K1" s="5"/>
      <c r="L1" s="5"/>
      <c r="N1" s="5"/>
      <c r="O1" s="5"/>
      <c r="P1" s="46"/>
      <c r="S1" s="46"/>
      <c r="T1" s="75"/>
      <c r="U1" s="75"/>
      <c r="V1" s="144"/>
      <c r="W1" s="144"/>
      <c r="X1" s="144"/>
      <c r="Y1" s="144"/>
      <c r="Z1" s="144"/>
      <c r="AA1" s="144"/>
      <c r="AB1" s="144"/>
      <c r="AC1" s="144"/>
      <c r="AD1" s="29"/>
      <c r="AE1" s="29"/>
      <c r="AI1" s="144"/>
      <c r="AJ1" s="144"/>
      <c r="AK1" s="144"/>
      <c r="AL1" s="29"/>
      <c r="AM1" s="29"/>
      <c r="AP1" s="29"/>
      <c r="AQ1"/>
      <c r="AR1"/>
      <c r="AV1" s="29"/>
      <c r="AY1"/>
    </row>
    <row r="2" spans="1:51" ht="15" thickTop="1" x14ac:dyDescent="0.3">
      <c r="C2" s="334" t="s">
        <v>24</v>
      </c>
      <c r="D2" s="334"/>
      <c r="E2" s="334"/>
      <c r="F2" s="334"/>
      <c r="G2" s="334"/>
      <c r="H2" s="334"/>
      <c r="I2" s="131"/>
      <c r="J2" s="131"/>
      <c r="K2" s="296" t="s">
        <v>145</v>
      </c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AA2" s="29"/>
      <c r="AC2" s="29"/>
      <c r="AD2" s="29"/>
      <c r="AE2" s="29"/>
      <c r="AL2" s="29"/>
      <c r="AM2" s="29"/>
      <c r="AP2" s="29"/>
      <c r="AQ2"/>
      <c r="AR2"/>
      <c r="AV2" s="29"/>
      <c r="AY2"/>
    </row>
    <row r="3" spans="1:51" ht="90" customHeight="1" x14ac:dyDescent="0.3">
      <c r="A3" s="2" t="s">
        <v>1</v>
      </c>
      <c r="B3" s="2" t="s">
        <v>353</v>
      </c>
      <c r="C3" s="24" t="s">
        <v>352</v>
      </c>
      <c r="D3" s="24" t="s">
        <v>351</v>
      </c>
      <c r="E3" s="24" t="s">
        <v>354</v>
      </c>
      <c r="F3" s="24" t="s">
        <v>151</v>
      </c>
      <c r="G3" s="24" t="s">
        <v>355</v>
      </c>
      <c r="H3" s="24" t="s">
        <v>356</v>
      </c>
      <c r="I3" s="24" t="s">
        <v>357</v>
      </c>
      <c r="J3" s="24" t="s">
        <v>358</v>
      </c>
      <c r="K3" s="78" t="s">
        <v>359</v>
      </c>
      <c r="L3" s="78" t="s">
        <v>342</v>
      </c>
      <c r="M3" s="78" t="s">
        <v>348</v>
      </c>
      <c r="N3" s="78" t="s">
        <v>152</v>
      </c>
      <c r="O3" s="78" t="s">
        <v>349</v>
      </c>
      <c r="P3" s="78" t="s">
        <v>350</v>
      </c>
      <c r="Q3" s="78" t="s">
        <v>360</v>
      </c>
      <c r="R3" s="78" t="s">
        <v>361</v>
      </c>
      <c r="S3" s="78" t="s">
        <v>140</v>
      </c>
      <c r="T3" s="78" t="s">
        <v>128</v>
      </c>
      <c r="U3" s="78" t="s">
        <v>129</v>
      </c>
      <c r="V3" s="78" t="s">
        <v>362</v>
      </c>
      <c r="W3" s="78" t="s">
        <v>363</v>
      </c>
      <c r="X3" s="78" t="s">
        <v>364</v>
      </c>
      <c r="Y3" s="78" t="s">
        <v>365</v>
      </c>
      <c r="Z3" s="2" t="s">
        <v>150</v>
      </c>
      <c r="AA3" s="2" t="s">
        <v>157</v>
      </c>
      <c r="AB3" s="2" t="s">
        <v>366</v>
      </c>
      <c r="AC3" s="2" t="s">
        <v>367</v>
      </c>
      <c r="AD3" s="2" t="s">
        <v>368</v>
      </c>
      <c r="AE3" s="2" t="s">
        <v>224</v>
      </c>
      <c r="AF3" s="2" t="s">
        <v>223</v>
      </c>
      <c r="AG3" s="2" t="s">
        <v>225</v>
      </c>
      <c r="AH3" s="2" t="s">
        <v>226</v>
      </c>
      <c r="AI3" s="47" t="s">
        <v>149</v>
      </c>
      <c r="AJ3" s="2" t="s">
        <v>160</v>
      </c>
      <c r="AK3" s="2" t="s">
        <v>228</v>
      </c>
      <c r="AL3" s="2" t="s">
        <v>343</v>
      </c>
      <c r="AM3" s="2" t="s">
        <v>344</v>
      </c>
      <c r="AN3" s="2" t="s">
        <v>345</v>
      </c>
      <c r="AO3" s="2" t="s">
        <v>346</v>
      </c>
      <c r="AP3" s="2" t="s">
        <v>347</v>
      </c>
      <c r="AQ3" s="2" t="s">
        <v>369</v>
      </c>
      <c r="AR3" s="2" t="s">
        <v>370</v>
      </c>
      <c r="AS3" s="2" t="s">
        <v>577</v>
      </c>
      <c r="AT3" s="2" t="s">
        <v>573</v>
      </c>
      <c r="AU3" s="2" t="s">
        <v>576</v>
      </c>
      <c r="AV3" s="2" t="s">
        <v>572</v>
      </c>
      <c r="AW3" s="77" t="s">
        <v>30</v>
      </c>
      <c r="AY3"/>
    </row>
    <row r="4" spans="1:51" x14ac:dyDescent="0.3">
      <c r="A4" s="128">
        <v>43327</v>
      </c>
      <c r="B4" s="29">
        <v>1</v>
      </c>
      <c r="C4" s="42">
        <v>4.1236983684564956</v>
      </c>
      <c r="D4" s="28">
        <f>MEDIA[[#This Row],[Flow 
(L h-1)]]/1000*24</f>
        <v>9.8968760842955888E-2</v>
      </c>
      <c r="E4" s="42">
        <f>IF(IFERROR(Information!$R$47/MEDIA[[#This Row],[Flow 
(m3 d-1)]]*24,0)&lt;0,0,IFERROR(Information!$R$47/MEDIA[[#This Row],[Flow 
(m3 d-1)]]*24,0))</f>
        <v>291.00091538682574</v>
      </c>
      <c r="F4" s="42">
        <v>7.6885653477251346</v>
      </c>
      <c r="G4" s="42">
        <v>0.18035838741864732</v>
      </c>
      <c r="H4" s="41">
        <v>28.329758646090134</v>
      </c>
      <c r="I4" s="42"/>
      <c r="J4" s="42"/>
      <c r="K4" s="29">
        <v>949</v>
      </c>
      <c r="L4" s="29">
        <f>MEDIA[[#This Row],[COD 
(mg L-1)]]*Information!$AK$42</f>
        <v>673.79</v>
      </c>
      <c r="M4" s="29">
        <v>1631</v>
      </c>
      <c r="N4" s="29">
        <v>8</v>
      </c>
      <c r="O4" s="29">
        <v>208</v>
      </c>
      <c r="P4" s="29">
        <v>104</v>
      </c>
      <c r="Q4" s="29">
        <v>1.78</v>
      </c>
      <c r="R4" s="29">
        <v>0.2</v>
      </c>
      <c r="S4" s="22">
        <f>MEDIA[[#This Row],[NH4-N 
(mg L-1)]]*1.288</f>
        <v>442.84016000000003</v>
      </c>
      <c r="T4" s="6">
        <f>MEDIA[[#This Row],[NO2-N 
(mg L-1)]]*3.284</f>
        <v>2.6272E-2</v>
      </c>
      <c r="U4" s="6">
        <f>(MEDIA[[#This Row],[NO3-N 
(mg L-1)]])*4.426</f>
        <v>0.8497920000000001</v>
      </c>
      <c r="V4" s="29">
        <v>343.82</v>
      </c>
      <c r="W4" s="29">
        <v>8.0000000000000002E-3</v>
      </c>
      <c r="X4" s="29">
        <f>IF(MEDIA[[#This Row],[TON 
(mg L-1)]]-MEDIA[[#This Row],[NO2-N 
(mg L-1)]]&lt;0,0.192,MEDIA[[#This Row],[TON 
(mg L-1)]]-MEDIA[[#This Row],[NO2-N 
(mg L-1)]])</f>
        <v>0.192</v>
      </c>
      <c r="Y4" s="29">
        <f>SUM(MEDIA[[#This Row],[NH4-N 
(mg L-1)]],MEDIA[[#This Row],[NO3-N 
(mg L-1)]],MEDIA[[#This Row],[NO2-N 
(mg L-1)]])</f>
        <v>344.02</v>
      </c>
      <c r="Z4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3.7121534356753411E-4</v>
      </c>
      <c r="AA4" s="48">
        <f>IF(IFERROR(MEDIA[[#This Row],[NO2-N 
(mg L-1)]]/MEDIA[[#This Row],[NH4-N 
(mg L-1)]],0)&lt;0,0,IFERROR(MEDIA[[#This Row],[NO2-N 
(mg L-1)]]/MEDIA[[#This Row],[NH4-N 
(mg L-1)]],0))</f>
        <v>2.3267989064045142E-5</v>
      </c>
      <c r="AB4" s="48">
        <f>MEDIA[[#This Row],[NO2-N 
(mg L-1)]]/(MEDIA[[#This Row],[NO3-N 
(mg L-1)]]+MEDIA[[#This Row],[NO2-N 
(mg L-1)]])</f>
        <v>0.04</v>
      </c>
      <c r="AC4" s="20">
        <f>46/14*MEDIA[[#This Row],[NO2-N 
(mg L-1)]]/(EXP(-2300/(MEDIA[[#This Row],[Temp. 
(°C)]]+273))*10^(MEDIA[[#This Row],[pHreactor]]))</f>
        <v>1.1118650624322386E-6</v>
      </c>
      <c r="AD4" s="6">
        <f>17/14*MEDIA[NH4-N 
(mg L-1)]*10^MEDIA[[#This Row],[pHreactor]]/(EXP((6344/(273+MEDIA[[#This Row],[Temp. 
(°C)]])))+10^MEDIA[pHreactor])</f>
        <v>14.154214912286712</v>
      </c>
      <c r="AE4" s="6">
        <f>Influent[[#This Row],[NH4-N (mg L-1)]]*MEDIA[[#This Row],[Flow 
(m3 d-1)]]/(Information!$R$48*Information!$R$49)</f>
        <v>0.17753346215878901</v>
      </c>
      <c r="AF4" s="6">
        <f>(Influent[[#This Row],[NH4-N (mg L-1)]]-MEDIA[[#This Row],[NH4-N 
(mg L-1)]])*MEDIA[[#This Row],[Flow 
(m3 d-1)]]/(Information!$R$48*Information!$R$49)</f>
        <v>0.10664296350665343</v>
      </c>
      <c r="AG4" s="6">
        <f>Influent[[#This Row],[COD (mg L-1)]]*MEDIA[[#This Row],[Flow 
(m3 d-1)]]/(Information!$R$48*Information!$R$49)</f>
        <v>0</v>
      </c>
      <c r="AH4" s="6">
        <f>(Influent[[#This Row],[COD (mg L-1)]]-MEDIA[[#This Row],[COD 
(mg L-1)]])*MEDIA[[#This Row],[Flow 
(m3 d-1)]]/(Information!$R$48*Information!$R$49)</f>
        <v>-0.19566948758326069</v>
      </c>
      <c r="AI4" s="6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517.02</v>
      </c>
      <c r="AJ4" s="6">
        <f>IFERROR(IF(Influent[[#This Row],[COD (mg L-1)]]-MEDIA[[#This Row],[COD 
(mg L-1)]]&lt;0,0,Influent[[#This Row],[COD (mg L-1)]]-MEDIA[[#This Row],[COD 
(mg L-1)]]),0)</f>
        <v>0</v>
      </c>
      <c r="AK4" s="6">
        <f>IFERROR(IF(Influent[[#This Row],[Alkalinity (mg CaCO3 L-1) ]]-MEDIA[[#This Row],[Alkalinity 
(mg CaCO3 L-1) ]]&lt;0,0,Influent[[#This Row],[Alkalinity (mg CaCO3 L-1) ]]-MEDIA[[#This Row],[Alkalinity 
(mg CaCO3 L-1) ]]),0)</f>
        <v>1378</v>
      </c>
      <c r="AL4" s="6">
        <f>Influent[[#This Row],[COD (mg L-1)]]/MEDIA[[#This Row],[HRT 
(h)]]*24/1000</f>
        <v>0</v>
      </c>
      <c r="AM4" s="6">
        <f>IF(((MEDIA[[#This Row],[ΔC (mg L-1)]])*24/MEDIA[[#This Row],[HRT 
(h)]]/1000) &lt;0,0, (MEDIA[[#This Row],[ΔC (mg L-1)]])*24/MEDIA[[#This Row],[HRT 
(h)]]/1000)</f>
        <v>0</v>
      </c>
      <c r="AN4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4.2657185402661377E-2</v>
      </c>
      <c r="AO4" s="6">
        <f>Influent[[#This Row],[TN (mg L-1)]]/MEDIA[[#This Row],[HRT 
(h)]]*24/1000</f>
        <v>7.1175776105265445E-2</v>
      </c>
      <c r="AP4" s="6">
        <f>MEDIA[[#This Row],[NRE 
(%)]]*MEDIA[[#This Row],[NLR 
(kg N m-3 d-1)]]</f>
        <v>4.2803081850937369E-2</v>
      </c>
      <c r="AQ4" s="21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0.60069218619344056</v>
      </c>
      <c r="AR4" s="21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0.6013714804828223</v>
      </c>
      <c r="AS4" s="48"/>
      <c r="AT4" s="48"/>
      <c r="AU4" s="48"/>
      <c r="AV4" s="6"/>
      <c r="AY4"/>
    </row>
    <row r="5" spans="1:51" x14ac:dyDescent="0.3">
      <c r="A5" s="128">
        <v>43328</v>
      </c>
      <c r="B5" s="29">
        <v>2</v>
      </c>
      <c r="C5" s="151"/>
      <c r="D5" s="162"/>
      <c r="E5" s="42"/>
      <c r="F5" s="151"/>
      <c r="G5" s="151"/>
      <c r="H5" s="41"/>
      <c r="I5" s="152"/>
      <c r="J5" s="152"/>
      <c r="K5" s="29"/>
      <c r="M5" s="29"/>
      <c r="N5" s="29"/>
      <c r="O5" s="29"/>
      <c r="P5" s="29"/>
      <c r="Q5" s="29"/>
      <c r="R5" s="29"/>
      <c r="S5" s="4">
        <f>MEDIA[[#This Row],[NH4-N 
(mg L-1)]]*1.288</f>
        <v>0</v>
      </c>
      <c r="T5" s="6">
        <f>MEDIA[[#This Row],[NO2-N 
(mg L-1)]]*3.284</f>
        <v>0</v>
      </c>
      <c r="U5" s="6">
        <f>(MEDIA[[#This Row],[NO3-N 
(mg L-1)]])*4.426</f>
        <v>0</v>
      </c>
      <c r="V5" s="6"/>
      <c r="W5" s="6"/>
      <c r="X5" s="4"/>
      <c r="Y5" s="4"/>
      <c r="Z5" s="48"/>
      <c r="AA5" s="48"/>
      <c r="AB5" s="48"/>
      <c r="AC5" s="20"/>
      <c r="AD5" s="6"/>
      <c r="AE5" s="6"/>
      <c r="AF5" s="6"/>
      <c r="AG5" s="6"/>
      <c r="AH5" s="6"/>
      <c r="AI5" s="48"/>
      <c r="AJ5" s="6"/>
      <c r="AK5" s="6"/>
      <c r="AL5" s="6"/>
      <c r="AM5" s="6"/>
      <c r="AN5" s="6"/>
      <c r="AO5" s="6"/>
      <c r="AP5" s="6"/>
      <c r="AQ5" s="26"/>
      <c r="AR5" s="26"/>
      <c r="AS5" s="48"/>
      <c r="AT5" s="48"/>
      <c r="AU5" s="48"/>
      <c r="AV5" s="6"/>
      <c r="AW5" s="29"/>
      <c r="AY5"/>
    </row>
    <row r="6" spans="1:51" x14ac:dyDescent="0.3">
      <c r="A6" s="128">
        <v>43329</v>
      </c>
      <c r="B6" s="29">
        <v>3</v>
      </c>
      <c r="C6" s="151"/>
      <c r="D6" s="162"/>
      <c r="E6" s="42"/>
      <c r="F6" s="151"/>
      <c r="G6" s="151"/>
      <c r="H6" s="41"/>
      <c r="I6" s="152"/>
      <c r="J6" s="152"/>
      <c r="K6" s="29"/>
      <c r="M6" s="29"/>
      <c r="N6" s="29"/>
      <c r="O6" s="29"/>
      <c r="P6" s="29"/>
      <c r="Q6" s="29"/>
      <c r="R6" s="29"/>
      <c r="S6" s="4">
        <f>MEDIA[[#This Row],[NH4-N 
(mg L-1)]]*1.288</f>
        <v>0</v>
      </c>
      <c r="T6" s="6">
        <f>MEDIA[[#This Row],[NO2-N 
(mg L-1)]]*3.284</f>
        <v>0</v>
      </c>
      <c r="U6" s="6">
        <f>(MEDIA[[#This Row],[NO3-N 
(mg L-1)]])*4.426</f>
        <v>0</v>
      </c>
      <c r="V6" s="6"/>
      <c r="W6" s="6"/>
      <c r="X6" s="4"/>
      <c r="Y6" s="4"/>
      <c r="Z6" s="48"/>
      <c r="AA6" s="48"/>
      <c r="AB6" s="48"/>
      <c r="AC6" s="20"/>
      <c r="AD6" s="6"/>
      <c r="AE6" s="6"/>
      <c r="AF6" s="6"/>
      <c r="AG6" s="6"/>
      <c r="AH6" s="6"/>
      <c r="AI6" s="48"/>
      <c r="AJ6" s="6"/>
      <c r="AK6" s="6"/>
      <c r="AL6" s="6"/>
      <c r="AM6" s="6"/>
      <c r="AN6" s="6"/>
      <c r="AO6" s="6"/>
      <c r="AP6" s="6"/>
      <c r="AQ6" s="26"/>
      <c r="AR6" s="26"/>
      <c r="AS6" s="48"/>
      <c r="AT6" s="48"/>
      <c r="AU6" s="48"/>
      <c r="AV6" s="6"/>
      <c r="AW6" s="29"/>
      <c r="AY6"/>
    </row>
    <row r="7" spans="1:51" x14ac:dyDescent="0.3">
      <c r="A7" s="128">
        <v>43330</v>
      </c>
      <c r="B7" s="29">
        <v>4</v>
      </c>
      <c r="C7" s="151"/>
      <c r="D7" s="162"/>
      <c r="E7" s="42"/>
      <c r="F7" s="151"/>
      <c r="G7" s="151"/>
      <c r="H7" s="41"/>
      <c r="I7" s="152"/>
      <c r="J7" s="152"/>
      <c r="K7" s="29"/>
      <c r="M7" s="29"/>
      <c r="N7" s="29"/>
      <c r="O7" s="29"/>
      <c r="P7" s="29"/>
      <c r="Q7" s="29"/>
      <c r="R7" s="29"/>
      <c r="S7" s="4">
        <f>MEDIA[[#This Row],[NH4-N 
(mg L-1)]]*1.288</f>
        <v>0</v>
      </c>
      <c r="T7" s="6">
        <f>MEDIA[[#This Row],[NO2-N 
(mg L-1)]]*3.284</f>
        <v>0</v>
      </c>
      <c r="U7" s="6">
        <f>(MEDIA[[#This Row],[NO3-N 
(mg L-1)]])*4.426</f>
        <v>0</v>
      </c>
      <c r="V7" s="6"/>
      <c r="W7" s="6"/>
      <c r="X7" s="4"/>
      <c r="Y7" s="4"/>
      <c r="Z7" s="48"/>
      <c r="AA7" s="48"/>
      <c r="AB7" s="48"/>
      <c r="AC7" s="20"/>
      <c r="AD7" s="6"/>
      <c r="AE7" s="6"/>
      <c r="AF7" s="6"/>
      <c r="AG7" s="6"/>
      <c r="AH7" s="6"/>
      <c r="AI7" s="48"/>
      <c r="AJ7" s="6"/>
      <c r="AK7" s="6"/>
      <c r="AL7" s="6"/>
      <c r="AM7" s="6"/>
      <c r="AN7" s="6"/>
      <c r="AO7" s="6"/>
      <c r="AP7" s="6"/>
      <c r="AQ7" s="26"/>
      <c r="AR7" s="26"/>
      <c r="AS7" s="48"/>
      <c r="AT7" s="48"/>
      <c r="AU7" s="48"/>
      <c r="AV7" s="6"/>
      <c r="AW7" s="29"/>
      <c r="AY7"/>
    </row>
    <row r="8" spans="1:51" x14ac:dyDescent="0.3">
      <c r="A8" s="128">
        <v>43331</v>
      </c>
      <c r="B8" s="29">
        <v>5</v>
      </c>
      <c r="C8" s="151"/>
      <c r="D8" s="162"/>
      <c r="E8" s="42"/>
      <c r="F8" s="151"/>
      <c r="G8" s="151"/>
      <c r="H8" s="41"/>
      <c r="I8" s="130"/>
      <c r="J8" s="130"/>
      <c r="S8" s="4"/>
      <c r="T8" s="6"/>
      <c r="U8" s="6"/>
      <c r="V8" s="6"/>
      <c r="W8" s="6"/>
      <c r="X8" s="4"/>
      <c r="Y8" s="4"/>
      <c r="Z8" s="48"/>
      <c r="AA8" s="48"/>
      <c r="AB8" s="48"/>
      <c r="AC8" s="20"/>
      <c r="AD8" s="6"/>
      <c r="AE8" s="6"/>
      <c r="AF8" s="6"/>
      <c r="AG8" s="6"/>
      <c r="AH8" s="6"/>
      <c r="AI8" s="48"/>
      <c r="AJ8" s="6"/>
      <c r="AK8" s="6"/>
      <c r="AL8" s="6"/>
      <c r="AM8" s="6"/>
      <c r="AN8" s="6"/>
      <c r="AO8" s="6"/>
      <c r="AP8" s="6"/>
      <c r="AQ8" s="26"/>
      <c r="AR8" s="26"/>
      <c r="AS8" s="48"/>
      <c r="AT8" s="48"/>
      <c r="AU8" s="48"/>
      <c r="AV8" s="6"/>
      <c r="AW8" s="29"/>
      <c r="AY8"/>
    </row>
    <row r="9" spans="1:51" x14ac:dyDescent="0.3">
      <c r="A9" s="128">
        <v>43332</v>
      </c>
      <c r="B9" s="29">
        <v>6</v>
      </c>
      <c r="C9" s="151"/>
      <c r="D9" s="162"/>
      <c r="E9" s="42"/>
      <c r="F9" s="151"/>
      <c r="G9" s="151"/>
      <c r="H9" s="41"/>
      <c r="I9" s="130"/>
      <c r="J9" s="130"/>
      <c r="S9" s="4"/>
      <c r="T9" s="6"/>
      <c r="U9" s="6"/>
      <c r="V9" s="6"/>
      <c r="W9" s="6"/>
      <c r="X9" s="4"/>
      <c r="Y9" s="4"/>
      <c r="Z9" s="48"/>
      <c r="AA9" s="48"/>
      <c r="AB9" s="48"/>
      <c r="AC9" s="20"/>
      <c r="AD9" s="6"/>
      <c r="AE9" s="6"/>
      <c r="AF9" s="6"/>
      <c r="AG9" s="6"/>
      <c r="AH9" s="6"/>
      <c r="AI9" s="48"/>
      <c r="AJ9" s="6"/>
      <c r="AK9" s="6"/>
      <c r="AL9" s="6"/>
      <c r="AM9" s="6"/>
      <c r="AN9" s="6"/>
      <c r="AO9" s="6"/>
      <c r="AP9" s="6"/>
      <c r="AQ9" s="26"/>
      <c r="AR9" s="26"/>
      <c r="AS9" s="48"/>
      <c r="AT9" s="48"/>
      <c r="AU9" s="48"/>
      <c r="AV9" s="6"/>
      <c r="AW9" s="29" t="s">
        <v>530</v>
      </c>
      <c r="AY9"/>
    </row>
    <row r="10" spans="1:51" x14ac:dyDescent="0.3">
      <c r="A10" s="128">
        <v>43333</v>
      </c>
      <c r="B10" s="29">
        <v>7</v>
      </c>
      <c r="C10" s="151">
        <v>5.0999999999999996</v>
      </c>
      <c r="D10" s="162">
        <f>MEDIA[[#This Row],[Flow 
(L h-1)]]/1000*24</f>
        <v>0.12239999999999998</v>
      </c>
      <c r="E10" s="42">
        <f>IF(IFERROR(Information!$R$47/MEDIA[[#This Row],[Flow 
(m3 d-1)]]*24,0)&lt;0,0,IFERROR(Information!$R$47/MEDIA[[#This Row],[Flow 
(m3 d-1)]]*24,0))</f>
        <v>235.29411764705884</v>
      </c>
      <c r="F10" s="151">
        <v>7.2039114492959921</v>
      </c>
      <c r="G10" s="151">
        <v>5.4614717239712479E-2</v>
      </c>
      <c r="H10" s="41">
        <v>27.782509298301413</v>
      </c>
      <c r="I10" s="29">
        <f>stableMED[[#This Row],[MLVSS 
(mg L-1)]]/0.2</f>
        <v>6000</v>
      </c>
      <c r="J10" s="29">
        <f>600*2</f>
        <v>1200</v>
      </c>
      <c r="K10" s="29">
        <v>15600</v>
      </c>
      <c r="L10" s="29">
        <f>MEDIA[[#This Row],[COD 
(mg L-1)]]*Information!$AK$42</f>
        <v>11076</v>
      </c>
      <c r="M10" s="29">
        <v>989</v>
      </c>
      <c r="N10" s="29">
        <v>7.8</v>
      </c>
      <c r="O10" s="29">
        <v>23460</v>
      </c>
      <c r="P10" s="29"/>
      <c r="Q10" s="29">
        <v>42.05</v>
      </c>
      <c r="R10" s="29">
        <v>3.5</v>
      </c>
      <c r="S10" s="4">
        <f>MEDIA[[#This Row],[NH4-N 
(mg L-1)]]*1.288</f>
        <v>171.51007999999999</v>
      </c>
      <c r="T10" s="6">
        <f>MEDIA[[#This Row],[NO2-N 
(mg L-1)]]*3.284</f>
        <v>14.436463999999999</v>
      </c>
      <c r="U10" s="6">
        <f>(MEDIA[[#This Row],[NO3-N 
(mg L-1)]])*4.426</f>
        <v>0.8497920000000001</v>
      </c>
      <c r="V10" s="6">
        <v>133.16</v>
      </c>
      <c r="W10" s="6">
        <v>4.3959999999999999</v>
      </c>
      <c r="X10" s="4">
        <f>IF(MEDIA[[#This Row],[TON 
(mg L-1)]]-MEDIA[[#This Row],[NO2-N 
(mg L-1)]]&lt;0,0.192,MEDIA[[#This Row],[TON 
(mg L-1)]]-MEDIA[[#This Row],[NO2-N 
(mg L-1)]])</f>
        <v>0.192</v>
      </c>
      <c r="Y10" s="4">
        <f>SUM(MEDIA[[#This Row],[NH4-N 
(mg L-1)]],MEDIA[[#This Row],[NO3-N 
(mg L-1)]],MEDIA[[#This Row],[NO2-N 
(mg L-1)]])</f>
        <v>137.74799999999999</v>
      </c>
      <c r="Z10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1.4994845521851865E-4</v>
      </c>
      <c r="AA10" s="48">
        <f>IF(IFERROR(MEDIA[[#This Row],[NO2-N 
(mg L-1)]]/MEDIA[[#This Row],[NH4-N 
(mg L-1)]],0)&lt;0,0,IFERROR(MEDIA[[#This Row],[NO2-N 
(mg L-1)]]/MEDIA[[#This Row],[NH4-N 
(mg L-1)]],0))</f>
        <v>3.3012916791829376E-2</v>
      </c>
      <c r="AB10" s="48">
        <f>MEDIA[[#This Row],[NO2-N 
(mg L-1)]]/(MEDIA[[#This Row],[NO3-N 
(mg L-1)]]+MEDIA[[#This Row],[NO2-N 
(mg L-1)]])</f>
        <v>0.95815170008718387</v>
      </c>
      <c r="AC10" s="20">
        <f>46/14*MEDIA[[#This Row],[NO2-N 
(mg L-1)]]/(EXP(-2300/(MEDIA[[#This Row],[Temp. 
(°C)]]+273))*10^(MEDIA[[#This Row],[pHreactor]]))</f>
        <v>1.8910580737002431E-3</v>
      </c>
      <c r="AD10" s="6">
        <f>17/14*MEDIA[NH4-N 
(mg L-1)]*10^MEDIA[[#This Row],[pHreactor]]/(EXP((6344/(273+MEDIA[[#This Row],[Temp. 
(°C)]])))+10^MEDIA[pHreactor])</f>
        <v>1.7694540681405211</v>
      </c>
      <c r="AE10" s="6">
        <f>Influent[[#This Row],[NH4-N (mg L-1)]]*MEDIA[[#This Row],[Flow 
(m3 d-1)]]/(Information!$R$48*Information!$R$49)</f>
        <v>0.3604679999999999</v>
      </c>
      <c r="AF10" s="6">
        <f>(Influent[[#This Row],[NH4-N (mg L-1)]]-MEDIA[[#This Row],[NH4-N 
(mg L-1)]])*MEDIA[[#This Row],[Flow 
(m3 d-1)]]/(Information!$R$48*Information!$R$49)</f>
        <v>0.32651219999999992</v>
      </c>
      <c r="AG10" s="6">
        <f>Influent[[#This Row],[COD (mg L-1)]]*MEDIA[[#This Row],[Flow 
(m3 d-1)]]/(Information!$R$48*Information!$R$49)</f>
        <v>1.0123499999999999</v>
      </c>
      <c r="AH10" s="6">
        <f>(Influent[[#This Row],[COD (mg L-1)]]-MEDIA[[#This Row],[COD 
(mg L-1)]])*MEDIA[[#This Row],[Flow 
(m3 d-1)]]/(Information!$R$48*Information!$R$49)</f>
        <v>-2.9656499999999992</v>
      </c>
      <c r="AI10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1275.8519999999999</v>
      </c>
      <c r="AJ10" s="6">
        <f>IFERROR(IF(Influent[[#This Row],[COD (mg L-1)]]-MEDIA[[#This Row],[COD 
(mg L-1)]]&lt;0,0,Influent[[#This Row],[COD (mg L-1)]]-MEDIA[[#This Row],[COD 
(mg L-1)]]),0)</f>
        <v>0</v>
      </c>
      <c r="AK10" s="6">
        <f>IFERROR(IF(Influent[[#This Row],[Alkalinity (mg CaCO3 L-1) ]]-MEDIA[[#This Row],[Alkalinity 
(mg CaCO3 L-1) ]]&lt;0,0,Influent[[#This Row],[Alkalinity (mg CaCO3 L-1) ]]-MEDIA[[#This Row],[Alkalinity 
(mg CaCO3 L-1) ]]),0)</f>
        <v>4404</v>
      </c>
      <c r="AL10" s="6"/>
      <c r="AM10" s="6"/>
      <c r="AN10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0.13060487999999998</v>
      </c>
      <c r="AO10" s="6">
        <f>Influent[[#This Row],[TN (mg L-1)]]/MEDIA[[#This Row],[HRT 
(h)]]*24/1000</f>
        <v>0.14420759999999999</v>
      </c>
      <c r="AP10" s="6">
        <f>MEDIA[[#This Row],[NRE 
(%)]]*MEDIA[[#This Row],[NLR 
(kg N m-3 d-1)]]</f>
        <v>0.130157304</v>
      </c>
      <c r="AQ10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0.90580079230333888</v>
      </c>
      <c r="AR10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0.90256896307822887</v>
      </c>
      <c r="AS10" s="48">
        <f>418/30</f>
        <v>13.933333333333334</v>
      </c>
      <c r="AT10" s="48">
        <v>0.10299999999999999</v>
      </c>
      <c r="AU10" s="48">
        <v>5.5E-2</v>
      </c>
      <c r="AV10" s="6">
        <f>stableMED[[#This Row],[SAAcarrier
(g N g VSS-1d-1)]]+stableMED[[#This Row],[SAAsuspension
(g N g VSS-1d-1)]]</f>
        <v>0.158</v>
      </c>
      <c r="AW10" s="29"/>
      <c r="AY10"/>
    </row>
    <row r="11" spans="1:51" x14ac:dyDescent="0.3">
      <c r="A11" s="128">
        <v>43334</v>
      </c>
      <c r="B11" s="29">
        <v>8</v>
      </c>
      <c r="C11" s="151">
        <v>16.49082349870239</v>
      </c>
      <c r="D11" s="162">
        <f>MEDIA[[#This Row],[Flow 
(L h-1)]]/1000*24</f>
        <v>0.39577976396885739</v>
      </c>
      <c r="E11" s="42">
        <f>IF(IFERROR(Information!$R$47/MEDIA[[#This Row],[Flow 
(m3 d-1)]]*24,0)&lt;0,0,IFERROR(Information!$R$47/MEDIA[[#This Row],[Flow 
(m3 d-1)]]*24,0))</f>
        <v>72.767742623309502</v>
      </c>
      <c r="F11" s="151">
        <v>7.2620058581051996</v>
      </c>
      <c r="G11" s="151">
        <v>7.8844151467715895E-2</v>
      </c>
      <c r="H11" s="41">
        <v>30.738752938442371</v>
      </c>
      <c r="I11" s="130"/>
      <c r="J11" s="130"/>
      <c r="K11" s="29">
        <v>13725</v>
      </c>
      <c r="L11" s="29">
        <f>MEDIA[[#This Row],[COD 
(mg L-1)]]*Information!$AK$42</f>
        <v>9744.75</v>
      </c>
      <c r="M11" s="29">
        <v>1205</v>
      </c>
      <c r="N11" s="29">
        <v>7.9</v>
      </c>
      <c r="O11" s="29">
        <v>12480</v>
      </c>
      <c r="P11" s="29"/>
      <c r="Q11" s="29">
        <v>67.12</v>
      </c>
      <c r="R11" s="29">
        <v>6</v>
      </c>
      <c r="S11" s="4">
        <f>MEDIA[[#This Row],[NH4-N 
(mg L-1)]]*1.288</f>
        <v>222.88840000000002</v>
      </c>
      <c r="T11" s="6">
        <f>MEDIA[[#This Row],[NO2-N 
(mg L-1)]]*3.284</f>
        <v>2.6272E-2</v>
      </c>
      <c r="U11" s="6">
        <f>(MEDIA[[#This Row],[NO3-N 
(mg L-1)]])*4.426</f>
        <v>26.520592000000001</v>
      </c>
      <c r="V11" s="6">
        <v>173.05</v>
      </c>
      <c r="W11" s="6">
        <v>8.0000000000000002E-3</v>
      </c>
      <c r="X11" s="4">
        <f>IF(MEDIA[[#This Row],[TON 
(mg L-1)]]-MEDIA[[#This Row],[NO2-N 
(mg L-1)]]&lt;0,0.192,MEDIA[[#This Row],[TON 
(mg L-1)]]-MEDIA[[#This Row],[NO2-N 
(mg L-1)]])</f>
        <v>5.992</v>
      </c>
      <c r="Y11" s="4">
        <f>SUM(MEDIA[[#This Row],[NH4-N 
(mg L-1)]],MEDIA[[#This Row],[NO3-N 
(mg L-1)]],MEDIA[[#This Row],[NO2-N 
(mg L-1)]])</f>
        <v>179.05</v>
      </c>
      <c r="Z11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4.5770156208226713E-3</v>
      </c>
      <c r="AA11" s="48">
        <f>IF(IFERROR(MEDIA[[#This Row],[NO2-N 
(mg L-1)]]/MEDIA[[#This Row],[NH4-N 
(mg L-1)]],0)&lt;0,0,IFERROR(MEDIA[[#This Row],[NO2-N 
(mg L-1)]]/MEDIA[[#This Row],[NH4-N 
(mg L-1)]],0))</f>
        <v>4.6229413464316672E-5</v>
      </c>
      <c r="AB11" s="48">
        <f>MEDIA[[#This Row],[NO2-N 
(mg L-1)]]/(MEDIA[[#This Row],[NO3-N 
(mg L-1)]]+MEDIA[[#This Row],[NO2-N 
(mg L-1)]])</f>
        <v>1.3333333333333333E-3</v>
      </c>
      <c r="AC11" s="20">
        <f>46/14*MEDIA[[#This Row],[NO2-N 
(mg L-1)]]/(EXP(-2300/(MEDIA[[#This Row],[Temp. 
(°C)]]+273))*10^(MEDIA[[#This Row],[pHreactor]]))</f>
        <v>2.79460646350812E-6</v>
      </c>
      <c r="AD11" s="6">
        <f>17/14*MEDIA[NH4-N 
(mg L-1)]*10^MEDIA[[#This Row],[pHreactor]]/(EXP((6344/(273+MEDIA[[#This Row],[Temp. 
(°C)]])))+10^MEDIA[pHreactor])</f>
        <v>3.2134410156070916</v>
      </c>
      <c r="AE11" s="6">
        <f>Influent[[#This Row],[NH4-N (mg L-1)]]*MEDIA[[#This Row],[Flow 
(m3 d-1)]]/(Information!$R$48*Information!$R$49)</f>
        <v>1.2221349294888344</v>
      </c>
      <c r="AF11" s="6">
        <f>(Influent[[#This Row],[NH4-N (mg L-1)]]-MEDIA[[#This Row],[NH4-N 
(mg L-1)]])*MEDIA[[#This Row],[Flow 
(m3 d-1)]]/(Information!$R$48*Information!$R$49)</f>
        <v>1.0794480791663119</v>
      </c>
      <c r="AG11" s="6">
        <f>Influent[[#This Row],[COD (mg L-1)]]*MEDIA[[#This Row],[Flow 
(m3 d-1)]]/(Information!$R$48*Information!$R$49)</f>
        <v>3.2486922292443712</v>
      </c>
      <c r="AH11" s="6">
        <f>(Influent[[#This Row],[COD (mg L-1)]]-MEDIA[[#This Row],[COD 
(mg L-1)]])*MEDIA[[#This Row],[Flow 
(m3 d-1)]]/(Information!$R$48*Information!$R$49)</f>
        <v>-8.0681353967401446</v>
      </c>
      <c r="AI11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1303.1500000000001</v>
      </c>
      <c r="AJ11" s="6">
        <f>IFERROR(IF(Influent[[#This Row],[COD (mg L-1)]]-MEDIA[[#This Row],[COD 
(mg L-1)]]&lt;0,0,Influent[[#This Row],[COD (mg L-1)]]-MEDIA[[#This Row],[COD 
(mg L-1)]]),0)</f>
        <v>0</v>
      </c>
      <c r="AK11" s="6">
        <f>IFERROR(IF(Influent[[#This Row],[Alkalinity (mg CaCO3 L-1) ]]-MEDIA[[#This Row],[Alkalinity 
(mg CaCO3 L-1) ]]&lt;0,0,Influent[[#This Row],[Alkalinity (mg CaCO3 L-1) ]]-MEDIA[[#This Row],[Alkalinity 
(mg CaCO3 L-1) ]]),0)</f>
        <v>4354</v>
      </c>
      <c r="AL11" s="6"/>
      <c r="AM11" s="6"/>
      <c r="AN11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0.43177923166652477</v>
      </c>
      <c r="AO11" s="6">
        <f>Influent[[#This Row],[TN (mg L-1)]]/MEDIA[[#This Row],[HRT 
(h)]]*24/1000</f>
        <v>0.48891993508952852</v>
      </c>
      <c r="AP11" s="6">
        <f>MEDIA[[#This Row],[NRE 
(%)]]*MEDIA[[#This Row],[NLR 
(kg N m-3 d-1)]]</f>
        <v>0.42986629614067529</v>
      </c>
      <c r="AQ11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0.88324787478073141</v>
      </c>
      <c r="AR11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0.87921613599568271</v>
      </c>
      <c r="AS11" s="48"/>
      <c r="AT11" s="48"/>
      <c r="AU11" s="48"/>
      <c r="AV11" s="6"/>
      <c r="AW11" s="29"/>
      <c r="AY11"/>
    </row>
    <row r="12" spans="1:51" x14ac:dyDescent="0.3">
      <c r="A12" s="128">
        <v>43335</v>
      </c>
      <c r="B12" s="29">
        <v>9</v>
      </c>
      <c r="C12" s="151">
        <v>2.4549527060691783</v>
      </c>
      <c r="D12" s="162">
        <f>MEDIA[[#This Row],[Flow 
(L h-1)]]/1000*24</f>
        <v>5.8918864945660274E-2</v>
      </c>
      <c r="E12" s="42">
        <f>IF(IFERROR(Information!$R$47/MEDIA[[#This Row],[Flow 
(m3 d-1)]]*24,0)&lt;0,0,IFERROR(Information!$R$47/MEDIA[[#This Row],[Flow 
(m3 d-1)]]*24,0))</f>
        <v>488.8077872267512</v>
      </c>
      <c r="F12" s="151">
        <v>6.9244787864327551</v>
      </c>
      <c r="G12" s="151">
        <v>0.54048247173485431</v>
      </c>
      <c r="H12" s="41">
        <v>31.317503803018809</v>
      </c>
      <c r="I12" s="130">
        <v>18750</v>
      </c>
      <c r="J12" s="130">
        <v>9545</v>
      </c>
      <c r="K12" s="29">
        <v>3180</v>
      </c>
      <c r="L12" s="29">
        <f>MEDIA[[#This Row],[COD 
(mg L-1)]]*Information!$AK$42</f>
        <v>2257.7999999999997</v>
      </c>
      <c r="M12" s="29">
        <v>1001</v>
      </c>
      <c r="N12" s="29">
        <v>7.8</v>
      </c>
      <c r="O12" s="29">
        <v>2506.6999999999998</v>
      </c>
      <c r="P12" s="29"/>
      <c r="Q12" s="29">
        <v>9.18</v>
      </c>
      <c r="R12" s="29">
        <v>0.2</v>
      </c>
      <c r="S12" s="4">
        <f>MEDIA[[#This Row],[NH4-N 
(mg L-1)]]*1.288</f>
        <v>235.83279999999999</v>
      </c>
      <c r="T12" s="6">
        <f>MEDIA[[#This Row],[NO2-N 
(mg L-1)]]*3.284</f>
        <v>2.6272E-2</v>
      </c>
      <c r="U12" s="6">
        <f>(MEDIA[[#This Row],[NO3-N 
(mg L-1)]])*4.426</f>
        <v>0.8497920000000001</v>
      </c>
      <c r="V12" s="6">
        <v>183.1</v>
      </c>
      <c r="W12" s="6">
        <v>8.0000000000000002E-3</v>
      </c>
      <c r="X12" s="4">
        <f>IF(MEDIA[[#This Row],[TON 
(mg L-1)]]-MEDIA[[#This Row],[NO2-N 
(mg L-1)]]&lt;0,0.192,MEDIA[[#This Row],[TON 
(mg L-1)]]-MEDIA[[#This Row],[NO2-N 
(mg L-1)]])</f>
        <v>0.192</v>
      </c>
      <c r="Y12" s="4">
        <f>SUM(MEDIA[[#This Row],[NH4-N 
(mg L-1)]],MEDIA[[#This Row],[NO3-N 
(mg L-1)]],MEDIA[[#This Row],[NO2-N 
(mg L-1)]])</f>
        <v>183.3</v>
      </c>
      <c r="Z12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1.5209125475285171E-4</v>
      </c>
      <c r="AA12" s="48">
        <f>IF(IFERROR(MEDIA[[#This Row],[NO2-N 
(mg L-1)]]/MEDIA[[#This Row],[NH4-N 
(mg L-1)]],0)&lt;0,0,IFERROR(MEDIA[[#This Row],[NO2-N 
(mg L-1)]]/MEDIA[[#This Row],[NH4-N 
(mg L-1)]],0))</f>
        <v>4.3691971600218465E-5</v>
      </c>
      <c r="AB12" s="48">
        <f>MEDIA[[#This Row],[NO2-N 
(mg L-1)]]/(MEDIA[[#This Row],[NO3-N 
(mg L-1)]]+MEDIA[[#This Row],[NO2-N 
(mg L-1)]])</f>
        <v>0.04</v>
      </c>
      <c r="AC12" s="20">
        <f>46/14*MEDIA[[#This Row],[NO2-N 
(mg L-1)]]/(EXP(-2300/(MEDIA[[#This Row],[Temp. 
(°C)]]+273))*10^(MEDIA[[#This Row],[pHreactor]]))</f>
        <v>5.9922987923353514E-6</v>
      </c>
      <c r="AD12" s="6">
        <f>17/14*MEDIA[NH4-N 
(mg L-1)]*10^MEDIA[[#This Row],[pHreactor]]/(EXP((6344/(273+MEDIA[[#This Row],[Temp. 
(°C)]])))+10^MEDIA[pHreactor])</f>
        <v>1.6394171429784228</v>
      </c>
      <c r="AE12" s="6">
        <f>Influent[[#This Row],[NH4-N (mg L-1)]]*MEDIA[[#This Row],[Flow 
(m3 d-1)]]/(Information!$R$48*Information!$R$49)</f>
        <v>0.17743170683114984</v>
      </c>
      <c r="AF12" s="6">
        <f>(Influent[[#This Row],[NH4-N (mg L-1)]]-MEDIA[[#This Row],[NH4-N 
(mg L-1)]])*MEDIA[[#This Row],[Flow 
(m3 d-1)]]/(Information!$R$48*Information!$R$49)</f>
        <v>0.15495661480708653</v>
      </c>
      <c r="AG12" s="6">
        <f>Influent[[#This Row],[COD (mg L-1)]]*MEDIA[[#This Row],[Flow 
(m3 d-1)]]/(Information!$R$48*Information!$R$49)</f>
        <v>0.47196465774179946</v>
      </c>
      <c r="AH12" s="6">
        <f>(Influent[[#This Row],[COD (mg L-1)]]-MEDIA[[#This Row],[COD 
(mg L-1)]])*MEDIA[[#This Row],[Flow 
(m3 d-1)]]/(Information!$R$48*Information!$R$49)</f>
        <v>8.1627177476800178E-2</v>
      </c>
      <c r="AI12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1262.2</v>
      </c>
      <c r="AJ12" s="6">
        <f>IFERROR(IF(Influent[[#This Row],[COD (mg L-1)]]-MEDIA[[#This Row],[COD 
(mg L-1)]]&lt;0,0,Influent[[#This Row],[COD (mg L-1)]]-MEDIA[[#This Row],[COD 
(mg L-1)]]),0)</f>
        <v>665</v>
      </c>
      <c r="AK12" s="6">
        <f>IFERROR(IF(Influent[[#This Row],[Alkalinity (mg CaCO3 L-1) ]]-MEDIA[[#This Row],[Alkalinity 
(mg CaCO3 L-1) ]]&lt;0,0,Influent[[#This Row],[Alkalinity (mg CaCO3 L-1) ]]-MEDIA[[#This Row],[Alkalinity 
(mg CaCO3 L-1) ]]),0)</f>
        <v>4497</v>
      </c>
      <c r="AL12" s="6">
        <f>Influent[[#This Row],[COD (mg L-1)]]/MEDIA[[#This Row],[HRT 
(h)]]*24/1000</f>
        <v>0.18878586309671982</v>
      </c>
      <c r="AM12" s="6">
        <f>IF(((MEDIA[[#This Row],[ΔC (mg L-1)]])*24/MEDIA[[#This Row],[HRT 
(h)]]/1000) &lt;0,0, (MEDIA[[#This Row],[ΔC (mg L-1)]])*24/MEDIA[[#This Row],[HRT 
(h)]]/1000)</f>
        <v>3.2650870990720074E-2</v>
      </c>
      <c r="AN12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6.1982645922834617E-2</v>
      </c>
      <c r="AO12" s="6">
        <f>Influent[[#This Row],[TN (mg L-1)]]/MEDIA[[#This Row],[HRT 
(h)]]*24/1000</f>
        <v>7.0982502543284226E-2</v>
      </c>
      <c r="AP12" s="6">
        <f>MEDIA[[#This Row],[NRE 
(%)]]*MEDIA[[#This Row],[NLR 
(kg N m-3 d-1)]]</f>
        <v>6.1982645922834624E-2</v>
      </c>
      <c r="AQ12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0.87333102732618473</v>
      </c>
      <c r="AR12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0.87321020958705131</v>
      </c>
      <c r="AS12" s="48"/>
      <c r="AT12" s="48"/>
      <c r="AU12" s="48"/>
      <c r="AV12" s="6"/>
      <c r="AW12" s="29" t="s">
        <v>533</v>
      </c>
      <c r="AY12"/>
    </row>
    <row r="13" spans="1:51" x14ac:dyDescent="0.3">
      <c r="A13" s="128">
        <v>43336</v>
      </c>
      <c r="B13" s="29">
        <v>10</v>
      </c>
      <c r="C13" s="151"/>
      <c r="D13" s="162"/>
      <c r="E13" s="42"/>
      <c r="F13" s="151"/>
      <c r="G13" s="151"/>
      <c r="H13" s="41"/>
      <c r="I13" s="130"/>
      <c r="J13" s="130"/>
      <c r="K13" s="29"/>
      <c r="M13" s="29"/>
      <c r="N13" s="29"/>
      <c r="O13" s="29"/>
      <c r="P13" s="29"/>
      <c r="Q13" s="29"/>
      <c r="R13" s="29"/>
      <c r="S13" s="4">
        <f>MEDIA[[#This Row],[NH4-N 
(mg L-1)]]*1.288</f>
        <v>0</v>
      </c>
      <c r="T13" s="6">
        <f>MEDIA[[#This Row],[NO2-N 
(mg L-1)]]*3.284</f>
        <v>0</v>
      </c>
      <c r="U13" s="6">
        <f>(MEDIA[[#This Row],[NO3-N 
(mg L-1)]])*4.426</f>
        <v>0</v>
      </c>
      <c r="V13" s="6"/>
      <c r="W13" s="6"/>
      <c r="X13" s="4"/>
      <c r="Y13" s="4"/>
      <c r="Z13" s="48"/>
      <c r="AA13" s="48"/>
      <c r="AB13" s="48"/>
      <c r="AC13" s="20"/>
      <c r="AD13" s="6"/>
      <c r="AE13" s="6"/>
      <c r="AF13" s="6"/>
      <c r="AG13" s="6"/>
      <c r="AH13" s="6"/>
      <c r="AI13" s="48"/>
      <c r="AJ13" s="6"/>
      <c r="AK13" s="6"/>
      <c r="AL13" s="6"/>
      <c r="AM13" s="6"/>
      <c r="AN13" s="6"/>
      <c r="AO13" s="6"/>
      <c r="AP13" s="6"/>
      <c r="AQ13" s="26"/>
      <c r="AR13" s="26"/>
      <c r="AS13" s="48"/>
      <c r="AT13" s="48"/>
      <c r="AU13" s="48"/>
      <c r="AV13" s="6"/>
      <c r="AW13" s="29"/>
      <c r="AY13"/>
    </row>
    <row r="14" spans="1:51" x14ac:dyDescent="0.3">
      <c r="A14" s="128">
        <v>43337</v>
      </c>
      <c r="B14" s="29">
        <v>11</v>
      </c>
      <c r="C14" s="151"/>
      <c r="D14" s="162"/>
      <c r="E14" s="42"/>
      <c r="F14" s="151"/>
      <c r="G14" s="151"/>
      <c r="H14" s="41"/>
      <c r="I14" s="130"/>
      <c r="J14" s="130"/>
      <c r="K14" s="29"/>
      <c r="M14" s="29"/>
      <c r="N14" s="29"/>
      <c r="O14" s="29"/>
      <c r="P14" s="29"/>
      <c r="Q14" s="29"/>
      <c r="R14" s="29"/>
      <c r="S14" s="4">
        <f>MEDIA[[#This Row],[NH4-N 
(mg L-1)]]*1.288</f>
        <v>0</v>
      </c>
      <c r="T14" s="6">
        <f>MEDIA[[#This Row],[NO2-N 
(mg L-1)]]*3.284</f>
        <v>0</v>
      </c>
      <c r="U14" s="6">
        <f>(MEDIA[[#This Row],[NO3-N 
(mg L-1)]])*4.426</f>
        <v>0</v>
      </c>
      <c r="V14" s="6"/>
      <c r="W14" s="6"/>
      <c r="X14" s="4"/>
      <c r="Y14" s="4"/>
      <c r="Z14" s="48"/>
      <c r="AA14" s="48"/>
      <c r="AB14" s="48"/>
      <c r="AC14" s="20"/>
      <c r="AD14" s="6"/>
      <c r="AE14" s="6"/>
      <c r="AF14" s="6"/>
      <c r="AG14" s="6"/>
      <c r="AH14" s="6"/>
      <c r="AI14" s="48"/>
      <c r="AJ14" s="6"/>
      <c r="AK14" s="6"/>
      <c r="AL14" s="6"/>
      <c r="AM14" s="6"/>
      <c r="AN14" s="6"/>
      <c r="AO14" s="6"/>
      <c r="AP14" s="6"/>
      <c r="AQ14" s="26"/>
      <c r="AR14" s="26"/>
      <c r="AS14" s="48"/>
      <c r="AT14" s="48"/>
      <c r="AU14" s="48"/>
      <c r="AV14" s="6"/>
      <c r="AW14" s="29"/>
      <c r="AY14"/>
    </row>
    <row r="15" spans="1:51" x14ac:dyDescent="0.3">
      <c r="A15" s="128">
        <v>43338</v>
      </c>
      <c r="B15" s="29">
        <v>12</v>
      </c>
      <c r="C15" s="151"/>
      <c r="D15" s="162"/>
      <c r="E15" s="42"/>
      <c r="F15" s="151"/>
      <c r="G15" s="151"/>
      <c r="H15" s="41"/>
      <c r="I15" s="130"/>
      <c r="J15" s="130"/>
      <c r="K15" s="29"/>
      <c r="M15" s="29"/>
      <c r="N15" s="29"/>
      <c r="O15" s="29"/>
      <c r="P15" s="29"/>
      <c r="Q15" s="29"/>
      <c r="R15" s="29"/>
      <c r="S15" s="4">
        <f>MEDIA[[#This Row],[NH4-N 
(mg L-1)]]*1.288</f>
        <v>0</v>
      </c>
      <c r="T15" s="6">
        <f>MEDIA[[#This Row],[NO2-N 
(mg L-1)]]*3.284</f>
        <v>0</v>
      </c>
      <c r="U15" s="6">
        <f>(MEDIA[[#This Row],[NO3-N 
(mg L-1)]])*4.426</f>
        <v>0</v>
      </c>
      <c r="V15" s="6"/>
      <c r="W15" s="6"/>
      <c r="X15" s="4"/>
      <c r="Y15" s="4"/>
      <c r="Z15" s="48"/>
      <c r="AA15" s="48"/>
      <c r="AB15" s="48"/>
      <c r="AC15" s="20"/>
      <c r="AD15" s="6"/>
      <c r="AE15" s="6"/>
      <c r="AF15" s="6"/>
      <c r="AG15" s="6"/>
      <c r="AH15" s="6"/>
      <c r="AI15" s="48"/>
      <c r="AJ15" s="6"/>
      <c r="AK15" s="6"/>
      <c r="AL15" s="6"/>
      <c r="AM15" s="6"/>
      <c r="AN15" s="6"/>
      <c r="AO15" s="6"/>
      <c r="AP15" s="6"/>
      <c r="AQ15" s="26"/>
      <c r="AR15" s="26"/>
      <c r="AS15" s="48"/>
      <c r="AT15" s="48"/>
      <c r="AU15" s="48"/>
      <c r="AV15" s="6"/>
      <c r="AW15" s="29"/>
      <c r="AY15"/>
    </row>
    <row r="16" spans="1:51" x14ac:dyDescent="0.3">
      <c r="A16" s="128">
        <v>43339</v>
      </c>
      <c r="B16" s="29">
        <v>13</v>
      </c>
      <c r="C16" s="151"/>
      <c r="D16" s="162"/>
      <c r="E16" s="42"/>
      <c r="F16" s="151"/>
      <c r="G16" s="151"/>
      <c r="H16" s="41"/>
      <c r="I16" s="130"/>
      <c r="J16" s="130"/>
      <c r="K16" s="29"/>
      <c r="M16" s="29"/>
      <c r="N16" s="29"/>
      <c r="O16" s="29"/>
      <c r="P16" s="29"/>
      <c r="Q16" s="29"/>
      <c r="R16" s="29"/>
      <c r="S16" s="4">
        <f>MEDIA[[#This Row],[NH4-N 
(mg L-1)]]*1.288</f>
        <v>0</v>
      </c>
      <c r="T16" s="6">
        <f>MEDIA[[#This Row],[NO2-N 
(mg L-1)]]*3.284</f>
        <v>0</v>
      </c>
      <c r="U16" s="6">
        <f>(MEDIA[[#This Row],[NO3-N 
(mg L-1)]])*4.426</f>
        <v>0</v>
      </c>
      <c r="V16" s="6"/>
      <c r="W16" s="6"/>
      <c r="X16" s="4"/>
      <c r="Y16" s="4"/>
      <c r="Z16" s="48"/>
      <c r="AA16" s="48"/>
      <c r="AB16" s="48"/>
      <c r="AC16" s="20"/>
      <c r="AD16" s="6"/>
      <c r="AE16" s="6"/>
      <c r="AF16" s="6"/>
      <c r="AG16" s="6"/>
      <c r="AH16" s="6"/>
      <c r="AI16" s="48"/>
      <c r="AJ16" s="6"/>
      <c r="AK16" s="6"/>
      <c r="AL16" s="6"/>
      <c r="AM16" s="6"/>
      <c r="AN16" s="6"/>
      <c r="AO16" s="6"/>
      <c r="AP16" s="6"/>
      <c r="AQ16" s="26"/>
      <c r="AR16" s="26"/>
      <c r="AS16" s="48"/>
      <c r="AT16" s="48"/>
      <c r="AU16" s="48"/>
      <c r="AV16" s="6"/>
      <c r="AW16" s="29"/>
      <c r="AY16"/>
    </row>
    <row r="17" spans="1:51" x14ac:dyDescent="0.3">
      <c r="A17" s="128">
        <v>43340</v>
      </c>
      <c r="B17" s="29">
        <v>14</v>
      </c>
      <c r="C17" s="151"/>
      <c r="D17" s="162"/>
      <c r="E17" s="42"/>
      <c r="F17" s="151"/>
      <c r="G17" s="151"/>
      <c r="H17" s="41"/>
      <c r="I17" s="130"/>
      <c r="J17" s="130"/>
      <c r="K17" s="29"/>
      <c r="M17" s="29"/>
      <c r="N17" s="29"/>
      <c r="O17" s="29"/>
      <c r="P17" s="29"/>
      <c r="Q17" s="29"/>
      <c r="R17" s="29"/>
      <c r="S17" s="4">
        <f>MEDIA[[#This Row],[NH4-N 
(mg L-1)]]*1.288</f>
        <v>0</v>
      </c>
      <c r="T17" s="6">
        <f>MEDIA[[#This Row],[NO2-N 
(mg L-1)]]*3.284</f>
        <v>0</v>
      </c>
      <c r="U17" s="6">
        <f>(MEDIA[[#This Row],[NO3-N 
(mg L-1)]])*4.426</f>
        <v>0</v>
      </c>
      <c r="V17" s="6"/>
      <c r="W17" s="6"/>
      <c r="X17" s="4"/>
      <c r="Y17" s="4"/>
      <c r="Z17" s="48"/>
      <c r="AA17" s="48"/>
      <c r="AB17" s="48"/>
      <c r="AC17" s="20"/>
      <c r="AD17" s="6"/>
      <c r="AE17" s="6"/>
      <c r="AF17" s="6"/>
      <c r="AG17" s="6"/>
      <c r="AH17" s="6"/>
      <c r="AI17" s="48"/>
      <c r="AJ17" s="6"/>
      <c r="AK17" s="6"/>
      <c r="AL17" s="6"/>
      <c r="AM17" s="6"/>
      <c r="AN17" s="6"/>
      <c r="AO17" s="6"/>
      <c r="AP17" s="6"/>
      <c r="AQ17" s="26"/>
      <c r="AR17" s="26"/>
      <c r="AS17" s="48"/>
      <c r="AT17" s="48"/>
      <c r="AU17" s="48"/>
      <c r="AV17" s="6"/>
      <c r="AW17" s="29"/>
      <c r="AY17"/>
    </row>
    <row r="18" spans="1:51" x14ac:dyDescent="0.3">
      <c r="A18" s="128">
        <v>43341</v>
      </c>
      <c r="B18" s="29">
        <v>15</v>
      </c>
      <c r="C18" s="151">
        <v>3.6706330268923422</v>
      </c>
      <c r="D18" s="162">
        <f>MEDIA[[#This Row],[Flow 
(L h-1)]]/1000*24</f>
        <v>8.8095192645416209E-2</v>
      </c>
      <c r="E18" s="42">
        <f>IF(IFERROR(Information!$R$47/MEDIA[[#This Row],[Flow 
(m3 d-1)]]*24,0)&lt;0,0,IFERROR(Information!$R$47/MEDIA[[#This Row],[Flow 
(m3 d-1)]]*24,0))</f>
        <v>326.9190875820002</v>
      </c>
      <c r="F18" s="151">
        <v>6.6422534705615215</v>
      </c>
      <c r="G18" s="151">
        <v>0.75967979860963697</v>
      </c>
      <c r="H18" s="41">
        <v>30.895082075866465</v>
      </c>
      <c r="I18" s="130"/>
      <c r="J18" s="130"/>
      <c r="K18" s="29">
        <v>968</v>
      </c>
      <c r="L18" s="29">
        <f>MEDIA[[#This Row],[COD 
(mg L-1)]]*Information!$AK$42</f>
        <v>687.28</v>
      </c>
      <c r="M18" s="29">
        <v>180</v>
      </c>
      <c r="N18" s="29">
        <v>7.5</v>
      </c>
      <c r="O18" s="29">
        <v>262</v>
      </c>
      <c r="P18" s="29"/>
      <c r="Q18" s="29">
        <v>0.3</v>
      </c>
      <c r="R18" s="29">
        <v>2.2999999999999998</v>
      </c>
      <c r="S18" s="4">
        <f>MEDIA[[#This Row],[NH4-N 
(mg L-1)]]*1.288</f>
        <v>54.765760000000007</v>
      </c>
      <c r="T18" s="6">
        <f>MEDIA[[#This Row],[NO2-N 
(mg L-1)]]*3.284</f>
        <v>3.0606879999999999</v>
      </c>
      <c r="U18" s="6">
        <f>(MEDIA[[#This Row],[NO3-N 
(mg L-1)]])*4.426</f>
        <v>6.0547679999999993</v>
      </c>
      <c r="V18" s="6">
        <v>42.52</v>
      </c>
      <c r="W18" s="6">
        <v>0.93200000000000005</v>
      </c>
      <c r="X18" s="4">
        <f>IF(MEDIA[[#This Row],[TON 
(mg L-1)]]-MEDIA[[#This Row],[NO2-N 
(mg L-1)]]&lt;0,0.192,MEDIA[[#This Row],[TON 
(mg L-1)]]-MEDIA[[#This Row],[NO2-N 
(mg L-1)]])</f>
        <v>1.3679999999999999</v>
      </c>
      <c r="Y18" s="4">
        <f>SUM(MEDIA[[#This Row],[NH4-N 
(mg L-1)]],MEDIA[[#This Row],[NO3-N 
(mg L-1)]],MEDIA[[#This Row],[NO2-N 
(mg L-1)]])</f>
        <v>44.820000000000007</v>
      </c>
      <c r="Z18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1.1455559463397476E-3</v>
      </c>
      <c r="AA18" s="48">
        <f>IF(IFERROR(MEDIA[[#This Row],[NO2-N 
(mg L-1)]]/MEDIA[[#This Row],[NH4-N 
(mg L-1)]],0)&lt;0,0,IFERROR(MEDIA[[#This Row],[NO2-N 
(mg L-1)]]/MEDIA[[#This Row],[NH4-N 
(mg L-1)]],0))</f>
        <v>2.1919096895578551E-2</v>
      </c>
      <c r="AB18" s="48">
        <f>MEDIA[[#This Row],[NO2-N 
(mg L-1)]]/(MEDIA[[#This Row],[NO3-N 
(mg L-1)]]+MEDIA[[#This Row],[NO2-N 
(mg L-1)]])</f>
        <v>0.40521739130434786</v>
      </c>
      <c r="AC18" s="20">
        <f>46/14*MEDIA[[#This Row],[NO2-N 
(mg L-1)]]/(EXP(-2300/(MEDIA[[#This Row],[Temp. 
(°C)]]+273))*10^(MEDIA[[#This Row],[pHreactor]]))</f>
        <v>1.3511614727213955E-3</v>
      </c>
      <c r="AD18" s="6">
        <f>17/14*MEDIA[NH4-N 
(mg L-1)]*10^MEDIA[[#This Row],[pHreactor]]/(EXP((6344/(273+MEDIA[[#This Row],[Temp. 
(°C)]])))+10^MEDIA[pHreactor])</f>
        <v>0.19380514255009382</v>
      </c>
      <c r="AE18" s="6">
        <f>Influent[[#This Row],[NH4-N (mg L-1)]]*MEDIA[[#This Row],[Flow 
(m3 d-1)]]/(Information!$R$48*Information!$R$49)</f>
        <v>0.22697359321788796</v>
      </c>
      <c r="AF18" s="6">
        <f>(Influent[[#This Row],[NH4-N (mg L-1)]]-MEDIA[[#This Row],[NH4-N 
(mg L-1)]])*MEDIA[[#This Row],[Flow 
(m3 d-1)]]/(Information!$R$48*Information!$R$49)</f>
        <v>0.21916982740271485</v>
      </c>
      <c r="AG18" s="6">
        <f>Influent[[#This Row],[COD (mg L-1)]]*MEDIA[[#This Row],[Flow 
(m3 d-1)]]/(Information!$R$48*Information!$R$49)</f>
        <v>0</v>
      </c>
      <c r="AH18" s="6">
        <f>(Influent[[#This Row],[COD (mg L-1)]]-MEDIA[[#This Row],[COD 
(mg L-1)]])*MEDIA[[#This Row],[Flow 
(m3 d-1)]]/(Information!$R$48*Information!$R$49)</f>
        <v>-0.17765863850158936</v>
      </c>
      <c r="AI18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1191.8800000000001</v>
      </c>
      <c r="AJ18" s="6">
        <f>IFERROR(IF(Influent[[#This Row],[COD (mg L-1)]]-MEDIA[[#This Row],[COD 
(mg L-1)]]&lt;0,0,Influent[[#This Row],[COD (mg L-1)]]-MEDIA[[#This Row],[COD 
(mg L-1)]]),0)</f>
        <v>0</v>
      </c>
      <c r="AK18" s="6">
        <f>IFERROR(IF(Influent[[#This Row],[Alkalinity (mg CaCO3 L-1) ]]-MEDIA[[#This Row],[Alkalinity 
(mg CaCO3 L-1) ]]&lt;0,0,Influent[[#This Row],[Alkalinity (mg CaCO3 L-1) ]]-MEDIA[[#This Row],[Alkalinity 
(mg CaCO3 L-1) ]]),0)</f>
        <v>4464</v>
      </c>
      <c r="AL18" s="6">
        <f>Influent[[#This Row],[COD (mg L-1)]]/MEDIA[[#This Row],[HRT 
(h)]]*24/1000</f>
        <v>0</v>
      </c>
      <c r="AM18" s="6">
        <f>IF(((MEDIA[[#This Row],[ΔC (mg L-1)]])*24/MEDIA[[#This Row],[HRT 
(h)]]/1000) &lt;0,0, (MEDIA[[#This Row],[ΔC (mg L-1)]])*24/MEDIA[[#This Row],[HRT 
(h)]]/1000)</f>
        <v>0</v>
      </c>
      <c r="AN18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8.7667930961085938E-2</v>
      </c>
      <c r="AO18" s="6">
        <f>Influent[[#This Row],[TN (mg L-1)]]/MEDIA[[#This Row],[HRT 
(h)]]*24/1000</f>
        <v>9.0804119819262757E-2</v>
      </c>
      <c r="AP18" s="6">
        <f>MEDIA[[#This Row],[NRE 
(%)]]*MEDIA[[#This Row],[NLR 
(kg N m-3 d-1)]]</f>
        <v>8.7513764373956471E-2</v>
      </c>
      <c r="AQ18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0.96561817740761702</v>
      </c>
      <c r="AR18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0.96376424933300997</v>
      </c>
      <c r="AS18" s="48"/>
      <c r="AT18" s="48"/>
      <c r="AU18" s="48"/>
      <c r="AV18" s="6"/>
      <c r="AW18" s="29"/>
      <c r="AY18"/>
    </row>
    <row r="19" spans="1:51" x14ac:dyDescent="0.3">
      <c r="A19" s="128">
        <v>43342</v>
      </c>
      <c r="B19" s="29">
        <v>16</v>
      </c>
      <c r="C19" s="151">
        <v>3.3999913224574803</v>
      </c>
      <c r="D19" s="162">
        <f>MEDIA[[#This Row],[Flow 
(L h-1)]]/1000*24</f>
        <v>8.1599791738979521E-2</v>
      </c>
      <c r="E19" s="42">
        <f>IF(IFERROR(Information!$R$47/MEDIA[[#This Row],[Flow 
(m3 d-1)]]*24,0)&lt;0,0,IFERROR(Information!$R$47/MEDIA[[#This Row],[Flow 
(m3 d-1)]]*24,0))</f>
        <v>352.94207725584778</v>
      </c>
      <c r="F19" s="151">
        <v>6.898019221126102</v>
      </c>
      <c r="G19" s="151">
        <v>0.39360812223648617</v>
      </c>
      <c r="H19" s="41">
        <v>29.126135634449113</v>
      </c>
      <c r="I19" s="130"/>
      <c r="J19" s="130"/>
      <c r="K19" s="29">
        <v>862</v>
      </c>
      <c r="L19" s="29">
        <f>MEDIA[[#This Row],[COD 
(mg L-1)]]*Information!$AK$42</f>
        <v>612.02</v>
      </c>
      <c r="M19" s="29">
        <v>194</v>
      </c>
      <c r="N19" s="29">
        <v>7.9</v>
      </c>
      <c r="O19" s="29">
        <v>74</v>
      </c>
      <c r="P19" s="29"/>
      <c r="Q19" s="29">
        <v>0.44</v>
      </c>
      <c r="R19" s="29">
        <v>2.8</v>
      </c>
      <c r="S19" s="4">
        <f>MEDIA[[#This Row],[NH4-N 
(mg L-1)]]*1.288</f>
        <v>61.991440000000004</v>
      </c>
      <c r="T19" s="6">
        <f>MEDIA[[#This Row],[NO2-N 
(mg L-1)]]*3.284</f>
        <v>3.6353879999999998</v>
      </c>
      <c r="U19" s="6">
        <f>(MEDIA[[#This Row],[NO3-N 
(mg L-1)]])*4.426</f>
        <v>7.4932179999999997</v>
      </c>
      <c r="V19" s="6">
        <v>48.13</v>
      </c>
      <c r="W19" s="6">
        <v>1.107</v>
      </c>
      <c r="X19" s="4">
        <f>IF(MEDIA[[#This Row],[TON 
(mg L-1)]]-MEDIA[[#This Row],[NO2-N 
(mg L-1)]]&lt;0,0.192,MEDIA[[#This Row],[TON 
(mg L-1)]]-MEDIA[[#This Row],[NO2-N 
(mg L-1)]])</f>
        <v>1.6929999999999998</v>
      </c>
      <c r="Y19" s="4">
        <f>SUM(MEDIA[[#This Row],[NH4-N 
(mg L-1)]],MEDIA[[#This Row],[NO3-N 
(mg L-1)]],MEDIA[[#This Row],[NO2-N 
(mg L-1)]])</f>
        <v>50.93</v>
      </c>
      <c r="Z19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1.317028013100267E-3</v>
      </c>
      <c r="AA19" s="48">
        <f>IF(IFERROR(MEDIA[[#This Row],[NO2-N 
(mg L-1)]]/MEDIA[[#This Row],[NH4-N 
(mg L-1)]],0)&lt;0,0,IFERROR(MEDIA[[#This Row],[NO2-N 
(mg L-1)]]/MEDIA[[#This Row],[NH4-N 
(mg L-1)]],0))</f>
        <v>2.3000207770621232E-2</v>
      </c>
      <c r="AB19" s="48">
        <f>MEDIA[[#This Row],[NO2-N 
(mg L-1)]]/(MEDIA[[#This Row],[NO3-N 
(mg L-1)]]+MEDIA[[#This Row],[NO2-N 
(mg L-1)]])</f>
        <v>0.39535714285714285</v>
      </c>
      <c r="AC19" s="20">
        <f>46/14*MEDIA[[#This Row],[NO2-N 
(mg L-1)]]/(EXP(-2300/(MEDIA[[#This Row],[Temp. 
(°C)]]+273))*10^(MEDIA[[#This Row],[pHreactor]]))</f>
        <v>9.3093225043923411E-4</v>
      </c>
      <c r="AD19" s="6">
        <f>17/14*MEDIA[NH4-N 
(mg L-1)]*10^MEDIA[[#This Row],[pHreactor]]/(EXP((6344/(273+MEDIA[[#This Row],[Temp. 
(°C)]])))+10^MEDIA[pHreactor])</f>
        <v>0.34906224863615226</v>
      </c>
      <c r="AE19" s="6">
        <f>Influent[[#This Row],[NH4-N (mg L-1)]]*MEDIA[[#This Row],[Flow 
(m3 d-1)]]/(Information!$R$48*Information!$R$49)</f>
        <v>0.22671142138146474</v>
      </c>
      <c r="AF19" s="6">
        <f>(Influent[[#This Row],[NH4-N (mg L-1)]]-MEDIA[[#This Row],[NH4-N 
(mg L-1)]])*MEDIA[[#This Row],[Flow 
(m3 d-1)]]/(Information!$R$48*Information!$R$49)</f>
        <v>0.2185293422639708</v>
      </c>
      <c r="AG19" s="6">
        <f>Influent[[#This Row],[COD (mg L-1)]]*MEDIA[[#This Row],[Flow 
(m3 d-1)]]/(Information!$R$48*Information!$R$49)</f>
        <v>0.5694985465116279</v>
      </c>
      <c r="AH19" s="6">
        <f>(Influent[[#This Row],[COD (mg L-1)]]-MEDIA[[#This Row],[COD 
(mg L-1)]])*MEDIA[[#This Row],[Flow 
(m3 d-1)]]/(Information!$R$48*Information!$R$49)</f>
        <v>0.42295892051371048</v>
      </c>
      <c r="AI19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1282.6699999999998</v>
      </c>
      <c r="AJ19" s="6">
        <f>IFERROR(IF(Influent[[#This Row],[COD (mg L-1)]]-MEDIA[[#This Row],[COD 
(mg L-1)]]&lt;0,0,Influent[[#This Row],[COD (mg L-1)]]-MEDIA[[#This Row],[COD 
(mg L-1)]]),0)</f>
        <v>2488</v>
      </c>
      <c r="AK19" s="6">
        <f>IFERROR(IF(Influent[[#This Row],[Alkalinity (mg CaCO3 L-1) ]]-MEDIA[[#This Row],[Alkalinity 
(mg CaCO3 L-1) ]]&lt;0,0,Influent[[#This Row],[Alkalinity (mg CaCO3 L-1) ]]-MEDIA[[#This Row],[Alkalinity 
(mg CaCO3 L-1) ]]),0)</f>
        <v>4818</v>
      </c>
      <c r="AL19" s="6">
        <f>Influent[[#This Row],[COD (mg L-1)]]/MEDIA[[#This Row],[HRT 
(h)]]*24/1000</f>
        <v>0.22779941860465119</v>
      </c>
      <c r="AM19" s="6">
        <f>IF(((MEDIA[[#This Row],[ΔC (mg L-1)]])*24/MEDIA[[#This Row],[HRT 
(h)]]/1000) &lt;0,0, (MEDIA[[#This Row],[ΔC (mg L-1)]])*24/MEDIA[[#This Row],[HRT 
(h)]]/1000)</f>
        <v>0.16918356820548422</v>
      </c>
      <c r="AN19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8.741173690558833E-2</v>
      </c>
      <c r="AO19" s="6">
        <f>Influent[[#This Row],[TN (mg L-1)]]/MEDIA[[#This Row],[HRT 
(h)]]*24/1000</f>
        <v>9.0698168517875738E-2</v>
      </c>
      <c r="AP19" s="6">
        <f>MEDIA[[#This Row],[NRE 
(%)]]*MEDIA[[#This Row],[NLR 
(kg N m-3 d-1)]]</f>
        <v>8.7234937356820544E-2</v>
      </c>
      <c r="AQ19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0.96390971805638859</v>
      </c>
      <c r="AR19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0.96181586444744338</v>
      </c>
      <c r="AS19" s="48"/>
      <c r="AT19" s="48"/>
      <c r="AU19" s="48"/>
      <c r="AV19" s="6"/>
      <c r="AW19" s="29"/>
      <c r="AY19"/>
    </row>
    <row r="20" spans="1:51" x14ac:dyDescent="0.3">
      <c r="A20" s="128">
        <v>43343</v>
      </c>
      <c r="B20" s="29">
        <v>17</v>
      </c>
      <c r="C20" s="151"/>
      <c r="D20" s="162"/>
      <c r="E20" s="42"/>
      <c r="F20" s="151"/>
      <c r="G20" s="151"/>
      <c r="H20" s="41"/>
      <c r="I20" s="130"/>
      <c r="J20" s="130"/>
      <c r="K20" s="29"/>
      <c r="M20" s="29"/>
      <c r="N20" s="29"/>
      <c r="O20" s="29"/>
      <c r="P20" s="29"/>
      <c r="Q20" s="29"/>
      <c r="R20" s="29"/>
      <c r="S20" s="4">
        <f>MEDIA[[#This Row],[NH4-N 
(mg L-1)]]*1.288</f>
        <v>0</v>
      </c>
      <c r="T20" s="6">
        <f>MEDIA[[#This Row],[NO2-N 
(mg L-1)]]*3.284</f>
        <v>0</v>
      </c>
      <c r="U20" s="6">
        <f>(MEDIA[[#This Row],[NO3-N 
(mg L-1)]])*4.426</f>
        <v>0</v>
      </c>
      <c r="V20" s="6"/>
      <c r="W20" s="6"/>
      <c r="X20" s="4"/>
      <c r="Y20" s="4"/>
      <c r="Z20" s="48"/>
      <c r="AA20" s="48"/>
      <c r="AB20" s="48"/>
      <c r="AC20" s="20"/>
      <c r="AD20" s="6"/>
      <c r="AE20" s="6"/>
      <c r="AF20" s="6"/>
      <c r="AG20" s="6"/>
      <c r="AH20" s="6"/>
      <c r="AI20" s="48"/>
      <c r="AJ20" s="6"/>
      <c r="AK20" s="6"/>
      <c r="AL20" s="6"/>
      <c r="AM20" s="6"/>
      <c r="AN20" s="6"/>
      <c r="AO20" s="6"/>
      <c r="AP20" s="6"/>
      <c r="AQ20" s="26"/>
      <c r="AR20" s="26"/>
      <c r="AS20" s="48"/>
      <c r="AT20" s="48"/>
      <c r="AU20" s="48"/>
      <c r="AV20" s="6"/>
      <c r="AW20" s="29" t="s">
        <v>535</v>
      </c>
      <c r="AY20"/>
    </row>
    <row r="21" spans="1:51" x14ac:dyDescent="0.3">
      <c r="A21" s="128">
        <v>43344</v>
      </c>
      <c r="B21" s="29">
        <v>18</v>
      </c>
      <c r="C21" s="151"/>
      <c r="D21" s="162"/>
      <c r="E21" s="42"/>
      <c r="F21" s="151"/>
      <c r="G21" s="151"/>
      <c r="H21" s="41"/>
      <c r="I21" s="130"/>
      <c r="J21" s="130"/>
      <c r="K21" s="29"/>
      <c r="M21" s="29"/>
      <c r="N21" s="29"/>
      <c r="O21" s="29"/>
      <c r="P21" s="29"/>
      <c r="Q21" s="29"/>
      <c r="R21" s="29"/>
      <c r="S21" s="4">
        <f>MEDIA[[#This Row],[NH4-N 
(mg L-1)]]*1.288</f>
        <v>0</v>
      </c>
      <c r="T21" s="6">
        <f>MEDIA[[#This Row],[NO2-N 
(mg L-1)]]*3.284</f>
        <v>0</v>
      </c>
      <c r="U21" s="6">
        <f>(MEDIA[[#This Row],[NO3-N 
(mg L-1)]])*4.426</f>
        <v>0</v>
      </c>
      <c r="V21" s="6"/>
      <c r="W21" s="6"/>
      <c r="X21" s="4"/>
      <c r="Y21" s="4"/>
      <c r="Z21" s="48"/>
      <c r="AA21" s="48"/>
      <c r="AB21" s="48"/>
      <c r="AC21" s="20"/>
      <c r="AD21" s="6"/>
      <c r="AE21" s="6"/>
      <c r="AF21" s="6"/>
      <c r="AG21" s="6"/>
      <c r="AH21" s="6"/>
      <c r="AI21" s="48"/>
      <c r="AJ21" s="6"/>
      <c r="AK21" s="6"/>
      <c r="AL21" s="6"/>
      <c r="AM21" s="6"/>
      <c r="AN21" s="6"/>
      <c r="AO21" s="6"/>
      <c r="AP21" s="6"/>
      <c r="AQ21" s="26"/>
      <c r="AR21" s="26"/>
      <c r="AS21" s="48"/>
      <c r="AT21" s="48"/>
      <c r="AU21" s="48"/>
      <c r="AV21" s="6"/>
      <c r="AW21" s="29" t="s">
        <v>535</v>
      </c>
      <c r="AY21"/>
    </row>
    <row r="22" spans="1:51" x14ac:dyDescent="0.3">
      <c r="A22" s="128">
        <v>43345</v>
      </c>
      <c r="B22" s="29">
        <v>19</v>
      </c>
      <c r="C22" s="151"/>
      <c r="D22" s="162"/>
      <c r="E22" s="42"/>
      <c r="F22" s="151"/>
      <c r="G22" s="151"/>
      <c r="H22" s="41"/>
      <c r="I22" s="130"/>
      <c r="J22" s="130"/>
      <c r="K22" s="29"/>
      <c r="M22" s="29"/>
      <c r="N22" s="29"/>
      <c r="O22" s="29"/>
      <c r="P22" s="29"/>
      <c r="Q22" s="29"/>
      <c r="R22" s="29"/>
      <c r="S22" s="4">
        <f>MEDIA[[#This Row],[NH4-N 
(mg L-1)]]*1.288</f>
        <v>0</v>
      </c>
      <c r="T22" s="6">
        <f>MEDIA[[#This Row],[NO2-N 
(mg L-1)]]*3.284</f>
        <v>0</v>
      </c>
      <c r="U22" s="6">
        <f>(MEDIA[[#This Row],[NO3-N 
(mg L-1)]])*4.426</f>
        <v>0</v>
      </c>
      <c r="V22" s="6"/>
      <c r="W22" s="6"/>
      <c r="X22" s="4"/>
      <c r="Y22" s="4"/>
      <c r="Z22" s="48"/>
      <c r="AA22" s="48"/>
      <c r="AB22" s="48"/>
      <c r="AC22" s="20"/>
      <c r="AD22" s="6"/>
      <c r="AE22" s="6"/>
      <c r="AF22" s="6"/>
      <c r="AG22" s="6"/>
      <c r="AH22" s="6"/>
      <c r="AI22" s="48"/>
      <c r="AJ22" s="6"/>
      <c r="AK22" s="6"/>
      <c r="AL22" s="6"/>
      <c r="AM22" s="6"/>
      <c r="AN22" s="6"/>
      <c r="AO22" s="6"/>
      <c r="AP22" s="6"/>
      <c r="AQ22" s="26"/>
      <c r="AR22" s="26"/>
      <c r="AS22" s="48"/>
      <c r="AT22" s="48"/>
      <c r="AU22" s="48"/>
      <c r="AV22" s="6"/>
      <c r="AW22" s="29" t="s">
        <v>535</v>
      </c>
      <c r="AY22"/>
    </row>
    <row r="23" spans="1:51" x14ac:dyDescent="0.3">
      <c r="A23" s="128">
        <v>43346</v>
      </c>
      <c r="B23" s="29">
        <v>20</v>
      </c>
      <c r="C23" s="151"/>
      <c r="D23" s="162"/>
      <c r="E23" s="42"/>
      <c r="F23" s="151"/>
      <c r="G23" s="151"/>
      <c r="H23" s="41"/>
      <c r="I23" s="130"/>
      <c r="J23" s="130"/>
      <c r="K23" s="29"/>
      <c r="M23" s="29"/>
      <c r="N23" s="29"/>
      <c r="O23" s="29"/>
      <c r="P23" s="29"/>
      <c r="Q23" s="29"/>
      <c r="R23" s="29"/>
      <c r="S23" s="4">
        <f>MEDIA[[#This Row],[NH4-N 
(mg L-1)]]*1.288</f>
        <v>0</v>
      </c>
      <c r="T23" s="6">
        <f>MEDIA[[#This Row],[NO2-N 
(mg L-1)]]*3.284</f>
        <v>0</v>
      </c>
      <c r="U23" s="6">
        <f>(MEDIA[[#This Row],[NO3-N 
(mg L-1)]])*4.426</f>
        <v>0</v>
      </c>
      <c r="V23" s="6"/>
      <c r="W23" s="6"/>
      <c r="X23" s="4"/>
      <c r="Y23" s="4"/>
      <c r="Z23" s="48"/>
      <c r="AA23" s="48"/>
      <c r="AB23" s="48"/>
      <c r="AC23" s="20"/>
      <c r="AD23" s="6"/>
      <c r="AE23" s="6"/>
      <c r="AF23" s="6"/>
      <c r="AG23" s="6"/>
      <c r="AH23" s="6"/>
      <c r="AI23" s="48"/>
      <c r="AJ23" s="6"/>
      <c r="AK23" s="6"/>
      <c r="AL23" s="6"/>
      <c r="AM23" s="6"/>
      <c r="AN23" s="6"/>
      <c r="AO23" s="6"/>
      <c r="AP23" s="6"/>
      <c r="AQ23" s="26"/>
      <c r="AR23" s="26"/>
      <c r="AS23" s="48"/>
      <c r="AT23" s="48"/>
      <c r="AU23" s="48"/>
      <c r="AV23" s="6"/>
      <c r="AW23" s="29" t="s">
        <v>535</v>
      </c>
      <c r="AY23"/>
    </row>
    <row r="24" spans="1:51" x14ac:dyDescent="0.3">
      <c r="A24" s="128">
        <v>43347</v>
      </c>
      <c r="B24" s="29">
        <v>21</v>
      </c>
      <c r="C24" s="151"/>
      <c r="D24" s="162"/>
      <c r="E24" s="42"/>
      <c r="F24" s="151"/>
      <c r="G24" s="151"/>
      <c r="H24" s="41"/>
      <c r="I24" s="130"/>
      <c r="J24" s="130"/>
      <c r="K24" s="29"/>
      <c r="M24" s="29"/>
      <c r="N24" s="29"/>
      <c r="O24" s="29"/>
      <c r="P24" s="29"/>
      <c r="Q24" s="29"/>
      <c r="R24" s="29"/>
      <c r="S24" s="4">
        <f>MEDIA[[#This Row],[NH4-N 
(mg L-1)]]*1.288</f>
        <v>0</v>
      </c>
      <c r="T24" s="6">
        <f>MEDIA[[#This Row],[NO2-N 
(mg L-1)]]*3.284</f>
        <v>0</v>
      </c>
      <c r="U24" s="6">
        <f>(MEDIA[[#This Row],[NO3-N 
(mg L-1)]])*4.426</f>
        <v>0</v>
      </c>
      <c r="V24" s="6"/>
      <c r="W24" s="6"/>
      <c r="X24" s="4"/>
      <c r="Y24" s="4"/>
      <c r="Z24" s="48"/>
      <c r="AA24" s="48"/>
      <c r="AB24" s="48"/>
      <c r="AC24" s="20"/>
      <c r="AD24" s="6"/>
      <c r="AE24" s="6"/>
      <c r="AF24" s="6"/>
      <c r="AG24" s="6"/>
      <c r="AH24" s="6"/>
      <c r="AI24" s="48"/>
      <c r="AJ24" s="6"/>
      <c r="AK24" s="6"/>
      <c r="AL24" s="6"/>
      <c r="AM24" s="6"/>
      <c r="AN24" s="6"/>
      <c r="AO24" s="6"/>
      <c r="AP24" s="6"/>
      <c r="AQ24" s="26"/>
      <c r="AR24" s="26"/>
      <c r="AS24" s="48"/>
      <c r="AT24" s="48"/>
      <c r="AU24" s="48"/>
      <c r="AV24" s="6"/>
      <c r="AW24" s="29" t="s">
        <v>535</v>
      </c>
      <c r="AY24"/>
    </row>
    <row r="25" spans="1:51" x14ac:dyDescent="0.3">
      <c r="A25" s="128">
        <v>43348</v>
      </c>
      <c r="B25" s="29">
        <v>22</v>
      </c>
      <c r="C25" s="151"/>
      <c r="D25" s="162"/>
      <c r="E25" s="42"/>
      <c r="F25" s="151"/>
      <c r="G25" s="151"/>
      <c r="H25" s="41"/>
      <c r="I25" s="130"/>
      <c r="J25" s="130"/>
      <c r="K25" s="29"/>
      <c r="M25" s="29"/>
      <c r="N25" s="29"/>
      <c r="O25" s="29"/>
      <c r="P25" s="29"/>
      <c r="Q25" s="29"/>
      <c r="R25" s="29"/>
      <c r="S25" s="4">
        <f>MEDIA[[#This Row],[NH4-N 
(mg L-1)]]*1.288</f>
        <v>0</v>
      </c>
      <c r="T25" s="6">
        <f>MEDIA[[#This Row],[NO2-N 
(mg L-1)]]*3.284</f>
        <v>0</v>
      </c>
      <c r="U25" s="6">
        <f>(MEDIA[[#This Row],[NO3-N 
(mg L-1)]])*4.426</f>
        <v>0</v>
      </c>
      <c r="V25" s="6"/>
      <c r="W25" s="6"/>
      <c r="X25" s="4"/>
      <c r="Y25" s="4"/>
      <c r="Z25" s="48"/>
      <c r="AA25" s="48"/>
      <c r="AB25" s="48"/>
      <c r="AC25" s="20"/>
      <c r="AD25" s="6"/>
      <c r="AE25" s="6"/>
      <c r="AF25" s="6"/>
      <c r="AG25" s="6"/>
      <c r="AH25" s="6"/>
      <c r="AI25" s="48"/>
      <c r="AJ25" s="6"/>
      <c r="AK25" s="6"/>
      <c r="AL25" s="6"/>
      <c r="AM25" s="6"/>
      <c r="AN25" s="6"/>
      <c r="AO25" s="6"/>
      <c r="AP25" s="6"/>
      <c r="AQ25" s="26"/>
      <c r="AR25" s="26"/>
      <c r="AS25" s="48"/>
      <c r="AT25" s="48"/>
      <c r="AU25" s="48"/>
      <c r="AV25" s="6"/>
      <c r="AW25" s="29" t="s">
        <v>535</v>
      </c>
      <c r="AY25"/>
    </row>
    <row r="26" spans="1:51" x14ac:dyDescent="0.3">
      <c r="A26" s="128">
        <v>43349</v>
      </c>
      <c r="B26" s="29">
        <v>23</v>
      </c>
      <c r="C26" s="151"/>
      <c r="D26" s="162"/>
      <c r="E26" s="42"/>
      <c r="F26" s="151"/>
      <c r="G26" s="151"/>
      <c r="H26" s="41"/>
      <c r="I26" s="130"/>
      <c r="J26" s="130"/>
      <c r="K26" s="29"/>
      <c r="M26" s="29"/>
      <c r="N26" s="29"/>
      <c r="O26" s="29"/>
      <c r="P26" s="29"/>
      <c r="Q26" s="29"/>
      <c r="R26" s="29"/>
      <c r="S26" s="4">
        <f>MEDIA[[#This Row],[NH4-N 
(mg L-1)]]*1.288</f>
        <v>0</v>
      </c>
      <c r="T26" s="6">
        <f>MEDIA[[#This Row],[NO2-N 
(mg L-1)]]*3.284</f>
        <v>0</v>
      </c>
      <c r="U26" s="6">
        <f>(MEDIA[[#This Row],[NO3-N 
(mg L-1)]])*4.426</f>
        <v>0</v>
      </c>
      <c r="V26" s="6"/>
      <c r="W26" s="6"/>
      <c r="X26" s="4"/>
      <c r="Y26" s="4"/>
      <c r="Z26" s="48"/>
      <c r="AA26" s="48"/>
      <c r="AB26" s="48"/>
      <c r="AC26" s="20"/>
      <c r="AD26" s="6"/>
      <c r="AE26" s="6"/>
      <c r="AF26" s="6"/>
      <c r="AG26" s="6"/>
      <c r="AH26" s="6"/>
      <c r="AI26" s="48"/>
      <c r="AJ26" s="6"/>
      <c r="AK26" s="6"/>
      <c r="AL26" s="6"/>
      <c r="AM26" s="6"/>
      <c r="AN26" s="6"/>
      <c r="AO26" s="6"/>
      <c r="AP26" s="6"/>
      <c r="AQ26" s="26"/>
      <c r="AR26" s="26"/>
      <c r="AS26" s="48"/>
      <c r="AT26" s="48"/>
      <c r="AU26" s="48"/>
      <c r="AV26" s="6"/>
      <c r="AW26" s="29" t="s">
        <v>538</v>
      </c>
      <c r="AY26"/>
    </row>
    <row r="27" spans="1:51" x14ac:dyDescent="0.3">
      <c r="A27" s="128">
        <v>43350</v>
      </c>
      <c r="B27" s="29">
        <v>24</v>
      </c>
      <c r="C27" s="151"/>
      <c r="D27" s="162"/>
      <c r="E27" s="42"/>
      <c r="F27" s="151"/>
      <c r="G27" s="151"/>
      <c r="H27" s="41"/>
      <c r="I27" s="130"/>
      <c r="J27" s="130"/>
      <c r="K27" s="29"/>
      <c r="M27" s="29"/>
      <c r="N27" s="29"/>
      <c r="O27" s="29"/>
      <c r="P27" s="29"/>
      <c r="Q27" s="29"/>
      <c r="R27" s="29"/>
      <c r="S27" s="4">
        <f>MEDIA[[#This Row],[NH4-N 
(mg L-1)]]*1.288</f>
        <v>0</v>
      </c>
      <c r="T27" s="6">
        <f>MEDIA[[#This Row],[NO2-N 
(mg L-1)]]*3.284</f>
        <v>0</v>
      </c>
      <c r="U27" s="6">
        <f>(MEDIA[[#This Row],[NO3-N 
(mg L-1)]])*4.426</f>
        <v>0</v>
      </c>
      <c r="V27" s="6"/>
      <c r="W27" s="6"/>
      <c r="X27" s="4"/>
      <c r="Y27" s="4"/>
      <c r="Z27" s="48"/>
      <c r="AA27" s="48"/>
      <c r="AB27" s="48"/>
      <c r="AC27" s="20"/>
      <c r="AD27" s="6"/>
      <c r="AE27" s="6"/>
      <c r="AF27" s="6"/>
      <c r="AG27" s="6"/>
      <c r="AH27" s="6"/>
      <c r="AI27" s="48"/>
      <c r="AJ27" s="6"/>
      <c r="AK27" s="6"/>
      <c r="AL27" s="6"/>
      <c r="AM27" s="6"/>
      <c r="AN27" s="6"/>
      <c r="AO27" s="6"/>
      <c r="AP27" s="6"/>
      <c r="AQ27" s="26"/>
      <c r="AR27" s="26"/>
      <c r="AS27" s="48"/>
      <c r="AT27" s="48"/>
      <c r="AU27" s="48"/>
      <c r="AV27" s="6"/>
      <c r="AW27" s="29" t="s">
        <v>535</v>
      </c>
      <c r="AY27"/>
    </row>
    <row r="28" spans="1:51" x14ac:dyDescent="0.3">
      <c r="A28" s="128">
        <v>43351</v>
      </c>
      <c r="B28" s="29">
        <v>25</v>
      </c>
      <c r="C28" s="151"/>
      <c r="D28" s="162"/>
      <c r="E28" s="42"/>
      <c r="F28" s="151"/>
      <c r="G28" s="151"/>
      <c r="H28" s="41"/>
      <c r="I28" s="130"/>
      <c r="J28" s="130"/>
      <c r="K28" s="29"/>
      <c r="M28" s="29"/>
      <c r="N28" s="29"/>
      <c r="O28" s="29"/>
      <c r="P28" s="29"/>
      <c r="Q28" s="29"/>
      <c r="R28" s="29"/>
      <c r="S28" s="4">
        <f>MEDIA[[#This Row],[NH4-N 
(mg L-1)]]*1.288</f>
        <v>0</v>
      </c>
      <c r="T28" s="6">
        <f>MEDIA[[#This Row],[NO2-N 
(mg L-1)]]*3.284</f>
        <v>0</v>
      </c>
      <c r="U28" s="6">
        <f>(MEDIA[[#This Row],[NO3-N 
(mg L-1)]])*4.426</f>
        <v>0</v>
      </c>
      <c r="V28" s="6"/>
      <c r="W28" s="6"/>
      <c r="X28" s="4"/>
      <c r="Y28" s="4"/>
      <c r="Z28" s="48"/>
      <c r="AA28" s="48"/>
      <c r="AB28" s="48"/>
      <c r="AC28" s="20"/>
      <c r="AD28" s="6"/>
      <c r="AE28" s="6"/>
      <c r="AF28" s="6"/>
      <c r="AG28" s="6"/>
      <c r="AH28" s="6"/>
      <c r="AI28" s="48"/>
      <c r="AJ28" s="6"/>
      <c r="AK28" s="6"/>
      <c r="AL28" s="6"/>
      <c r="AM28" s="6"/>
      <c r="AN28" s="6"/>
      <c r="AO28" s="6"/>
      <c r="AP28" s="6"/>
      <c r="AQ28" s="26"/>
      <c r="AR28" s="26"/>
      <c r="AS28" s="48"/>
      <c r="AT28" s="48"/>
      <c r="AU28" s="48"/>
      <c r="AV28" s="6"/>
      <c r="AW28" s="29" t="s">
        <v>535</v>
      </c>
      <c r="AY28"/>
    </row>
    <row r="29" spans="1:51" x14ac:dyDescent="0.3">
      <c r="A29" s="128">
        <v>43352</v>
      </c>
      <c r="B29" s="29">
        <v>26</v>
      </c>
      <c r="C29" s="151"/>
      <c r="D29" s="162"/>
      <c r="E29" s="42"/>
      <c r="F29" s="151"/>
      <c r="G29" s="151"/>
      <c r="H29" s="41"/>
      <c r="I29" s="130"/>
      <c r="J29" s="130"/>
      <c r="K29" s="29"/>
      <c r="M29" s="29"/>
      <c r="N29" s="29"/>
      <c r="O29" s="29"/>
      <c r="P29" s="29"/>
      <c r="Q29" s="29"/>
      <c r="R29" s="29"/>
      <c r="S29" s="4">
        <f>MEDIA[[#This Row],[NH4-N 
(mg L-1)]]*1.288</f>
        <v>0</v>
      </c>
      <c r="T29" s="6">
        <f>MEDIA[[#This Row],[NO2-N 
(mg L-1)]]*3.284</f>
        <v>0</v>
      </c>
      <c r="U29" s="6">
        <f>(MEDIA[[#This Row],[NO3-N 
(mg L-1)]])*4.426</f>
        <v>0</v>
      </c>
      <c r="V29" s="6"/>
      <c r="W29" s="6"/>
      <c r="X29" s="4"/>
      <c r="Y29" s="4"/>
      <c r="Z29" s="48"/>
      <c r="AA29" s="48"/>
      <c r="AB29" s="48"/>
      <c r="AC29" s="20"/>
      <c r="AD29" s="6"/>
      <c r="AE29" s="6"/>
      <c r="AF29" s="6"/>
      <c r="AG29" s="6"/>
      <c r="AH29" s="6"/>
      <c r="AI29" s="48"/>
      <c r="AJ29" s="6"/>
      <c r="AK29" s="6"/>
      <c r="AL29" s="6"/>
      <c r="AM29" s="6"/>
      <c r="AN29" s="6"/>
      <c r="AO29" s="6"/>
      <c r="AP29" s="6"/>
      <c r="AQ29" s="26"/>
      <c r="AR29" s="26"/>
      <c r="AS29" s="48"/>
      <c r="AT29" s="48"/>
      <c r="AU29" s="48"/>
      <c r="AV29" s="6"/>
      <c r="AW29" s="29" t="s">
        <v>535</v>
      </c>
      <c r="AY29"/>
    </row>
    <row r="30" spans="1:51" x14ac:dyDescent="0.3">
      <c r="A30" s="128">
        <v>43353</v>
      </c>
      <c r="B30" s="29">
        <v>27</v>
      </c>
      <c r="C30" s="151"/>
      <c r="D30" s="162"/>
      <c r="E30" s="42"/>
      <c r="F30" s="151"/>
      <c r="G30" s="151"/>
      <c r="H30" s="41"/>
      <c r="I30" s="130"/>
      <c r="J30" s="130"/>
      <c r="K30" s="29"/>
      <c r="M30" s="29"/>
      <c r="N30" s="29"/>
      <c r="O30" s="29"/>
      <c r="P30" s="29"/>
      <c r="Q30" s="29"/>
      <c r="R30" s="29"/>
      <c r="S30" s="4">
        <f>MEDIA[[#This Row],[NH4-N 
(mg L-1)]]*1.288</f>
        <v>0</v>
      </c>
      <c r="T30" s="6">
        <f>MEDIA[[#This Row],[NO2-N 
(mg L-1)]]*3.284</f>
        <v>0</v>
      </c>
      <c r="U30" s="6">
        <f>(MEDIA[[#This Row],[NO3-N 
(mg L-1)]])*4.426</f>
        <v>0</v>
      </c>
      <c r="V30" s="6"/>
      <c r="W30" s="6"/>
      <c r="X30" s="4"/>
      <c r="Y30" s="4"/>
      <c r="Z30" s="48"/>
      <c r="AA30" s="48"/>
      <c r="AB30" s="48"/>
      <c r="AC30" s="20"/>
      <c r="AD30" s="6"/>
      <c r="AE30" s="6"/>
      <c r="AF30" s="6"/>
      <c r="AG30" s="6"/>
      <c r="AH30" s="6"/>
      <c r="AI30" s="48"/>
      <c r="AJ30" s="6"/>
      <c r="AK30" s="6"/>
      <c r="AL30" s="6"/>
      <c r="AM30" s="6"/>
      <c r="AN30" s="6"/>
      <c r="AO30" s="6"/>
      <c r="AP30" s="6"/>
      <c r="AQ30" s="26"/>
      <c r="AR30" s="26"/>
      <c r="AS30" s="48"/>
      <c r="AT30" s="48"/>
      <c r="AU30" s="48"/>
      <c r="AV30" s="6"/>
      <c r="AW30" s="29" t="s">
        <v>535</v>
      </c>
      <c r="AY30"/>
    </row>
    <row r="31" spans="1:51" x14ac:dyDescent="0.3">
      <c r="A31" s="128">
        <v>43354</v>
      </c>
      <c r="B31" s="29">
        <v>28</v>
      </c>
      <c r="C31" s="151"/>
      <c r="D31" s="162"/>
      <c r="E31" s="42"/>
      <c r="F31" s="151"/>
      <c r="G31" s="151"/>
      <c r="H31" s="41"/>
      <c r="I31" s="130"/>
      <c r="J31" s="130"/>
      <c r="K31" s="29"/>
      <c r="M31" s="29"/>
      <c r="N31" s="29"/>
      <c r="O31" s="29"/>
      <c r="P31" s="29"/>
      <c r="Q31" s="29"/>
      <c r="R31" s="29"/>
      <c r="S31" s="4"/>
      <c r="T31" s="6"/>
      <c r="U31" s="6"/>
      <c r="X31" s="4"/>
      <c r="Y31" s="4"/>
      <c r="Z31" s="48"/>
      <c r="AA31" s="48"/>
      <c r="AB31" s="48"/>
      <c r="AC31" s="20"/>
      <c r="AD31" s="6"/>
      <c r="AE31" s="6"/>
      <c r="AF31" s="6"/>
      <c r="AG31" s="6"/>
      <c r="AH31" s="6"/>
      <c r="AI31" s="48"/>
      <c r="AJ31" s="6"/>
      <c r="AK31" s="6"/>
      <c r="AL31" s="6"/>
      <c r="AM31" s="6"/>
      <c r="AN31" s="6"/>
      <c r="AO31" s="6"/>
      <c r="AP31" s="6"/>
      <c r="AQ31" s="26"/>
      <c r="AR31" s="26"/>
      <c r="AS31" s="48"/>
      <c r="AT31" s="48"/>
      <c r="AU31" s="48"/>
      <c r="AV31" s="6"/>
      <c r="AW31" s="29" t="s">
        <v>539</v>
      </c>
      <c r="AY31"/>
    </row>
    <row r="32" spans="1:51" x14ac:dyDescent="0.3">
      <c r="A32" s="128">
        <v>43355</v>
      </c>
      <c r="B32" s="29">
        <v>29</v>
      </c>
      <c r="C32" s="151">
        <v>3.8807380246603005</v>
      </c>
      <c r="D32" s="162">
        <f>MEDIA[[#This Row],[Flow 
(L h-1)]]/1000*24</f>
        <v>9.3137712591847222E-2</v>
      </c>
      <c r="E32" s="42">
        <f>IF(IFERROR(Information!$R$47/MEDIA[[#This Row],[Flow 
(m3 d-1)]]*24,0)&lt;0,0,IFERROR(Information!$R$47/MEDIA[[#This Row],[Flow 
(m3 d-1)]]*24,0))</f>
        <v>309.21953308225221</v>
      </c>
      <c r="F32" s="151">
        <v>6.3786664806857205</v>
      </c>
      <c r="G32" s="151">
        <v>0.51188562934812842</v>
      </c>
      <c r="H32" s="41">
        <v>30.485470553646067</v>
      </c>
      <c r="I32" s="130">
        <v>17620</v>
      </c>
      <c r="J32" s="130">
        <v>6720</v>
      </c>
      <c r="K32" s="29">
        <v>1740</v>
      </c>
      <c r="L32" s="29">
        <f>MEDIA[[#This Row],[COD 
(mg L-1)]]*Information!$AK$42</f>
        <v>1235.3999999999999</v>
      </c>
      <c r="M32" s="29">
        <v>517</v>
      </c>
      <c r="N32" s="29">
        <v>7.3</v>
      </c>
      <c r="O32" s="29">
        <v>1460</v>
      </c>
      <c r="P32" s="29"/>
      <c r="Q32" s="29">
        <v>2.42</v>
      </c>
      <c r="R32" s="29">
        <v>8.3000000000000007</v>
      </c>
      <c r="S32" s="4">
        <f>MEDIA[[#This Row],[NH4-N 
(mg L-1)]]*1.288</f>
        <v>26.803279999999997</v>
      </c>
      <c r="T32" s="6">
        <f>MEDIA[[#This Row],[NO2-N 
(mg L-1)]]*3.284</f>
        <v>86.342928000000001</v>
      </c>
      <c r="U32" s="6">
        <f>(MEDIA[[#This Row],[NO3-N 
(mg L-1)]])*4.426</f>
        <v>0.8497920000000001</v>
      </c>
      <c r="V32" s="29">
        <v>20.81</v>
      </c>
      <c r="W32" s="29">
        <v>26.292000000000002</v>
      </c>
      <c r="X32" s="4">
        <f>IF(MEDIA[[#This Row],[TON 
(mg L-1)]]-MEDIA[[#This Row],[NO2-N 
(mg L-1)]]&lt;0,0.192,MEDIA[[#This Row],[TON 
(mg L-1)]]-MEDIA[[#This Row],[NO2-N 
(mg L-1)]])</f>
        <v>0.192</v>
      </c>
      <c r="Y32" s="4">
        <f>SUM(MEDIA[[#This Row],[NH4-N 
(mg L-1)]],MEDIA[[#This Row],[NO3-N 
(mg L-1)]],MEDIA[[#This Row],[NO2-N 
(mg L-1)]])</f>
        <v>47.293999999999997</v>
      </c>
      <c r="Z32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1.6600523954037296E-4</v>
      </c>
      <c r="AA32" s="48">
        <f>IF(IFERROR(MEDIA[[#This Row],[NO2-N 
(mg L-1)]]/MEDIA[[#This Row],[NH4-N 
(mg L-1)]],0)&lt;0,0,IFERROR(MEDIA[[#This Row],[NO2-N 
(mg L-1)]]/MEDIA[[#This Row],[NH4-N 
(mg L-1)]],0))</f>
        <v>1.2634310427679003</v>
      </c>
      <c r="AB32" s="48">
        <f>MEDIA[[#This Row],[NO2-N 
(mg L-1)]]/(MEDIA[[#This Row],[NO3-N 
(mg L-1)]]+MEDIA[[#This Row],[NO2-N 
(mg L-1)]])</f>
        <v>0.99275033982782057</v>
      </c>
      <c r="AC32" s="20">
        <f>46/14*MEDIA[[#This Row],[NO2-N 
(mg L-1)]]/(EXP(-2300/(MEDIA[[#This Row],[Temp. 
(°C)]]+273))*10^(MEDIA[[#This Row],[pHreactor]]))</f>
        <v>7.0654247121963637E-2</v>
      </c>
      <c r="AD32" s="6">
        <f>17/14*MEDIA[NH4-N 
(mg L-1)]*10^MEDIA[[#This Row],[pHreactor]]/(EXP((6344/(273+MEDIA[[#This Row],[Temp. 
(°C)]])))+10^MEDIA[pHreactor])</f>
        <v>5.0348630964715667E-2</v>
      </c>
      <c r="AE32" s="6">
        <f>Influent[[#This Row],[NH4-N (mg L-1)]]*MEDIA[[#This Row],[Flow 
(m3 d-1)]]/(Information!$R$48*Information!$R$49)</f>
        <v>0.22845904751175192</v>
      </c>
      <c r="AF32" s="6">
        <f>(Influent[[#This Row],[NH4-N (mg L-1)]]-MEDIA[[#This Row],[NH4-N 
(mg L-1)]])*MEDIA[[#This Row],[Flow 
(m3 d-1)]]/(Information!$R$48*Information!$R$49)</f>
        <v>0.22442113959709289</v>
      </c>
      <c r="AG32" s="6">
        <f>Influent[[#This Row],[COD (mg L-1)]]*MEDIA[[#This Row],[Flow 
(m3 d-1)]]/(Information!$R$48*Information!$R$49)</f>
        <v>0.51031705024282958</v>
      </c>
      <c r="AH32" s="6">
        <f>(Influent[[#This Row],[COD (mg L-1)]]-MEDIA[[#This Row],[COD 
(mg L-1)]])*MEDIA[[#This Row],[Flow 
(m3 d-1)]]/(Information!$R$48*Information!$R$49)</f>
        <v>0.17269284209738339</v>
      </c>
      <c r="AI32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1130.106</v>
      </c>
      <c r="AJ32" s="6">
        <f>IFERROR(IF(Influent[[#This Row],[COD (mg L-1)]]-MEDIA[[#This Row],[COD 
(mg L-1)]]&lt;0,0,Influent[[#This Row],[COD (mg L-1)]]-MEDIA[[#This Row],[COD 
(mg L-1)]]),0)</f>
        <v>890</v>
      </c>
      <c r="AK32" s="6">
        <f>IFERROR(IF(Influent[[#This Row],[Alkalinity (mg CaCO3 L-1) ]]-MEDIA[[#This Row],[Alkalinity 
(mg CaCO3 L-1) ]]&lt;0,0,Influent[[#This Row],[Alkalinity (mg CaCO3 L-1) ]]-MEDIA[[#This Row],[Alkalinity 
(mg CaCO3 L-1) ]]),0)</f>
        <v>3780</v>
      </c>
      <c r="AL32" s="6">
        <f>Influent[[#This Row],[COD (mg L-1)]]/MEDIA[[#This Row],[HRT 
(h)]]*24/1000</f>
        <v>0.20412682009713182</v>
      </c>
      <c r="AM32" s="6">
        <f>IF(((MEDIA[[#This Row],[ΔC (mg L-1)]])*24/MEDIA[[#This Row],[HRT 
(h)]]/1000) &lt;0,0, (MEDIA[[#This Row],[ΔC (mg L-1)]])*24/MEDIA[[#This Row],[HRT 
(h)]]/1000)</f>
        <v>6.9077136838953349E-2</v>
      </c>
      <c r="AN32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8.976845583883715E-2</v>
      </c>
      <c r="AO32" s="6">
        <f>Influent[[#This Row],[TN (mg L-1)]]/MEDIA[[#This Row],[HRT 
(h)]]*24/1000</f>
        <v>9.1399141956799407E-2</v>
      </c>
      <c r="AP32" s="6">
        <f>MEDIA[[#This Row],[NRE 
(%)]]*MEDIA[[#This Row],[NLR 
(kg N m-3 d-1)]]</f>
        <v>8.7728429474033712E-2</v>
      </c>
      <c r="AQ32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0.98232546288432143</v>
      </c>
      <c r="AR32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0.95983865489130427</v>
      </c>
      <c r="AS32" s="48"/>
      <c r="AT32" s="48"/>
      <c r="AU32" s="48"/>
      <c r="AV32" s="6"/>
      <c r="AW32" s="29" t="s">
        <v>543</v>
      </c>
      <c r="AY32"/>
    </row>
    <row r="33" spans="1:51" x14ac:dyDescent="0.3">
      <c r="A33" s="128">
        <v>43356</v>
      </c>
      <c r="B33" s="29">
        <v>30</v>
      </c>
      <c r="C33" s="151">
        <v>9.293366018909003</v>
      </c>
      <c r="D33" s="162">
        <f>MEDIA[[#This Row],[Flow 
(L h-1)]]/1000*24</f>
        <v>0.22304078445381609</v>
      </c>
      <c r="E33" s="42">
        <f>IF(IFERROR(Information!$R$47/MEDIA[[#This Row],[Flow 
(m3 d-1)]]*24,0)&lt;0,0,IFERROR(Information!$R$47/MEDIA[[#This Row],[Flow 
(m3 d-1)]]*24,0))</f>
        <v>129.12436651675904</v>
      </c>
      <c r="F33" s="151">
        <v>6.3551720771802795</v>
      </c>
      <c r="G33" s="151">
        <v>0.78811567128532178</v>
      </c>
      <c r="H33" s="41">
        <v>32.51722166001155</v>
      </c>
      <c r="I33" s="41">
        <f>stableMED[[#This Row],[MLVSS 
(mg L-1)]]/0.47</f>
        <v>13872.340425531916</v>
      </c>
      <c r="J33" s="130">
        <f>3260*2</f>
        <v>6520</v>
      </c>
      <c r="K33" s="29">
        <v>14875</v>
      </c>
      <c r="L33" s="29">
        <f>MEDIA[[#This Row],[COD 
(mg L-1)]]*Information!$AK$42</f>
        <v>10561.25</v>
      </c>
      <c r="M33" s="29">
        <v>1901</v>
      </c>
      <c r="N33" s="29">
        <v>7.3</v>
      </c>
      <c r="O33" s="29">
        <v>18140</v>
      </c>
      <c r="P33" s="29"/>
      <c r="Q33" s="29">
        <v>104.85</v>
      </c>
      <c r="R33" s="29">
        <v>0.9</v>
      </c>
      <c r="S33" s="4">
        <f>MEDIA[[#This Row],[NH4-N 
(mg L-1)]]*1.288</f>
        <v>24.897039999999997</v>
      </c>
      <c r="T33" s="6">
        <f>MEDIA[[#This Row],[NO2-N 
(mg L-1)]]*3.284</f>
        <v>72.770155999999986</v>
      </c>
      <c r="U33" s="6">
        <f>(MEDIA[[#This Row],[NO3-N 
(mg L-1)]])*4.426</f>
        <v>0.8497920000000001</v>
      </c>
      <c r="V33" s="29">
        <v>19.329999999999998</v>
      </c>
      <c r="W33" s="29">
        <v>22.158999999999999</v>
      </c>
      <c r="X33" s="4">
        <f>IF(MEDIA[[#This Row],[TON 
(mg L-1)]]-MEDIA[[#This Row],[NO2-N 
(mg L-1)]]&lt;0,0.192,MEDIA[[#This Row],[TON 
(mg L-1)]]-MEDIA[[#This Row],[NO2-N 
(mg L-1)]])</f>
        <v>0.192</v>
      </c>
      <c r="Y33" s="4">
        <f>SUM(MEDIA[[#This Row],[NH4-N 
(mg L-1)]],MEDIA[[#This Row],[NO3-N 
(mg L-1)]],MEDIA[[#This Row],[NO2-N 
(mg L-1)]])</f>
        <v>41.680999999999997</v>
      </c>
      <c r="Z33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1.4497459169265386E-4</v>
      </c>
      <c r="AA33" s="48">
        <f>IF(IFERROR(MEDIA[[#This Row],[NO2-N 
(mg L-1)]]/MEDIA[[#This Row],[NH4-N 
(mg L-1)]],0)&lt;0,0,IFERROR(MEDIA[[#This Row],[NO2-N 
(mg L-1)]]/MEDIA[[#This Row],[NH4-N 
(mg L-1)]],0))</f>
        <v>1.1463528194516297</v>
      </c>
      <c r="AB33" s="48">
        <f>MEDIA[[#This Row],[NO2-N 
(mg L-1)]]/(MEDIA[[#This Row],[NO3-N 
(mg L-1)]]+MEDIA[[#This Row],[NO2-N 
(mg L-1)]])</f>
        <v>0.99140978032302807</v>
      </c>
      <c r="AC33" s="20">
        <f>46/14*MEDIA[[#This Row],[NO2-N 
(mg L-1)]]/(EXP(-2300/(MEDIA[[#This Row],[Temp. 
(°C)]]+273))*10^(MEDIA[[#This Row],[pHreactor]]))</f>
        <v>5.9768321645481154E-2</v>
      </c>
      <c r="AD33" s="6">
        <f>17/14*MEDIA[NH4-N 
(mg L-1)]*10^MEDIA[[#This Row],[pHreactor]]/(EXP((6344/(273+MEDIA[[#This Row],[Temp. 
(°C)]])))+10^MEDIA[pHreactor])</f>
        <v>5.0903726846013922E-2</v>
      </c>
      <c r="AE33" s="6">
        <f>Influent[[#This Row],[NH4-N (mg L-1)]]*MEDIA[[#This Row],[Flow 
(m3 d-1)]]/(Information!$R$48*Information!$R$49)</f>
        <v>0.62437479598040146</v>
      </c>
      <c r="AF33" s="6">
        <f>(Influent[[#This Row],[NH4-N (mg L-1)]]-MEDIA[[#This Row],[NH4-N 
(mg L-1)]])*MEDIA[[#This Row],[Flow 
(m3 d-1)]]/(Information!$R$48*Information!$R$49)</f>
        <v>0.61539275772312585</v>
      </c>
      <c r="AG33" s="6">
        <f>Influent[[#This Row],[COD (mg L-1)]]*MEDIA[[#This Row],[Flow 
(m3 d-1)]]/(Information!$R$48*Information!$R$49)</f>
        <v>1.3057179256567151</v>
      </c>
      <c r="AH33" s="6">
        <f>(Influent[[#This Row],[COD (mg L-1)]]-MEDIA[[#This Row],[COD 
(mg L-1)]])*MEDIA[[#This Row],[Flow 
(m3 d-1)]]/(Information!$R$48*Information!$R$49)</f>
        <v>-5.6062230509068565</v>
      </c>
      <c r="AI33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1302.019</v>
      </c>
      <c r="AJ33" s="6">
        <f>IFERROR(IF(Influent[[#This Row],[COD (mg L-1)]]-MEDIA[[#This Row],[COD 
(mg L-1)]]&lt;0,0,Influent[[#This Row],[COD (mg L-1)]]-MEDIA[[#This Row],[COD 
(mg L-1)]]),0)</f>
        <v>0</v>
      </c>
      <c r="AK33" s="6">
        <f>IFERROR(IF(Influent[[#This Row],[Alkalinity (mg CaCO3 L-1) ]]-MEDIA[[#This Row],[Alkalinity 
(mg CaCO3 L-1) ]]&lt;0,0,Influent[[#This Row],[Alkalinity (mg CaCO3 L-1) ]]-MEDIA[[#This Row],[Alkalinity 
(mg CaCO3 L-1) ]]),0)</f>
        <v>2923</v>
      </c>
      <c r="AL33" s="6"/>
      <c r="AM33" s="6"/>
      <c r="AN33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0.24615710308925037</v>
      </c>
      <c r="AO33" s="6">
        <f>Influent[[#This Row],[TN (mg L-1)]]/MEDIA[[#This Row],[HRT 
(h)]]*24/1000</f>
        <v>0.25093612363081413</v>
      </c>
      <c r="AP33" s="6">
        <f>MEDIA[[#This Row],[NRE 
(%)]]*MEDIA[[#This Row],[NLR 
(kg N m-3 d-1)]]</f>
        <v>0.24318898785013118</v>
      </c>
      <c r="AQ33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0.98561434844087226</v>
      </c>
      <c r="AR33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0.96912706043040342</v>
      </c>
      <c r="AS33" s="48"/>
      <c r="AT33" s="48"/>
      <c r="AU33" s="48"/>
      <c r="AV33" s="6"/>
      <c r="AW33" s="29"/>
      <c r="AY33"/>
    </row>
    <row r="34" spans="1:51" x14ac:dyDescent="0.3">
      <c r="A34" s="128">
        <v>43357</v>
      </c>
      <c r="B34" s="29">
        <v>31</v>
      </c>
      <c r="C34" s="151">
        <v>9.2575169217044468</v>
      </c>
      <c r="D34" s="162">
        <f>MEDIA[[#This Row],[Flow 
(L h-1)]]/1000*24</f>
        <v>0.22218040612090673</v>
      </c>
      <c r="E34" s="42">
        <f>IF(IFERROR(Information!$R$47/MEDIA[[#This Row],[Flow 
(m3 d-1)]]*24,0)&lt;0,0,IFERROR(Information!$R$47/MEDIA[[#This Row],[Flow 
(m3 d-1)]]*24,0))</f>
        <v>129.62439174014085</v>
      </c>
      <c r="F34" s="151">
        <v>6.7381538952526556</v>
      </c>
      <c r="G34" s="151">
        <v>0.67350789719687609</v>
      </c>
      <c r="H34" s="41">
        <v>28.081257666866218</v>
      </c>
      <c r="I34" s="130"/>
      <c r="J34" s="130"/>
      <c r="K34" s="29">
        <v>14225</v>
      </c>
      <c r="L34" s="29">
        <f>MEDIA[[#This Row],[COD 
(mg L-1)]]*Information!$AK$42</f>
        <v>10099.75</v>
      </c>
      <c r="M34" s="29">
        <v>510</v>
      </c>
      <c r="N34" s="29">
        <v>7.5</v>
      </c>
      <c r="O34" s="29">
        <v>18640</v>
      </c>
      <c r="P34" s="29"/>
      <c r="Q34" s="29">
        <v>4.1900000000000004</v>
      </c>
      <c r="R34" s="29">
        <v>0.2</v>
      </c>
      <c r="S34" s="4">
        <f>MEDIA[[#This Row],[NH4-N 
(mg L-1)]]*1.288</f>
        <v>86.824079999999995</v>
      </c>
      <c r="T34" s="6">
        <f>MEDIA[[#This Row],[NO2-N 
(mg L-1)]]*3.284</f>
        <v>0.39079599999999998</v>
      </c>
      <c r="U34" s="6">
        <f>(MEDIA[[#This Row],[NO3-N 
(mg L-1)]])*4.426</f>
        <v>0.3585060000000001</v>
      </c>
      <c r="V34" s="29">
        <v>67.41</v>
      </c>
      <c r="W34" s="29">
        <v>0.11899999999999999</v>
      </c>
      <c r="X34" s="4">
        <f>IF(MEDIA[[#This Row],[TON 
(mg L-1)]]-MEDIA[[#This Row],[NO2-N 
(mg L-1)]]&lt;0,0.192,MEDIA[[#This Row],[TON 
(mg L-1)]]-MEDIA[[#This Row],[NO2-N 
(mg L-1)]])</f>
        <v>8.1000000000000016E-2</v>
      </c>
      <c r="Y34" s="4">
        <f>SUM(MEDIA[[#This Row],[NH4-N 
(mg L-1)]],MEDIA[[#This Row],[NO3-N 
(mg L-1)]],MEDIA[[#This Row],[NO2-N 
(mg L-1)]])</f>
        <v>67.61</v>
      </c>
      <c r="Z34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5.826541695739433E-5</v>
      </c>
      <c r="AA34" s="48">
        <f>IF(IFERROR(MEDIA[[#This Row],[NO2-N 
(mg L-1)]]/MEDIA[[#This Row],[NH4-N 
(mg L-1)]],0)&lt;0,0,IFERROR(MEDIA[[#This Row],[NO2-N 
(mg L-1)]]/MEDIA[[#This Row],[NH4-N 
(mg L-1)]],0))</f>
        <v>1.7653167185877467E-3</v>
      </c>
      <c r="AB34" s="48">
        <f>MEDIA[[#This Row],[NO2-N 
(mg L-1)]]/(MEDIA[[#This Row],[NO3-N 
(mg L-1)]]+MEDIA[[#This Row],[NO2-N 
(mg L-1)]])</f>
        <v>0.59499999999999997</v>
      </c>
      <c r="AC34" s="20">
        <f>46/14*MEDIA[[#This Row],[NO2-N 
(mg L-1)]]/(EXP(-2300/(MEDIA[[#This Row],[Temp. 
(°C)]]+273))*10^(MEDIA[[#This Row],[pHreactor]]))</f>
        <v>1.4847608264440288E-4</v>
      </c>
      <c r="AD34" s="6">
        <f>17/14*MEDIA[NH4-N 
(mg L-1)]*10^MEDIA[[#This Row],[pHreactor]]/(EXP((6344/(273+MEDIA[[#This Row],[Temp. 
(°C)]])))+10^MEDIA[pHreactor])</f>
        <v>0.31522767942423863</v>
      </c>
      <c r="AE34" s="6">
        <f>Influent[[#This Row],[NH4-N (mg L-1)]]*MEDIA[[#This Row],[Flow 
(m3 d-1)]]/(Information!$R$48*Information!$R$49)</f>
        <v>0.67468783325382009</v>
      </c>
      <c r="AF34" s="6">
        <f>(Influent[[#This Row],[NH4-N (mg L-1)]]-MEDIA[[#This Row],[NH4-N 
(mg L-1)]])*MEDIA[[#This Row],[Flow 
(m3 d-1)]]/(Information!$R$48*Information!$R$49)</f>
        <v>0.64348537246921511</v>
      </c>
      <c r="AG34" s="6">
        <f>Influent[[#This Row],[COD (mg L-1)]]*MEDIA[[#This Row],[Flow 
(m3 d-1)]]/(Information!$R$48*Information!$R$49)</f>
        <v>1.2752229559647874</v>
      </c>
      <c r="AH34" s="6">
        <f>(Influent[[#This Row],[COD (mg L-1)]]-MEDIA[[#This Row],[COD 
(mg L-1)]])*MEDIA[[#This Row],[Flow 
(m3 d-1)]]/(Information!$R$48*Information!$R$49)</f>
        <v>-5.3091859545975</v>
      </c>
      <c r="AI34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1389.99</v>
      </c>
      <c r="AJ34" s="6">
        <f>IFERROR(IF(Influent[[#This Row],[COD (mg L-1)]]-MEDIA[[#This Row],[COD 
(mg L-1)]]&lt;0,0,Influent[[#This Row],[COD (mg L-1)]]-MEDIA[[#This Row],[COD 
(mg L-1)]]),0)</f>
        <v>0</v>
      </c>
      <c r="AK34" s="6">
        <f>IFERROR(IF(Influent[[#This Row],[Alkalinity (mg CaCO3 L-1) ]]-MEDIA[[#This Row],[Alkalinity 
(mg CaCO3 L-1) ]]&lt;0,0,Influent[[#This Row],[Alkalinity (mg CaCO3 L-1) ]]-MEDIA[[#This Row],[Alkalinity 
(mg CaCO3 L-1) ]]),0)</f>
        <v>4540</v>
      </c>
      <c r="AL34" s="6"/>
      <c r="AM34" s="6"/>
      <c r="AN34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0.25739414898768609</v>
      </c>
      <c r="AO34" s="6">
        <f>Influent[[#This Row],[TN (mg L-1)]]/MEDIA[[#This Row],[HRT 
(h)]]*24/1000</f>
        <v>0.26991216336921486</v>
      </c>
      <c r="AP34" s="6">
        <f>MEDIA[[#This Row],[NRE 
(%)]]*MEDIA[[#This Row],[NLR 
(kg N m-3 d-1)]]</f>
        <v>0.25739414898768614</v>
      </c>
      <c r="AQ34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0.95375274423710199</v>
      </c>
      <c r="AR34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0.95362189600768288</v>
      </c>
      <c r="AS34" s="48">
        <f>660/30</f>
        <v>22</v>
      </c>
      <c r="AT34" s="48">
        <v>0.13200000000000001</v>
      </c>
      <c r="AU34" s="48">
        <v>3.4000000000000002E-2</v>
      </c>
      <c r="AV34" s="6">
        <f>stableMED[[#This Row],[SAAcarrier
(g N g VSS-1d-1)]]+stableMED[[#This Row],[SAAsuspension
(g N g VSS-1d-1)]]</f>
        <v>0.16600000000000001</v>
      </c>
      <c r="AW34" s="29"/>
      <c r="AY34"/>
    </row>
    <row r="35" spans="1:51" x14ac:dyDescent="0.3">
      <c r="A35" s="128">
        <v>43358</v>
      </c>
      <c r="B35" s="29">
        <v>32</v>
      </c>
      <c r="C35" s="151">
        <v>14.434018135732845</v>
      </c>
      <c r="D35" s="162">
        <f>MEDIA[[#This Row],[Flow 
(L h-1)]]/1000*24</f>
        <v>0.34641643525758825</v>
      </c>
      <c r="E35" s="42">
        <f>IF(IFERROR(Information!$R$47/MEDIA[[#This Row],[Flow 
(m3 d-1)]]*24,0)&lt;0,0,IFERROR(Information!$R$47/MEDIA[[#This Row],[Flow 
(m3 d-1)]]*24,0))</f>
        <v>83.136933092059849</v>
      </c>
      <c r="F35" s="151">
        <v>6.7457239673353655</v>
      </c>
      <c r="G35" s="151">
        <v>0.98758070041573909</v>
      </c>
      <c r="H35" s="41">
        <v>28.092086186884014</v>
      </c>
      <c r="I35" s="130"/>
      <c r="J35" s="130"/>
      <c r="K35" s="29">
        <v>12000</v>
      </c>
      <c r="L35" s="29">
        <f>MEDIA[[#This Row],[COD 
(mg L-1)]]*Information!$AK$42</f>
        <v>8520</v>
      </c>
      <c r="M35" s="29">
        <v>497</v>
      </c>
      <c r="N35" s="29">
        <v>7.4</v>
      </c>
      <c r="O35" s="29">
        <v>12840</v>
      </c>
      <c r="P35" s="29"/>
      <c r="Q35" s="29">
        <v>2.96</v>
      </c>
      <c r="R35" s="29">
        <v>0.2</v>
      </c>
      <c r="S35" s="4">
        <f>MEDIA[[#This Row],[NH4-N 
(mg L-1)]]*1.288</f>
        <v>129.92056000000002</v>
      </c>
      <c r="T35" s="6">
        <f>MEDIA[[#This Row],[NO2-N 
(mg L-1)]]*3.284</f>
        <v>2.6272E-2</v>
      </c>
      <c r="U35" s="6">
        <f>(MEDIA[[#This Row],[NO3-N 
(mg L-1)]])*4.426</f>
        <v>0.8497920000000001</v>
      </c>
      <c r="V35" s="29">
        <v>100.87</v>
      </c>
      <c r="W35" s="29">
        <v>8.0000000000000002E-3</v>
      </c>
      <c r="X35" s="4">
        <f>IF(MEDIA[[#This Row],[TON 
(mg L-1)]]-MEDIA[[#This Row],[NO2-N 
(mg L-1)]]&lt;0,0.192,MEDIA[[#This Row],[TON 
(mg L-1)]]-MEDIA[[#This Row],[NO2-N 
(mg L-1)]])</f>
        <v>0.192</v>
      </c>
      <c r="Y35" s="4">
        <f>SUM(MEDIA[[#This Row],[NH4-N 
(mg L-1)]],MEDIA[[#This Row],[NO3-N 
(mg L-1)]],MEDIA[[#This Row],[NO2-N 
(mg L-1)]])</f>
        <v>101.07</v>
      </c>
      <c r="Z35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1.374540924808316E-4</v>
      </c>
      <c r="AA35" s="48">
        <f>IF(IFERROR(MEDIA[[#This Row],[NO2-N 
(mg L-1)]]/MEDIA[[#This Row],[NH4-N 
(mg L-1)]],0)&lt;0,0,IFERROR(MEDIA[[#This Row],[NO2-N 
(mg L-1)]]/MEDIA[[#This Row],[NH4-N 
(mg L-1)]],0))</f>
        <v>7.9310002974125108E-5</v>
      </c>
      <c r="AB35" s="48">
        <f>MEDIA[[#This Row],[NO2-N 
(mg L-1)]]/(MEDIA[[#This Row],[NO3-N 
(mg L-1)]]+MEDIA[[#This Row],[NO2-N 
(mg L-1)]])</f>
        <v>0.04</v>
      </c>
      <c r="AC35" s="20">
        <f>46/14*MEDIA[[#This Row],[NO2-N 
(mg L-1)]]/(EXP(-2300/(MEDIA[[#This Row],[Temp. 
(°C)]]+273))*10^(MEDIA[[#This Row],[pHreactor]]))</f>
        <v>9.8064120657756398E-6</v>
      </c>
      <c r="AD35" s="6">
        <f>17/14*MEDIA[NH4-N 
(mg L-1)]*10^MEDIA[[#This Row],[pHreactor]]/(EXP((6344/(273+MEDIA[[#This Row],[Temp. 
(°C)]])))+10^MEDIA[pHreactor])</f>
        <v>0.48031983080454432</v>
      </c>
      <c r="AE35" s="6">
        <f>Influent[[#This Row],[NH4-N (mg L-1)]]*MEDIA[[#This Row],[Flow 
(m3 d-1)]]/(Information!$R$48*Information!$R$49)</f>
        <v>1.0808914480943541</v>
      </c>
      <c r="AF35" s="6">
        <f>(Influent[[#This Row],[NH4-N (mg L-1)]]-MEDIA[[#This Row],[NH4-N 
(mg L-1)]])*MEDIA[[#This Row],[Flow 
(m3 d-1)]]/(Information!$R$48*Information!$R$49)</f>
        <v>1.0080934776267854</v>
      </c>
      <c r="AG35" s="6">
        <f>Influent[[#This Row],[COD (mg L-1)]]*MEDIA[[#This Row],[Flow 
(m3 d-1)]]/(Information!$R$48*Information!$R$49)</f>
        <v>2.035196557138331</v>
      </c>
      <c r="AH35" s="6">
        <f>(Influent[[#This Row],[COD (mg L-1)]]-MEDIA[[#This Row],[COD 
(mg L-1)]])*MEDIA[[#This Row],[Flow 
(m3 d-1)]]/(Information!$R$48*Information!$R$49)</f>
        <v>-6.6252143243013757</v>
      </c>
      <c r="AI35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1396.63</v>
      </c>
      <c r="AJ35" s="6">
        <f>IFERROR(IF(Influent[[#This Row],[COD (mg L-1)]]-MEDIA[[#This Row],[COD 
(mg L-1)]]&lt;0,0,Influent[[#This Row],[COD (mg L-1)]]-MEDIA[[#This Row],[COD 
(mg L-1)]]),0)</f>
        <v>0</v>
      </c>
      <c r="AK35" s="6">
        <f>IFERROR(IF(Influent[[#This Row],[Alkalinity (mg CaCO3 L-1) ]]-MEDIA[[#This Row],[Alkalinity 
(mg CaCO3 L-1) ]]&lt;0,0,Influent[[#This Row],[Alkalinity (mg CaCO3 L-1) ]]-MEDIA[[#This Row],[Alkalinity 
(mg CaCO3 L-1) ]]),0)</f>
        <v>4239</v>
      </c>
      <c r="AL35" s="6"/>
      <c r="AM35" s="6"/>
      <c r="AN35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0.40323739105071416</v>
      </c>
      <c r="AO35" s="6">
        <f>Influent[[#This Row],[TN (mg L-1)]]/MEDIA[[#This Row],[HRT 
(h)]]*24/1000</f>
        <v>0.43241431531028468</v>
      </c>
      <c r="AP35" s="6">
        <f>MEDIA[[#This Row],[NRE 
(%)]]*MEDIA[[#This Row],[NLR 
(kg N m-3 d-1)]]</f>
        <v>0.40323739105071432</v>
      </c>
      <c r="AQ35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0.93265006343059353</v>
      </c>
      <c r="AR35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0.93252553575005015</v>
      </c>
      <c r="AS35" s="48"/>
      <c r="AT35" s="48"/>
      <c r="AU35" s="48"/>
      <c r="AV35" s="6"/>
      <c r="AW35" s="29"/>
      <c r="AY35"/>
    </row>
    <row r="36" spans="1:51" x14ac:dyDescent="0.3">
      <c r="A36" s="128">
        <v>43359</v>
      </c>
      <c r="B36" s="29">
        <v>33</v>
      </c>
      <c r="C36" s="151"/>
      <c r="D36" s="162"/>
      <c r="E36" s="42"/>
      <c r="F36" s="151"/>
      <c r="G36" s="151"/>
      <c r="H36" s="41"/>
      <c r="I36" s="130"/>
      <c r="J36" s="130"/>
      <c r="K36" s="29"/>
      <c r="M36" s="29"/>
      <c r="N36" s="29"/>
      <c r="O36" s="29"/>
      <c r="P36" s="29"/>
      <c r="Q36" s="29"/>
      <c r="R36" s="29"/>
      <c r="S36" s="4"/>
      <c r="T36" s="6"/>
      <c r="U36" s="6"/>
      <c r="X36" s="4"/>
      <c r="Y36" s="4"/>
      <c r="Z36" s="48"/>
      <c r="AA36" s="48"/>
      <c r="AB36" s="48"/>
      <c r="AC36" s="20"/>
      <c r="AD36" s="6"/>
      <c r="AE36" s="6"/>
      <c r="AF36" s="6"/>
      <c r="AG36" s="6"/>
      <c r="AH36" s="6"/>
      <c r="AI36" s="48"/>
      <c r="AJ36" s="6"/>
      <c r="AK36" s="6"/>
      <c r="AL36" s="6"/>
      <c r="AM36" s="6"/>
      <c r="AN36" s="6"/>
      <c r="AO36" s="6"/>
      <c r="AP36" s="6"/>
      <c r="AQ36" s="26"/>
      <c r="AR36" s="26"/>
      <c r="AS36" s="48"/>
      <c r="AT36" s="48"/>
      <c r="AU36" s="48"/>
      <c r="AV36" s="6"/>
      <c r="AW36" s="29"/>
      <c r="AY36"/>
    </row>
    <row r="37" spans="1:51" x14ac:dyDescent="0.3">
      <c r="A37" s="128">
        <v>43360</v>
      </c>
      <c r="B37" s="29">
        <v>34</v>
      </c>
      <c r="C37" s="151">
        <v>7.6592112124607574</v>
      </c>
      <c r="D37" s="162">
        <f>MEDIA[[#This Row],[Flow 
(L h-1)]]/1000*24</f>
        <v>0.18382106909905818</v>
      </c>
      <c r="E37" s="42">
        <f>IF(IFERROR(Information!$R$47/MEDIA[[#This Row],[Flow 
(m3 d-1)]]*24,0)&lt;0,0,IFERROR(Information!$R$47/MEDIA[[#This Row],[Flow 
(m3 d-1)]]*24,0))</f>
        <v>156.67409694195689</v>
      </c>
      <c r="F37" s="151">
        <v>6.5494141821975473</v>
      </c>
      <c r="G37" s="151">
        <v>0.69430970165753103</v>
      </c>
      <c r="H37" s="41">
        <v>28.303015354398802</v>
      </c>
      <c r="I37" s="130">
        <v>6380</v>
      </c>
      <c r="J37" s="130">
        <v>4930</v>
      </c>
      <c r="K37" s="29">
        <v>13025</v>
      </c>
      <c r="L37" s="29">
        <f>MEDIA[[#This Row],[COD 
(mg L-1)]]*Information!$AK$42</f>
        <v>9247.75</v>
      </c>
      <c r="M37" s="29">
        <v>492</v>
      </c>
      <c r="N37" s="29">
        <v>7.4</v>
      </c>
      <c r="O37" s="29">
        <v>13900</v>
      </c>
      <c r="P37" s="29">
        <v>610</v>
      </c>
      <c r="Q37" s="29">
        <v>8.0299999999999994</v>
      </c>
      <c r="R37" s="29">
        <v>0.2</v>
      </c>
      <c r="S37" s="4">
        <f>MEDIA[[#This Row],[NH4-N 
(mg L-1)]]*1.288</f>
        <v>112.04312</v>
      </c>
      <c r="T37" s="6">
        <f>MEDIA[[#This Row],[NO2-N 
(mg L-1)]]*3.284</f>
        <v>0.32511600000000002</v>
      </c>
      <c r="U37" s="6">
        <f>(MEDIA[[#This Row],[NO3-N 
(mg L-1)]])*4.426</f>
        <v>0.44702600000000003</v>
      </c>
      <c r="V37" s="29">
        <v>86.99</v>
      </c>
      <c r="W37" s="29">
        <v>9.9000000000000005E-2</v>
      </c>
      <c r="X37" s="4">
        <f>IF(MEDIA[[#This Row],[TON 
(mg L-1)]]-MEDIA[[#This Row],[NO2-N 
(mg L-1)]]&lt;0,0.192,MEDIA[[#This Row],[TON 
(mg L-1)]]-MEDIA[[#This Row],[NO2-N 
(mg L-1)]])</f>
        <v>0.10100000000000001</v>
      </c>
      <c r="Y37" s="4">
        <f>SUM(MEDIA[[#This Row],[NH4-N 
(mg L-1)]],MEDIA[[#This Row],[NO3-N 
(mg L-1)]],MEDIA[[#This Row],[NO2-N 
(mg L-1)]])</f>
        <v>87.19</v>
      </c>
      <c r="Z37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7.1407866177416727E-5</v>
      </c>
      <c r="AA37" s="48">
        <f>IF(IFERROR(MEDIA[[#This Row],[NO2-N 
(mg L-1)]]/MEDIA[[#This Row],[NH4-N 
(mg L-1)]],0)&lt;0,0,IFERROR(MEDIA[[#This Row],[NO2-N 
(mg L-1)]]/MEDIA[[#This Row],[NH4-N 
(mg L-1)]],0))</f>
        <v>1.1380618461892173E-3</v>
      </c>
      <c r="AB37" s="48">
        <f>MEDIA[[#This Row],[NO2-N 
(mg L-1)]]/(MEDIA[[#This Row],[NO3-N 
(mg L-1)]]+MEDIA[[#This Row],[NO2-N 
(mg L-1)]])</f>
        <v>0.495</v>
      </c>
      <c r="AC37" s="20">
        <f>46/14*MEDIA[[#This Row],[NO2-N 
(mg L-1)]]/(EXP(-2300/(MEDIA[[#This Row],[Temp. 
(°C)]]+273))*10^(MEDIA[[#This Row],[pHreactor]]))</f>
        <v>1.8968923421854093E-4</v>
      </c>
      <c r="AD37" s="6">
        <f>17/14*MEDIA[NH4-N 
(mg L-1)]*10^MEDIA[[#This Row],[pHreactor]]/(EXP((6344/(273+MEDIA[[#This Row],[Temp. 
(°C)]])))+10^MEDIA[pHreactor])</f>
        <v>0.26787834688969381</v>
      </c>
      <c r="AE37" s="6">
        <f>Influent[[#This Row],[NH4-N (mg L-1)]]*MEDIA[[#This Row],[Flow 
(m3 d-1)]]/(Information!$R$48*Information!$R$49)</f>
        <v>0.57497698571942912</v>
      </c>
      <c r="AF37" s="6">
        <f>(Influent[[#This Row],[NH4-N (mg L-1)]]-MEDIA[[#This Row],[NH4-N 
(mg L-1)]])*MEDIA[[#This Row],[Flow 
(m3 d-1)]]/(Information!$R$48*Information!$R$49)</f>
        <v>0.54166324655083109</v>
      </c>
      <c r="AG37" s="6">
        <f>Influent[[#This Row],[COD (mg L-1)]]*MEDIA[[#This Row],[Flow 
(m3 d-1)]]/(Information!$R$48*Information!$R$49)</f>
        <v>1.0933524005787731</v>
      </c>
      <c r="AH37" s="6">
        <f>(Influent[[#This Row],[COD (mg L-1)]]-MEDIA[[#This Row],[COD 
(mg L-1)]])*MEDIA[[#This Row],[Flow 
(m3 d-1)]]/(Information!$R$48*Information!$R$49)</f>
        <v>-3.8947089015362955</v>
      </c>
      <c r="AI37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1414.21</v>
      </c>
      <c r="AJ37" s="6">
        <f>IFERROR(IF(Influent[[#This Row],[COD (mg L-1)]]-MEDIA[[#This Row],[COD 
(mg L-1)]]&lt;0,0,Influent[[#This Row],[COD (mg L-1)]]-MEDIA[[#This Row],[COD 
(mg L-1)]]),0)</f>
        <v>0</v>
      </c>
      <c r="AK37" s="6">
        <f>IFERROR(IF(Influent[[#This Row],[Alkalinity (mg CaCO3 L-1) ]]-MEDIA[[#This Row],[Alkalinity 
(mg CaCO3 L-1) ]]&lt;0,0,Influent[[#This Row],[Alkalinity (mg CaCO3 L-1) ]]-MEDIA[[#This Row],[Alkalinity 
(mg CaCO3 L-1) ]]),0)</f>
        <v>4634</v>
      </c>
      <c r="AL37" s="6"/>
      <c r="AM37" s="6"/>
      <c r="AN37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0.2166652986203324</v>
      </c>
      <c r="AO37" s="6">
        <f>Influent[[#This Row],[TN (mg L-1)]]/MEDIA[[#This Row],[HRT 
(h)]]*24/1000</f>
        <v>0.2300214311326215</v>
      </c>
      <c r="AP37" s="6">
        <f>MEDIA[[#This Row],[NRE 
(%)]]*MEDIA[[#This Row],[NLR 
(kg N m-3 d-1)]]</f>
        <v>0.2166652986203324</v>
      </c>
      <c r="AQ37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0.94206074330624745</v>
      </c>
      <c r="AR37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0.9419352690463505</v>
      </c>
      <c r="AS37" s="48"/>
      <c r="AT37" s="48"/>
      <c r="AU37" s="48"/>
      <c r="AV37" s="6"/>
      <c r="AW37" s="29" t="s">
        <v>542</v>
      </c>
      <c r="AY37"/>
    </row>
    <row r="38" spans="1:51" x14ac:dyDescent="0.3">
      <c r="A38" s="128">
        <v>43361</v>
      </c>
      <c r="B38" s="29">
        <v>35</v>
      </c>
      <c r="C38" s="151">
        <v>23.350887278060622</v>
      </c>
      <c r="D38" s="162">
        <f>MEDIA[[#This Row],[Flow 
(L h-1)]]/1000*24</f>
        <v>0.56042129467345492</v>
      </c>
      <c r="E38" s="42">
        <f>IF(IFERROR(Information!$R$47/MEDIA[[#This Row],[Flow 
(m3 d-1)]]*24,0)&lt;0,0,IFERROR(Information!$R$47/MEDIA[[#This Row],[Flow 
(m3 d-1)]]*24,0))</f>
        <v>51.389910186730361</v>
      </c>
      <c r="F38" s="151">
        <v>6.8861673951604141</v>
      </c>
      <c r="G38" s="151">
        <v>1.2784940126619997</v>
      </c>
      <c r="H38" s="41">
        <v>28.03328929928929</v>
      </c>
      <c r="I38" s="130"/>
      <c r="J38" s="130"/>
      <c r="K38" s="29">
        <v>1970</v>
      </c>
      <c r="L38" s="29">
        <f>MEDIA[[#This Row],[COD 
(mg L-1)]]*Information!$AK$42</f>
        <v>1398.6999999999998</v>
      </c>
      <c r="M38" s="29">
        <v>900</v>
      </c>
      <c r="N38" s="29">
        <v>7.9</v>
      </c>
      <c r="O38" s="29">
        <v>1320</v>
      </c>
      <c r="P38" s="29">
        <v>200</v>
      </c>
      <c r="Q38" s="29">
        <v>5.44</v>
      </c>
      <c r="R38" s="29">
        <v>10.1</v>
      </c>
      <c r="S38" s="4">
        <f>MEDIA[[#This Row],[NH4-N 
(mg L-1)]]*1.288</f>
        <v>323.1592</v>
      </c>
      <c r="T38" s="6">
        <f>MEDIA[[#This Row],[NO2-N 
(mg L-1)]]*3.284</f>
        <v>31.211135999999996</v>
      </c>
      <c r="U38" s="6">
        <f>(MEDIA[[#This Row],[NO3-N 
(mg L-1)]])*4.426</f>
        <v>2.6378960000000005</v>
      </c>
      <c r="V38" s="29">
        <v>250.9</v>
      </c>
      <c r="W38" s="29">
        <v>9.5039999999999996</v>
      </c>
      <c r="X38" s="4">
        <f>IF(MEDIA[[#This Row],[TON 
(mg L-1)]]-MEDIA[[#This Row],[NO2-N 
(mg L-1)]]&lt;0,0.192,MEDIA[[#This Row],[TON 
(mg L-1)]]-MEDIA[[#This Row],[NO2-N 
(mg L-1)]])</f>
        <v>0.59600000000000009</v>
      </c>
      <c r="Y38" s="4">
        <f>SUM(MEDIA[[#This Row],[NH4-N 
(mg L-1)]],MEDIA[[#This Row],[NO3-N 
(mg L-1)]],MEDIA[[#This Row],[NO2-N 
(mg L-1)]])</f>
        <v>261</v>
      </c>
      <c r="Z38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5.8419917663203309E-4</v>
      </c>
      <c r="AA38" s="48">
        <f>IF(IFERROR(MEDIA[[#This Row],[NO2-N 
(mg L-1)]]/MEDIA[[#This Row],[NH4-N 
(mg L-1)]],0)&lt;0,0,IFERROR(MEDIA[[#This Row],[NO2-N 
(mg L-1)]]/MEDIA[[#This Row],[NH4-N 
(mg L-1)]],0))</f>
        <v>3.7879633320047824E-2</v>
      </c>
      <c r="AB38" s="48">
        <f>MEDIA[[#This Row],[NO2-N 
(mg L-1)]]/(MEDIA[[#This Row],[NO3-N 
(mg L-1)]]+MEDIA[[#This Row],[NO2-N 
(mg L-1)]])</f>
        <v>0.94099009900990094</v>
      </c>
      <c r="AC38" s="20">
        <f>46/14*MEDIA[[#This Row],[NO2-N 
(mg L-1)]]/(EXP(-2300/(MEDIA[[#This Row],[Temp. 
(°C)]]+273))*10^(MEDIA[[#This Row],[pHreactor]]))</f>
        <v>8.4436673975110017E-3</v>
      </c>
      <c r="AD38" s="6">
        <f>17/14*MEDIA[NH4-N 
(mg L-1)]*10^MEDIA[[#This Row],[pHreactor]]/(EXP((6344/(273+MEDIA[[#This Row],[Temp. 
(°C)]])))+10^MEDIA[pHreactor])</f>
        <v>1.6416676483746517</v>
      </c>
      <c r="AE38" s="6">
        <f>Influent[[#This Row],[NH4-N (mg L-1)]]*MEDIA[[#This Row],[Flow 
(m3 d-1)]]/(Information!$R$48*Information!$R$49)</f>
        <v>1.4840656409571429</v>
      </c>
      <c r="AF38" s="6">
        <f>(Influent[[#This Row],[NH4-N (mg L-1)]]-MEDIA[[#This Row],[NH4-N 
(mg L-1)]])*MEDIA[[#This Row],[Flow 
(m3 d-1)]]/(Information!$R$48*Information!$R$49)</f>
        <v>1.1911287600538722</v>
      </c>
      <c r="AG38" s="6">
        <f>Influent[[#This Row],[COD (mg L-1)]]*MEDIA[[#This Row],[Flow 
(m3 d-1)]]/(Information!$R$48*Information!$R$49)</f>
        <v>3.2632864971089717</v>
      </c>
      <c r="AH38" s="6">
        <f>(Influent[[#This Row],[COD (mg L-1)]]-MEDIA[[#This Row],[COD 
(mg L-1)]])*MEDIA[[#This Row],[Flow 
(m3 d-1)]]/(Information!$R$48*Information!$R$49)</f>
        <v>0.96322410022000071</v>
      </c>
      <c r="AI38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1010.0999999999999</v>
      </c>
      <c r="AJ38" s="6">
        <f>IFERROR(IF(Influent[[#This Row],[COD (mg L-1)]]-MEDIA[[#This Row],[COD 
(mg L-1)]]&lt;0,0,Influent[[#This Row],[COD (mg L-1)]]-MEDIA[[#This Row],[COD 
(mg L-1)]]),0)</f>
        <v>825</v>
      </c>
      <c r="AK38" s="6">
        <f>IFERROR(IF(Influent[[#This Row],[Alkalinity (mg CaCO3 L-1) ]]-MEDIA[[#This Row],[Alkalinity 
(mg CaCO3 L-1) ]]&lt;0,0,Influent[[#This Row],[Alkalinity (mg CaCO3 L-1) ]]-MEDIA[[#This Row],[Alkalinity 
(mg CaCO3 L-1) ]]),0)</f>
        <v>3751</v>
      </c>
      <c r="AL38" s="6">
        <f>Influent[[#This Row],[COD (mg L-1)]]/MEDIA[[#This Row],[HRT 
(h)]]*24/1000</f>
        <v>1.3053145988435888</v>
      </c>
      <c r="AM38" s="6">
        <f>IF(((MEDIA[[#This Row],[ΔC (mg L-1)]])*24/MEDIA[[#This Row],[HRT 
(h)]]/1000) &lt;0,0, (MEDIA[[#This Row],[ΔC (mg L-1)]])*24/MEDIA[[#This Row],[HRT 
(h)]]/1000)</f>
        <v>0.38528964008800026</v>
      </c>
      <c r="AN38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0.4764515040215489</v>
      </c>
      <c r="AO38" s="6">
        <f>Influent[[#This Row],[TN (mg L-1)]]/MEDIA[[#This Row],[HRT 
(h)]]*24/1000</f>
        <v>0.59675247317164382</v>
      </c>
      <c r="AP38" s="6">
        <f>MEDIA[[#This Row],[NRE 
(%)]]*MEDIA[[#This Row],[NLR 
(kg N m-3 d-1)]]</f>
        <v>0.47486084158016739</v>
      </c>
      <c r="AQ38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0.80261191094327744</v>
      </c>
      <c r="AR38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0.79574172362681306</v>
      </c>
      <c r="AS38" s="48"/>
      <c r="AT38" s="48"/>
      <c r="AU38" s="48"/>
      <c r="AV38" s="6"/>
      <c r="AW38" s="29"/>
      <c r="AY38"/>
    </row>
    <row r="39" spans="1:51" x14ac:dyDescent="0.3">
      <c r="A39" s="128">
        <v>43362</v>
      </c>
      <c r="B39" s="29">
        <v>36</v>
      </c>
      <c r="C39" s="151">
        <v>3.1378753030519442</v>
      </c>
      <c r="D39" s="162">
        <f>MEDIA[[#This Row],[Flow 
(L h-1)]]/1000*24</f>
        <v>7.5309007273246659E-2</v>
      </c>
      <c r="E39" s="42">
        <f>IF(IFERROR(Information!$R$47/MEDIA[[#This Row],[Flow 
(m3 d-1)]]*24,0)&lt;0,0,IFERROR(Information!$R$47/MEDIA[[#This Row],[Flow 
(m3 d-1)]]*24,0))</f>
        <v>382.42437449087356</v>
      </c>
      <c r="F39" s="151">
        <v>7.4289829544787684</v>
      </c>
      <c r="G39" s="151">
        <v>0.62792172844378491</v>
      </c>
      <c r="H39" s="41">
        <v>28.803811582746047</v>
      </c>
      <c r="I39" s="130"/>
      <c r="J39" s="130"/>
      <c r="K39" s="29">
        <v>1556</v>
      </c>
      <c r="L39" s="29">
        <f>MEDIA[[#This Row],[COD 
(mg L-1)]]*Information!$AK$42</f>
        <v>1104.76</v>
      </c>
      <c r="M39" s="29">
        <v>909</v>
      </c>
      <c r="N39" s="29">
        <v>7.9</v>
      </c>
      <c r="O39" s="29">
        <v>532</v>
      </c>
      <c r="P39" s="29">
        <v>124</v>
      </c>
      <c r="Q39" s="29">
        <v>6.38</v>
      </c>
      <c r="R39" s="29">
        <v>14.6</v>
      </c>
      <c r="S39" s="4">
        <f>MEDIA[[#This Row],[NH4-N 
(mg L-1)]]*1.288</f>
        <v>300.77376000000004</v>
      </c>
      <c r="T39" s="6">
        <f>MEDIA[[#This Row],[NO2-N 
(mg L-1)]]*3.284</f>
        <v>71.837499999999991</v>
      </c>
      <c r="U39" s="6">
        <f>(MEDIA[[#This Row],[NO3-N 
(mg L-1)]])*4.426</f>
        <v>0.8497920000000001</v>
      </c>
      <c r="V39" s="29">
        <v>233.52</v>
      </c>
      <c r="W39" s="29">
        <v>21.875</v>
      </c>
      <c r="X39" s="4">
        <f>IF(MEDIA[[#This Row],[TON 
(mg L-1)]]-MEDIA[[#This Row],[NO2-N 
(mg L-1)]]&lt;0,0.192,MEDIA[[#This Row],[TON 
(mg L-1)]]-MEDIA[[#This Row],[NO2-N 
(mg L-1)]])</f>
        <v>0.192</v>
      </c>
      <c r="Y39" s="4">
        <f>SUM(MEDIA[[#This Row],[NH4-N 
(mg L-1)]],MEDIA[[#This Row],[NO3-N 
(mg L-1)]],MEDIA[[#This Row],[NO2-N 
(mg L-1)]])</f>
        <v>255.58700000000002</v>
      </c>
      <c r="Z39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1.8935284719619717E-4</v>
      </c>
      <c r="AA39" s="48">
        <f>IF(IFERROR(MEDIA[[#This Row],[NO2-N 
(mg L-1)]]/MEDIA[[#This Row],[NH4-N 
(mg L-1)]],0)&lt;0,0,IFERROR(MEDIA[[#This Row],[NO2-N 
(mg L-1)]]/MEDIA[[#This Row],[NH4-N 
(mg L-1)]],0))</f>
        <v>9.367505995203837E-2</v>
      </c>
      <c r="AB39" s="48">
        <f>MEDIA[[#This Row],[NO2-N 
(mg L-1)]]/(MEDIA[[#This Row],[NO3-N 
(mg L-1)]]+MEDIA[[#This Row],[NO2-N 
(mg L-1)]])</f>
        <v>0.99129922508723434</v>
      </c>
      <c r="AC39" s="20">
        <f>46/14*MEDIA[[#This Row],[NO2-N 
(mg L-1)]]/(EXP(-2300/(MEDIA[[#This Row],[Temp. 
(°C)]]+273))*10^(MEDIA[[#This Row],[pHreactor]]))</f>
        <v>5.4611705001779941E-3</v>
      </c>
      <c r="AD39" s="6">
        <f>17/14*MEDIA[NH4-N 
(mg L-1)]*10^MEDIA[[#This Row],[pHreactor]]/(EXP((6344/(273+MEDIA[[#This Row],[Temp. 
(°C)]])))+10^MEDIA[pHreactor])</f>
        <v>5.5469897242550994</v>
      </c>
      <c r="AE39" s="6">
        <f>Influent[[#This Row],[NH4-N (mg L-1)]]*MEDIA[[#This Row],[Flow 
(m3 d-1)]]/(Information!$R$48*Information!$R$49)</f>
        <v>0.19572497202786501</v>
      </c>
      <c r="AF39" s="6">
        <f>(Influent[[#This Row],[NH4-N (mg L-1)]]-MEDIA[[#This Row],[NH4-N 
(mg L-1)]])*MEDIA[[#This Row],[Flow 
(m3 d-1)]]/(Information!$R$48*Information!$R$49)</f>
        <v>0.15908713998943053</v>
      </c>
      <c r="AG39" s="6">
        <f>Influent[[#This Row],[COD (mg L-1)]]*MEDIA[[#This Row],[Flow 
(m3 d-1)]]/(Information!$R$48*Information!$R$49)</f>
        <v>0.43930254242727218</v>
      </c>
      <c r="AH39" s="6">
        <f>(Influent[[#This Row],[COD (mg L-1)]]-MEDIA[[#This Row],[COD 
(mg L-1)]])*MEDIA[[#This Row],[Flow 
(m3 d-1)]]/(Information!$R$48*Information!$R$49)</f>
        <v>0.19517584384983092</v>
      </c>
      <c r="AI39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991.91300000000001</v>
      </c>
      <c r="AJ39" s="6">
        <f>IFERROR(IF(Influent[[#This Row],[COD (mg L-1)]]-MEDIA[[#This Row],[COD 
(mg L-1)]]&lt;0,0,Influent[[#This Row],[COD (mg L-1)]]-MEDIA[[#This Row],[COD 
(mg L-1)]]),0)</f>
        <v>1244</v>
      </c>
      <c r="AK39" s="6">
        <f>IFERROR(IF(Influent[[#This Row],[Alkalinity (mg CaCO3 L-1) ]]-MEDIA[[#This Row],[Alkalinity 
(mg CaCO3 L-1) ]]&lt;0,0,Influent[[#This Row],[Alkalinity (mg CaCO3 L-1) ]]-MEDIA[[#This Row],[Alkalinity 
(mg CaCO3 L-1) ]]),0)</f>
        <v>3611</v>
      </c>
      <c r="AL39" s="6">
        <f>Influent[[#This Row],[COD (mg L-1)]]/MEDIA[[#This Row],[HRT 
(h)]]*24/1000</f>
        <v>0.17572101697090886</v>
      </c>
      <c r="AM39" s="6">
        <f>IF(((MEDIA[[#This Row],[ΔC (mg L-1)]])*24/MEDIA[[#This Row],[HRT 
(h)]]/1000) &lt;0,0, (MEDIA[[#This Row],[ΔC (mg L-1)]])*24/MEDIA[[#This Row],[HRT 
(h)]]/1000)</f>
        <v>7.8070337539932366E-2</v>
      </c>
      <c r="AN39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6.3634855995772205E-2</v>
      </c>
      <c r="AO39" s="6">
        <f>Influent[[#This Row],[TN (mg L-1)]]/MEDIA[[#This Row],[HRT 
(h)]]*24/1000</f>
        <v>7.8302540312358213E-2</v>
      </c>
      <c r="AP39" s="6">
        <f>MEDIA[[#This Row],[NRE 
(%)]]*MEDIA[[#This Row],[NLR 
(kg N m-3 d-1)]]</f>
        <v>6.2262537610735469E-2</v>
      </c>
      <c r="AQ39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0.81280961923847694</v>
      </c>
      <c r="AR39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0.79515348240763006</v>
      </c>
      <c r="AS39" s="48"/>
      <c r="AT39" s="48"/>
      <c r="AU39" s="48"/>
      <c r="AV39" s="6"/>
      <c r="AW39" s="29"/>
      <c r="AY39"/>
    </row>
    <row r="40" spans="1:51" x14ac:dyDescent="0.3">
      <c r="A40" s="128">
        <v>43363</v>
      </c>
      <c r="B40" s="29">
        <v>37</v>
      </c>
      <c r="C40" s="42">
        <v>11.914222491197146</v>
      </c>
      <c r="D40" s="28">
        <f>MEDIA[[#This Row],[Flow 
(L h-1)]]/1000*24</f>
        <v>0.28594133978873149</v>
      </c>
      <c r="E40" s="42">
        <f>IF(IFERROR(Information!$R$47/MEDIA[[#This Row],[Flow 
(m3 d-1)]]*24,0)&lt;0,0,IFERROR(Information!$R$47/MEDIA[[#This Row],[Flow 
(m3 d-1)]]*24,0))</f>
        <v>100.71995893031402</v>
      </c>
      <c r="F40" s="42">
        <v>8.2946048665071519</v>
      </c>
      <c r="G40" s="42">
        <v>1.0936228732750757</v>
      </c>
      <c r="H40" s="41">
        <v>26.533379329984612</v>
      </c>
      <c r="I40" s="152"/>
      <c r="J40" s="152"/>
      <c r="K40" s="29">
        <v>2035</v>
      </c>
      <c r="L40" s="29">
        <f>MEDIA[[#This Row],[COD 
(mg L-1)]]*Information!$AK$42</f>
        <v>1444.85</v>
      </c>
      <c r="M40" s="29">
        <v>3231</v>
      </c>
      <c r="N40" s="29">
        <v>8.4</v>
      </c>
      <c r="O40" s="29">
        <v>296</v>
      </c>
      <c r="P40" s="29"/>
      <c r="Q40" s="29">
        <v>8.07</v>
      </c>
      <c r="R40" s="29">
        <v>15.3</v>
      </c>
      <c r="S40" s="4">
        <f>MEDIA[[#This Row],[NH4-N 
(mg L-1)]]*1.288</f>
        <v>1117.03088</v>
      </c>
      <c r="T40" s="6">
        <f>MEDIA[[#This Row],[NO2-N 
(mg L-1)]]*3.284</f>
        <v>4.9883959999999998</v>
      </c>
      <c r="U40" s="6">
        <f>(MEDIA[[#This Row],[NO3-N 
(mg L-1)]])*4.426</f>
        <v>60.994706000000008</v>
      </c>
      <c r="V40" s="29">
        <v>867.26</v>
      </c>
      <c r="W40" s="29">
        <v>1.5189999999999999</v>
      </c>
      <c r="X40" s="4">
        <f>IF(MEDIA[[#This Row],[TON 
(mg L-1)]]-MEDIA[[#This Row],[NO2-N 
(mg L-1)]]&lt;0,0.192,MEDIA[[#This Row],[TON 
(mg L-1)]]-MEDIA[[#This Row],[NO2-N 
(mg L-1)]])</f>
        <v>13.781000000000001</v>
      </c>
      <c r="Y40" s="4">
        <f>SUM(MEDIA[[#This Row],[NH4-N 
(mg L-1)]],MEDIA[[#This Row],[NO3-N 
(mg L-1)]],MEDIA[[#This Row],[NO2-N 
(mg L-1)]])</f>
        <v>882.56</v>
      </c>
      <c r="Z40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2.2111867017521342E-2</v>
      </c>
      <c r="AA40" s="48">
        <f>IF(IFERROR(MEDIA[[#This Row],[NO2-N 
(mg L-1)]]/MEDIA[[#This Row],[NH4-N 
(mg L-1)]],0)&lt;0,0,IFERROR(MEDIA[[#This Row],[NO2-N 
(mg L-1)]]/MEDIA[[#This Row],[NH4-N 
(mg L-1)]],0))</f>
        <v>1.751493208495722E-3</v>
      </c>
      <c r="AB40" s="48">
        <f>MEDIA[[#This Row],[NO2-N 
(mg L-1)]]/(MEDIA[[#This Row],[NO3-N 
(mg L-1)]]+MEDIA[[#This Row],[NO2-N 
(mg L-1)]])</f>
        <v>9.9281045751633976E-2</v>
      </c>
      <c r="AC40" s="20">
        <f>46/14*MEDIA[[#This Row],[NO2-N 
(mg L-1)]]/(EXP(-2300/(MEDIA[[#This Row],[Temp. 
(°C)]]+273))*10^(MEDIA[[#This Row],[pHreactor]]))</f>
        <v>5.4747041152351888E-5</v>
      </c>
      <c r="AD40" s="6">
        <f>17/14*MEDIA[NH4-N 
(mg L-1)]*10^MEDIA[[#This Row],[pHreactor]]/(EXP((6344/(273+MEDIA[[#This Row],[Temp. 
(°C)]])))+10^MEDIA[pHreactor])</f>
        <v>116.89333094640784</v>
      </c>
      <c r="AE40" s="6">
        <f>Influent[[#This Row],[NH4-N (mg L-1)]]*MEDIA[[#This Row],[Flow 
(m3 d-1)]]/(Information!$R$48*Information!$R$49)</f>
        <v>0.8879074311564672</v>
      </c>
      <c r="AF40" s="6">
        <f>(Influent[[#This Row],[NH4-N (mg L-1)]]-MEDIA[[#This Row],[NH4-N 
(mg L-1)]])*MEDIA[[#This Row],[Flow 
(m3 d-1)]]/(Information!$R$48*Information!$R$49)</f>
        <v>0.37127100127068541</v>
      </c>
      <c r="AG40" s="6">
        <f>Influent[[#This Row],[COD (mg L-1)]]*MEDIA[[#This Row],[Flow 
(m3 d-1)]]/(Information!$R$48*Information!$R$49)</f>
        <v>1.7424550393375824</v>
      </c>
      <c r="AH40" s="6">
        <f>(Influent[[#This Row],[COD (mg L-1)]]-MEDIA[[#This Row],[COD 
(mg L-1)]])*MEDIA[[#This Row],[Flow 
(m3 d-1)]]/(Information!$R$48*Information!$R$49)</f>
        <v>0.53018290085827291</v>
      </c>
      <c r="AI40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607.94000000000005</v>
      </c>
      <c r="AJ40" s="6">
        <f>IFERROR(IF(Influent[[#This Row],[COD (mg L-1)]]-MEDIA[[#This Row],[COD 
(mg L-1)]]&lt;0,0,Influent[[#This Row],[COD (mg L-1)]]-MEDIA[[#This Row],[COD 
(mg L-1)]]),0)</f>
        <v>890</v>
      </c>
      <c r="AK40" s="6">
        <f>IFERROR(IF(Influent[[#This Row],[Alkalinity (mg CaCO3 L-1) ]]-MEDIA[[#This Row],[Alkalinity 
(mg CaCO3 L-1) ]]&lt;0,0,Influent[[#This Row],[Alkalinity (mg CaCO3 L-1) ]]-MEDIA[[#This Row],[Alkalinity 
(mg CaCO3 L-1) ]]),0)</f>
        <v>2294</v>
      </c>
      <c r="AL40" s="6">
        <f>Influent[[#This Row],[COD (mg L-1)]]/MEDIA[[#This Row],[HRT 
(h)]]*24/1000</f>
        <v>0.69698201573503293</v>
      </c>
      <c r="AM40" s="6">
        <f>IF(((MEDIA[[#This Row],[ΔC (mg L-1)]])*24/MEDIA[[#This Row],[HRT 
(h)]]/1000) &lt;0,0, (MEDIA[[#This Row],[ΔC (mg L-1)]])*24/MEDIA[[#This Row],[HRT 
(h)]]/1000)</f>
        <v>0.2120731603433092</v>
      </c>
      <c r="AN40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0.14850840050827419</v>
      </c>
      <c r="AO40" s="6">
        <f>Influent[[#This Row],[TN (mg L-1)]]/MEDIA[[#This Row],[HRT 
(h)]]*24/1000</f>
        <v>0.36137981375849354</v>
      </c>
      <c r="AP40" s="6">
        <f>MEDIA[[#This Row],[NRE 
(%)]]*MEDIA[[#This Row],[NLR 
(kg N m-3 d-1)]]</f>
        <v>0.15107948972187452</v>
      </c>
      <c r="AQ40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0.41814156323381418</v>
      </c>
      <c r="AR40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0.41806289109119804</v>
      </c>
      <c r="AS40" s="48"/>
      <c r="AT40" s="48"/>
      <c r="AU40" s="48"/>
      <c r="AV40" s="6"/>
      <c r="AW40" t="s">
        <v>544</v>
      </c>
      <c r="AY40"/>
    </row>
    <row r="41" spans="1:51" x14ac:dyDescent="0.3">
      <c r="A41" s="128">
        <v>43364</v>
      </c>
      <c r="B41" s="29">
        <v>38</v>
      </c>
      <c r="C41" s="42">
        <v>87.926685618427385</v>
      </c>
      <c r="D41" s="28">
        <f>MEDIA[[#This Row],[Flow 
(L h-1)]]/1000*24</f>
        <v>2.1102404548422573</v>
      </c>
      <c r="E41" s="42">
        <f>IF(IFERROR(Information!$R$47/MEDIA[[#This Row],[Flow 
(m3 d-1)]]*24,0)&lt;0,0,IFERROR(Information!$R$47/MEDIA[[#This Row],[Flow 
(m3 d-1)]]*24,0))</f>
        <v>13.647733808682398</v>
      </c>
      <c r="F41" s="42">
        <v>7.641298160500015</v>
      </c>
      <c r="G41" s="42">
        <v>0.76170296868757426</v>
      </c>
      <c r="H41" s="41">
        <v>29.878323457341192</v>
      </c>
      <c r="I41" s="41">
        <f>stableMED[[#This Row],[MLVSS 
(mg L-1)]]/0.42</f>
        <v>9142.8571428571431</v>
      </c>
      <c r="J41" s="130">
        <f>1920*2</f>
        <v>3840</v>
      </c>
      <c r="K41" s="29">
        <v>2285</v>
      </c>
      <c r="L41" s="29">
        <f>MEDIA[[#This Row],[COD 
(mg L-1)]]*Information!$AK$42</f>
        <v>1622.35</v>
      </c>
      <c r="M41" s="29">
        <v>3994</v>
      </c>
      <c r="N41" s="29">
        <v>8.5</v>
      </c>
      <c r="O41" s="29">
        <v>210</v>
      </c>
      <c r="Q41" s="29">
        <v>10.210000000000001</v>
      </c>
      <c r="R41" s="29">
        <v>39.299999999999997</v>
      </c>
      <c r="S41" s="4">
        <f>MEDIA[[#This Row],[NH4-N 
(mg L-1)]]*1.288</f>
        <v>1370.1743999999999</v>
      </c>
      <c r="T41" s="6">
        <f>MEDIA[[#This Row],[NO2-N 
(mg L-1)]]*3.284</f>
        <v>33.818632000000001</v>
      </c>
      <c r="U41" s="6">
        <f>(MEDIA[[#This Row],[NO3-N 
(mg L-1)]])*4.426</f>
        <v>128.36285199999998</v>
      </c>
      <c r="V41" s="29">
        <v>1063.8</v>
      </c>
      <c r="W41" s="29">
        <v>10.298</v>
      </c>
      <c r="X41" s="4">
        <f>IF(MEDIA[[#This Row],[TON 
(mg L-1)]]-MEDIA[[#This Row],[NO2-N 
(mg L-1)]]&lt;0,0.192,MEDIA[[#This Row],[TON 
(mg L-1)]]-MEDIA[[#This Row],[NO2-N 
(mg L-1)]])</f>
        <v>29.001999999999995</v>
      </c>
      <c r="Y41" s="4">
        <f>SUM(MEDIA[[#This Row],[NH4-N 
(mg L-1)]],MEDIA[[#This Row],[NO3-N 
(mg L-1)]],MEDIA[[#This Row],[NO2-N 
(mg L-1)]])</f>
        <v>1103.0999999999999</v>
      </c>
      <c r="Z41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0.10045722202978867</v>
      </c>
      <c r="AA41" s="48">
        <f>IF(IFERROR(MEDIA[[#This Row],[NO2-N 
(mg L-1)]]/MEDIA[[#This Row],[NH4-N 
(mg L-1)]],0)&lt;0,0,IFERROR(MEDIA[[#This Row],[NO2-N 
(mg L-1)]]/MEDIA[[#This Row],[NH4-N 
(mg L-1)]],0))</f>
        <v>9.680391050949427E-3</v>
      </c>
      <c r="AB41" s="48">
        <f>MEDIA[[#This Row],[NO2-N 
(mg L-1)]]/(MEDIA[[#This Row],[NO3-N 
(mg L-1)]]+MEDIA[[#This Row],[NO2-N 
(mg L-1)]])</f>
        <v>0.26203562340966924</v>
      </c>
      <c r="AC41" s="20">
        <f>46/14*MEDIA[[#This Row],[NO2-N 
(mg L-1)]]/(EXP(-2300/(MEDIA[[#This Row],[Temp. 
(°C)]]+273))*10^(MEDIA[[#This Row],[pHreactor]]))</f>
        <v>1.5347359619153583E-3</v>
      </c>
      <c r="AD41" s="6">
        <f>17/14*MEDIA[NH4-N 
(mg L-1)]*10^MEDIA[[#This Row],[pHreactor]]/(EXP((6344/(273+MEDIA[[#This Row],[Temp. 
(°C)]])))+10^MEDIA[pHreactor])</f>
        <v>43.743488679148882</v>
      </c>
      <c r="AE41" s="6">
        <f>Influent[[#This Row],[NH4-N (mg L-1)]]*MEDIA[[#This Row],[Flow 
(m3 d-1)]]/(Information!$R$48*Information!$R$49)</f>
        <v>5.9460421149461524</v>
      </c>
      <c r="AF41" s="6">
        <f>(Influent[[#This Row],[NH4-N (mg L-1)]]-MEDIA[[#This Row],[NH4-N 
(mg L-1)]])*MEDIA[[#This Row],[Flow 
(m3 d-1)]]/(Information!$R$48*Information!$R$49)</f>
        <v>1.2692217069019995</v>
      </c>
      <c r="AG41" s="6">
        <f>Influent[[#This Row],[COD (mg L-1)]]*MEDIA[[#This Row],[Flow 
(m3 d-1)]]/(Information!$R$48*Information!$R$49)</f>
        <v>12.661442729053544</v>
      </c>
      <c r="AH41" s="6">
        <f>(Influent[[#This Row],[COD (mg L-1)]]-MEDIA[[#This Row],[COD 
(mg L-1)]])*MEDIA[[#This Row],[Flow 
(m3 d-1)]]/(Information!$R$48*Information!$R$49)</f>
        <v>2.6158188971482148</v>
      </c>
      <c r="AI41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249.40000000000009</v>
      </c>
      <c r="AJ41" s="6">
        <f>IFERROR(IF(Influent[[#This Row],[COD (mg L-1)]]-MEDIA[[#This Row],[COD 
(mg L-1)]]&lt;0,0,Influent[[#This Row],[COD (mg L-1)]]-MEDIA[[#This Row],[COD 
(mg L-1)]]),0)</f>
        <v>595</v>
      </c>
      <c r="AK41" s="6">
        <f>IFERROR(IF(Influent[[#This Row],[Alkalinity (mg CaCO3 L-1) ]]-MEDIA[[#This Row],[Alkalinity 
(mg CaCO3 L-1) ]]&lt;0,0,Influent[[#This Row],[Alkalinity (mg CaCO3 L-1) ]]-MEDIA[[#This Row],[Alkalinity 
(mg CaCO3 L-1) ]]),0)</f>
        <v>1192</v>
      </c>
      <c r="AL41" s="6">
        <f>Influent[[#This Row],[COD (mg L-1)]]/MEDIA[[#This Row],[HRT 
(h)]]*24/1000</f>
        <v>5.0645770916214179</v>
      </c>
      <c r="AM41" s="6">
        <f>IF(((MEDIA[[#This Row],[ΔC (mg L-1)]])*24/MEDIA[[#This Row],[HRT 
(h)]]/1000) &lt;0,0, (MEDIA[[#This Row],[ΔC (mg L-1)]])*24/MEDIA[[#This Row],[HRT 
(h)]]/1000)</f>
        <v>1.046327558859286</v>
      </c>
      <c r="AN41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0.50768868276079993</v>
      </c>
      <c r="AO41" s="6"/>
      <c r="AP41" s="6"/>
      <c r="AQ41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0.21345656192236603</v>
      </c>
      <c r="AR41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0.20748389247472515</v>
      </c>
      <c r="AS41" s="48">
        <f>160/30</f>
        <v>5.333333333333333</v>
      </c>
      <c r="AT41" s="48">
        <v>0.432</v>
      </c>
      <c r="AU41" s="48">
        <v>3.5999999999999997E-2</v>
      </c>
      <c r="AV41" s="6">
        <f>stableMED[[#This Row],[SAAcarrier
(g N g VSS-1d-1)]]+stableMED[[#This Row],[SAAsuspension
(g N g VSS-1d-1)]]</f>
        <v>0.46799999999999997</v>
      </c>
      <c r="AY41"/>
    </row>
    <row r="42" spans="1:51" x14ac:dyDescent="0.3">
      <c r="A42" s="128">
        <v>43365</v>
      </c>
      <c r="B42" s="29">
        <v>39</v>
      </c>
      <c r="C42" s="42"/>
      <c r="D42" s="28"/>
      <c r="E42" s="42"/>
      <c r="F42" s="42"/>
      <c r="G42" s="42"/>
      <c r="H42" s="41"/>
      <c r="I42" s="130"/>
      <c r="J42" s="130"/>
      <c r="K42" s="29"/>
      <c r="M42" s="29"/>
      <c r="N42" s="29"/>
      <c r="O42" s="29"/>
      <c r="Q42" s="29"/>
      <c r="R42" s="29"/>
      <c r="S42" s="4"/>
      <c r="T42" s="6"/>
      <c r="U42" s="6"/>
      <c r="X42" s="4"/>
      <c r="Y42" s="4"/>
      <c r="Z42" s="48"/>
      <c r="AA42" s="48"/>
      <c r="AB42" s="48"/>
      <c r="AC42" s="20"/>
      <c r="AD42" s="6"/>
      <c r="AE42" s="6"/>
      <c r="AF42" s="6"/>
      <c r="AG42" s="6"/>
      <c r="AH42" s="6"/>
      <c r="AI42" s="48"/>
      <c r="AJ42" s="6"/>
      <c r="AK42" s="6"/>
      <c r="AL42" s="6"/>
      <c r="AM42" s="6"/>
      <c r="AN42" s="6"/>
      <c r="AO42" s="6"/>
      <c r="AP42" s="6"/>
      <c r="AQ42" s="26"/>
      <c r="AR42" s="26"/>
      <c r="AS42" s="48"/>
      <c r="AT42" s="48"/>
      <c r="AU42" s="48"/>
      <c r="AV42" s="6"/>
      <c r="AY42"/>
    </row>
    <row r="43" spans="1:51" x14ac:dyDescent="0.3">
      <c r="A43" s="128">
        <v>43366</v>
      </c>
      <c r="B43" s="29">
        <v>40</v>
      </c>
      <c r="C43" s="42"/>
      <c r="D43" s="28"/>
      <c r="E43" s="42"/>
      <c r="F43" s="42"/>
      <c r="G43" s="42"/>
      <c r="H43" s="41"/>
      <c r="I43" s="130"/>
      <c r="J43" s="130"/>
      <c r="K43" s="29"/>
      <c r="M43" s="29"/>
      <c r="N43" s="29"/>
      <c r="O43" s="29"/>
      <c r="Q43" s="29"/>
      <c r="R43" s="29"/>
      <c r="S43" s="4"/>
      <c r="T43" s="6"/>
      <c r="U43" s="6"/>
      <c r="X43" s="4"/>
      <c r="Y43" s="4"/>
      <c r="Z43" s="48"/>
      <c r="AA43" s="48"/>
      <c r="AB43" s="48"/>
      <c r="AC43" s="20"/>
      <c r="AD43" s="6"/>
      <c r="AE43" s="6"/>
      <c r="AF43" s="6"/>
      <c r="AG43" s="6"/>
      <c r="AH43" s="6"/>
      <c r="AI43" s="48"/>
      <c r="AJ43" s="6"/>
      <c r="AK43" s="6"/>
      <c r="AL43" s="6"/>
      <c r="AM43" s="6"/>
      <c r="AN43" s="6"/>
      <c r="AO43" s="6"/>
      <c r="AP43" s="6"/>
      <c r="AQ43" s="26"/>
      <c r="AR43" s="26"/>
      <c r="AS43" s="48"/>
      <c r="AT43" s="48"/>
      <c r="AU43" s="48"/>
      <c r="AV43" s="6"/>
      <c r="AY43"/>
    </row>
    <row r="44" spans="1:51" x14ac:dyDescent="0.3">
      <c r="A44" s="128">
        <v>43367</v>
      </c>
      <c r="B44" s="29">
        <v>41</v>
      </c>
      <c r="C44" s="42">
        <v>7.6042932138307275</v>
      </c>
      <c r="D44" s="28">
        <f>MEDIA[[#This Row],[Flow 
(L h-1)]]/1000*24</f>
        <v>0.18250303713193744</v>
      </c>
      <c r="E44" s="42">
        <f>IF(IFERROR(Information!$R$47/MEDIA[[#This Row],[Flow 
(m3 d-1)]]*24,0)&lt;0,0,IFERROR(Information!$R$47/MEDIA[[#This Row],[Flow 
(m3 d-1)]]*24,0))</f>
        <v>157.80559300599219</v>
      </c>
      <c r="F44" s="42">
        <v>7.5788563915690963</v>
      </c>
      <c r="G44" s="42">
        <v>0.85797943474827687</v>
      </c>
      <c r="H44" s="41">
        <v>30.001857889977149</v>
      </c>
      <c r="I44" s="29">
        <v>740</v>
      </c>
      <c r="J44" s="130">
        <v>222</v>
      </c>
      <c r="K44" s="29">
        <v>2100</v>
      </c>
      <c r="L44" s="29">
        <f>MEDIA[[#This Row],[COD 
(mg L-1)]]*Information!$AK$42</f>
        <v>1491</v>
      </c>
      <c r="M44" s="29">
        <v>3151</v>
      </c>
      <c r="N44" s="29">
        <v>8.4</v>
      </c>
      <c r="O44" s="29">
        <v>310</v>
      </c>
      <c r="Q44" s="29">
        <v>11.86</v>
      </c>
      <c r="R44" s="29">
        <v>9.6</v>
      </c>
      <c r="S44" s="4">
        <f>MEDIA[[#This Row],[NH4-N 
(mg L-1)]]*1.288</f>
        <v>1028.9188000000001</v>
      </c>
      <c r="T44" s="6">
        <f>MEDIA[[#This Row],[NO2-N 
(mg L-1)]]*3.284</f>
        <v>0.78159199999999995</v>
      </c>
      <c r="U44" s="6">
        <f>(MEDIA[[#This Row],[NO3-N 
(mg L-1)]])*4.426</f>
        <v>41.436212000000005</v>
      </c>
      <c r="V44" s="29">
        <v>798.85</v>
      </c>
      <c r="W44" s="29">
        <v>0.23799999999999999</v>
      </c>
      <c r="X44" s="4">
        <f>IF(MEDIA[[#This Row],[TON 
(mg L-1)]]-MEDIA[[#This Row],[NO2-N 
(mg L-1)]]&lt;0,0.192,MEDIA[[#This Row],[TON 
(mg L-1)]]-MEDIA[[#This Row],[NO2-N 
(mg L-1)]])</f>
        <v>9.3620000000000001</v>
      </c>
      <c r="Y44" s="4">
        <f>SUM(MEDIA[[#This Row],[NH4-N 
(mg L-1)]],MEDIA[[#This Row],[NO3-N 
(mg L-1)]],MEDIA[[#This Row],[NO2-N 
(mg L-1)]])</f>
        <v>808.45</v>
      </c>
      <c r="Z44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1.6539174984542E-2</v>
      </c>
      <c r="AA44" s="48">
        <f>IF(IFERROR(MEDIA[[#This Row],[NO2-N 
(mg L-1)]]/MEDIA[[#This Row],[NH4-N 
(mg L-1)]],0)&lt;0,0,IFERROR(MEDIA[[#This Row],[NO2-N 
(mg L-1)]]/MEDIA[[#This Row],[NH4-N 
(mg L-1)]],0))</f>
        <v>2.9792827189084305E-4</v>
      </c>
      <c r="AB44" s="48">
        <f>MEDIA[[#This Row],[NO2-N 
(mg L-1)]]/(MEDIA[[#This Row],[NO3-N 
(mg L-1)]]+MEDIA[[#This Row],[NO2-N 
(mg L-1)]])</f>
        <v>2.4791666666666667E-2</v>
      </c>
      <c r="AC44" s="20">
        <f>46/14*MEDIA[[#This Row],[NO2-N 
(mg L-1)]]/(EXP(-2300/(MEDIA[[#This Row],[Temp. 
(°C)]]+273))*10^(MEDIA[[#This Row],[pHreactor]]))</f>
        <v>4.0827701227136084E-5</v>
      </c>
      <c r="AD44" s="6">
        <f>17/14*MEDIA[NH4-N 
(mg L-1)]*10^MEDIA[[#This Row],[pHreactor]]/(EXP((6344/(273+MEDIA[[#This Row],[Temp. 
(°C)]])))+10^MEDIA[pHreactor])</f>
        <v>28.817074208431645</v>
      </c>
      <c r="AE44" s="6">
        <f>Influent[[#This Row],[NH4-N (mg L-1)]]*MEDIA[[#This Row],[Flow 
(m3 d-1)]]/(Information!$R$48*Information!$R$49)</f>
        <v>0.51895499037787796</v>
      </c>
      <c r="AF44" s="6">
        <f>(Influent[[#This Row],[NH4-N (mg L-1)]]-MEDIA[[#This Row],[NH4-N 
(mg L-1)]])*MEDIA[[#This Row],[Flow 
(m3 d-1)]]/(Information!$R$48*Information!$R$49)</f>
        <v>0.21522050868444417</v>
      </c>
      <c r="AG44" s="6">
        <f>Influent[[#This Row],[COD (mg L-1)]]*MEDIA[[#This Row],[Flow 
(m3 d-1)]]/(Information!$R$48*Information!$R$49)</f>
        <v>1.0646010499363017</v>
      </c>
      <c r="AH44" s="6">
        <f>(Influent[[#This Row],[COD (mg L-1)]]-MEDIA[[#This Row],[COD 
(mg L-1)]])*MEDIA[[#This Row],[Flow 
(m3 d-1)]]/(Information!$R$48*Information!$R$49)</f>
        <v>0.26615026248407542</v>
      </c>
      <c r="AI44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556.45000000000005</v>
      </c>
      <c r="AJ44" s="6">
        <f>IFERROR(IF(Influent[[#This Row],[COD (mg L-1)]]-MEDIA[[#This Row],[COD 
(mg L-1)]]&lt;0,0,Influent[[#This Row],[COD (mg L-1)]]-MEDIA[[#This Row],[COD 
(mg L-1)]]),0)</f>
        <v>700</v>
      </c>
      <c r="AK44" s="6">
        <f>IFERROR(IF(Influent[[#This Row],[Alkalinity (mg CaCO3 L-1) ]]-MEDIA[[#This Row],[Alkalinity 
(mg CaCO3 L-1) ]]&lt;0,0,Influent[[#This Row],[Alkalinity (mg CaCO3 L-1) ]]-MEDIA[[#This Row],[Alkalinity 
(mg CaCO3 L-1) ]]),0)</f>
        <v>2527</v>
      </c>
      <c r="AL44" s="6">
        <f>Influent[[#This Row],[COD (mg L-1)]]/MEDIA[[#This Row],[HRT 
(h)]]*24/1000</f>
        <v>0.42584041997452066</v>
      </c>
      <c r="AM44" s="6">
        <f>IF(((MEDIA[[#This Row],[ΔC (mg L-1)]])*24/MEDIA[[#This Row],[HRT 
(h)]]/1000) &lt;0,0, (MEDIA[[#This Row],[ΔC (mg L-1)]])*24/MEDIA[[#This Row],[HRT 
(h)]]/1000)</f>
        <v>0.10646010499363016</v>
      </c>
      <c r="AN44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8.6088203473777672E-2</v>
      </c>
      <c r="AO44" s="6">
        <f>Influent[[#This Row],[TN (mg L-1)]]/MEDIA[[#This Row],[HRT 
(h)]]*24/1000</f>
        <v>0.21311989872705556</v>
      </c>
      <c r="AP44" s="6">
        <f>MEDIA[[#This Row],[NRE 
(%)]]*MEDIA[[#This Row],[NLR 
(kg N m-3 d-1)]]</f>
        <v>9.0166081752626526E-2</v>
      </c>
      <c r="AQ44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0.41471902703494762</v>
      </c>
      <c r="AR44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0.42307678584299152</v>
      </c>
      <c r="AS44" s="48"/>
      <c r="AT44" s="48"/>
      <c r="AU44" s="48"/>
      <c r="AV44" s="6"/>
      <c r="AW44" t="s">
        <v>548</v>
      </c>
      <c r="AY44"/>
    </row>
    <row r="45" spans="1:51" x14ac:dyDescent="0.3">
      <c r="A45" s="128">
        <v>43368</v>
      </c>
      <c r="B45" s="29">
        <v>42</v>
      </c>
      <c r="C45" s="42">
        <v>29.240422152347424</v>
      </c>
      <c r="D45" s="28">
        <f>MEDIA[[#This Row],[Flow 
(L h-1)]]/1000*24</f>
        <v>0.70177013165633817</v>
      </c>
      <c r="E45" s="42">
        <f>IF(IFERROR(Information!$R$47/MEDIA[[#This Row],[Flow 
(m3 d-1)]]*24,0)&lt;0,0,IFERROR(Information!$R$47/MEDIA[[#This Row],[Flow 
(m3 d-1)]]*24,0))</f>
        <v>41.039079181135008</v>
      </c>
      <c r="F45" s="42">
        <v>7.7121315475802836</v>
      </c>
      <c r="G45" s="42">
        <v>1.2032818468090396</v>
      </c>
      <c r="H45" s="41">
        <v>28.856715225834105</v>
      </c>
      <c r="I45" s="130"/>
      <c r="J45" s="130"/>
      <c r="K45" s="29">
        <v>1960</v>
      </c>
      <c r="L45" s="29">
        <f>MEDIA[[#This Row],[COD 
(mg L-1)]]*Information!$AK$42</f>
        <v>1391.6</v>
      </c>
      <c r="M45" s="29">
        <v>2324</v>
      </c>
      <c r="N45" s="29">
        <v>8.3000000000000007</v>
      </c>
      <c r="O45" s="29">
        <v>580</v>
      </c>
      <c r="Q45" s="29">
        <v>18.850000000000001</v>
      </c>
      <c r="R45" s="29">
        <v>0.2</v>
      </c>
      <c r="S45" s="4">
        <f>MEDIA[[#This Row],[NH4-N 
(mg L-1)]]*1.288</f>
        <v>951.53575999999998</v>
      </c>
      <c r="T45" s="6">
        <f>MEDIA[[#This Row],[NO2-N 
(mg L-1)]]*3.284</f>
        <v>4.4301159999999999</v>
      </c>
      <c r="U45" s="6">
        <f>(MEDIA[[#This Row],[NO3-N 
(mg L-1)]])*4.426</f>
        <v>0.8497920000000001</v>
      </c>
      <c r="V45" s="29">
        <v>738.77</v>
      </c>
      <c r="W45" s="29">
        <v>1.349</v>
      </c>
      <c r="X45" s="4">
        <f>IF(MEDIA[[#This Row],[TON 
(mg L-1)]]-MEDIA[[#This Row],[NO2-N 
(mg L-1)]]&lt;0,0.192,MEDIA[[#This Row],[TON 
(mg L-1)]]-MEDIA[[#This Row],[NO2-N 
(mg L-1)]])</f>
        <v>0.192</v>
      </c>
      <c r="Y45" s="4">
        <f>SUM(MEDIA[[#This Row],[NH4-N 
(mg L-1)]],MEDIA[[#This Row],[NO3-N 
(mg L-1)]],MEDIA[[#This Row],[NO2-N 
(mg L-1)]])</f>
        <v>740.31100000000004</v>
      </c>
      <c r="Z45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4.1154909652112409E-4</v>
      </c>
      <c r="AA45" s="48">
        <f>IF(IFERROR(MEDIA[[#This Row],[NO2-N 
(mg L-1)]]/MEDIA[[#This Row],[NH4-N 
(mg L-1)]],0)&lt;0,0,IFERROR(MEDIA[[#This Row],[NO2-N 
(mg L-1)]]/MEDIA[[#This Row],[NH4-N 
(mg L-1)]],0))</f>
        <v>1.8260080945355116E-3</v>
      </c>
      <c r="AB45" s="48">
        <f>MEDIA[[#This Row],[NO2-N 
(mg L-1)]]/(MEDIA[[#This Row],[NO3-N 
(mg L-1)]]+MEDIA[[#This Row],[NO2-N 
(mg L-1)]])</f>
        <v>0.87540558079169373</v>
      </c>
      <c r="AC45" s="20">
        <f>46/14*MEDIA[[#This Row],[NO2-N 
(mg L-1)]]/(EXP(-2300/(MEDIA[[#This Row],[Temp. 
(°C)]]+273))*10^(MEDIA[[#This Row],[pHreactor]]))</f>
        <v>1.75235047849169E-4</v>
      </c>
      <c r="AD45" s="6">
        <f>17/14*MEDIA[NH4-N 
(mg L-1)]*10^MEDIA[[#This Row],[pHreactor]]/(EXP((6344/(273+MEDIA[[#This Row],[Temp. 
(°C)]])))+10^MEDIA[pHreactor])</f>
        <v>33.204052604545467</v>
      </c>
      <c r="AE45" s="6">
        <f>Influent[[#This Row],[NH4-N (mg L-1)]]*MEDIA[[#This Row],[Flow 
(m3 d-1)]]/(Information!$R$48*Information!$R$49)</f>
        <v>1.7621740410112174</v>
      </c>
      <c r="AF45" s="6">
        <f>(Influent[[#This Row],[NH4-N (mg L-1)]]-MEDIA[[#This Row],[NH4-N 
(mg L-1)]])*MEDIA[[#This Row],[Flow 
(m3 d-1)]]/(Information!$R$48*Information!$R$49)</f>
        <v>0.68207670733673209</v>
      </c>
      <c r="AG45" s="6">
        <f>Influent[[#This Row],[COD (mg L-1)]]*MEDIA[[#This Row],[Flow 
(m3 d-1)]]/(Information!$R$48*Information!$R$49)</f>
        <v>3.3553384419818668</v>
      </c>
      <c r="AH45" s="6">
        <f>(Influent[[#This Row],[COD (mg L-1)]]-MEDIA[[#This Row],[COD 
(mg L-1)]])*MEDIA[[#This Row],[Flow 
(m3 d-1)]]/(Information!$R$48*Information!$R$49)</f>
        <v>0.48977707105181939</v>
      </c>
      <c r="AI45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464.98899999999992</v>
      </c>
      <c r="AJ45" s="6">
        <f>IFERROR(IF(Influent[[#This Row],[COD (mg L-1)]]-MEDIA[[#This Row],[COD 
(mg L-1)]]&lt;0,0,Influent[[#This Row],[COD (mg L-1)]]-MEDIA[[#This Row],[COD 
(mg L-1)]]),0)</f>
        <v>335</v>
      </c>
      <c r="AK45" s="6">
        <f>IFERROR(IF(Influent[[#This Row],[Alkalinity (mg CaCO3 L-1) ]]-MEDIA[[#This Row],[Alkalinity 
(mg CaCO3 L-1) ]]&lt;0,0,Influent[[#This Row],[Alkalinity (mg CaCO3 L-1) ]]-MEDIA[[#This Row],[Alkalinity 
(mg CaCO3 L-1) ]]),0)</f>
        <v>2099</v>
      </c>
      <c r="AL45" s="6">
        <f>Influent[[#This Row],[COD (mg L-1)]]/MEDIA[[#This Row],[HRT 
(h)]]*24/1000</f>
        <v>1.3421353767927466</v>
      </c>
      <c r="AM45" s="6">
        <f>IF(((MEDIA[[#This Row],[ΔC (mg L-1)]])*24/MEDIA[[#This Row],[HRT 
(h)]]/1000) &lt;0,0, (MEDIA[[#This Row],[ΔC (mg L-1)]])*24/MEDIA[[#This Row],[HRT 
(h)]]/1000)</f>
        <v>0.19591082842072774</v>
      </c>
      <c r="AN45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0.27283068293469287</v>
      </c>
      <c r="AO45" s="6">
        <f>Influent[[#This Row],[TN (mg L-1)]]/MEDIA[[#This Row],[HRT 
(h)]]*24/1000</f>
        <v>0.70498657809309639</v>
      </c>
      <c r="AP45" s="6">
        <f>MEDIA[[#This Row],[NRE 
(%)]]*MEDIA[[#This Row],[NLR 
(kg N m-3 d-1)]]</f>
        <v>0.2720464548125669</v>
      </c>
      <c r="AQ45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0.38706546088110844</v>
      </c>
      <c r="AR45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0.3858888428038158</v>
      </c>
      <c r="AS45" s="48"/>
      <c r="AT45" s="48"/>
      <c r="AU45" s="48"/>
      <c r="AV45" s="6"/>
      <c r="AY45"/>
    </row>
    <row r="46" spans="1:51" x14ac:dyDescent="0.3">
      <c r="A46" s="128">
        <v>43369</v>
      </c>
      <c r="B46" s="29">
        <v>43</v>
      </c>
      <c r="C46" s="42"/>
      <c r="D46" s="28"/>
      <c r="E46" s="42"/>
      <c r="F46" s="42"/>
      <c r="G46" s="42"/>
      <c r="H46" s="41"/>
      <c r="I46" s="130"/>
      <c r="J46" s="130"/>
      <c r="K46" s="29"/>
      <c r="M46" s="29"/>
      <c r="N46" s="29"/>
      <c r="O46" s="29"/>
      <c r="Q46" s="29"/>
      <c r="R46" s="29"/>
      <c r="S46" s="4"/>
      <c r="T46" s="6"/>
      <c r="U46" s="6"/>
      <c r="X46" s="4"/>
      <c r="Y46" s="4"/>
      <c r="Z46" s="48"/>
      <c r="AA46" s="48"/>
      <c r="AB46" s="48"/>
      <c r="AC46" s="20"/>
      <c r="AD46" s="6"/>
      <c r="AE46" s="6"/>
      <c r="AF46" s="6"/>
      <c r="AG46" s="6"/>
      <c r="AH46" s="6"/>
      <c r="AI46" s="48"/>
      <c r="AJ46" s="6"/>
      <c r="AK46" s="6"/>
      <c r="AL46" s="6"/>
      <c r="AM46" s="6"/>
      <c r="AN46" s="6"/>
      <c r="AO46" s="6"/>
      <c r="AP46" s="6"/>
      <c r="AQ46" s="26"/>
      <c r="AR46" s="26"/>
      <c r="AS46" s="48"/>
      <c r="AT46" s="48"/>
      <c r="AU46" s="48"/>
      <c r="AV46" s="6"/>
      <c r="AY46"/>
    </row>
    <row r="47" spans="1:51" x14ac:dyDescent="0.3">
      <c r="A47" s="128">
        <v>43370</v>
      </c>
      <c r="B47" s="29">
        <v>44</v>
      </c>
      <c r="C47" s="42">
        <v>5.508959563975945</v>
      </c>
      <c r="D47" s="28">
        <f>MEDIA[[#This Row],[Flow 
(L h-1)]]/1000*24</f>
        <v>0.13221502953542269</v>
      </c>
      <c r="E47" s="42">
        <f>IF(IFERROR(Information!$R$47/MEDIA[[#This Row],[Flow 
(m3 d-1)]]*24,0)&lt;0,0,IFERROR(Information!$R$47/MEDIA[[#This Row],[Flow 
(m3 d-1)]]*24,0))</f>
        <v>217.82697550495936</v>
      </c>
      <c r="F47" s="42">
        <v>8.5212951618447477</v>
      </c>
      <c r="G47" s="42">
        <v>2.4593396381304027</v>
      </c>
      <c r="H47" s="41">
        <v>20.258395487961774</v>
      </c>
      <c r="I47" s="29">
        <v>6980</v>
      </c>
      <c r="J47" s="130">
        <v>2410</v>
      </c>
      <c r="K47" s="29">
        <v>1920</v>
      </c>
      <c r="L47" s="29">
        <f>MEDIA[[#This Row],[COD 
(mg L-1)]]*Information!$AK$42</f>
        <v>1363.1999999999998</v>
      </c>
      <c r="M47" s="29">
        <v>2702</v>
      </c>
      <c r="N47" s="29">
        <v>8.4</v>
      </c>
      <c r="O47" s="29">
        <v>420</v>
      </c>
      <c r="Q47" s="29">
        <v>18.940000000000001</v>
      </c>
      <c r="R47" s="29">
        <v>0.2</v>
      </c>
      <c r="S47" s="4">
        <f>MEDIA[[#This Row],[NH4-N 
(mg L-1)]]*1.288</f>
        <v>1040.56232</v>
      </c>
      <c r="T47" s="6">
        <f>MEDIA[[#This Row],[NO2-N 
(mg L-1)]]*3.284</f>
        <v>5.18872</v>
      </c>
      <c r="U47" s="6">
        <f>(MEDIA[[#This Row],[NO3-N 
(mg L-1)]])*4.426</f>
        <v>0.8497920000000001</v>
      </c>
      <c r="V47" s="29">
        <v>807.89</v>
      </c>
      <c r="W47" s="29">
        <v>1.58</v>
      </c>
      <c r="X47" s="4">
        <f>IF(MEDIA[[#This Row],[TON 
(mg L-1)]]-MEDIA[[#This Row],[NO2-N 
(mg L-1)]]&lt;0,0.192,MEDIA[[#This Row],[TON 
(mg L-1)]]-MEDIA[[#This Row],[NO2-N 
(mg L-1)]])</f>
        <v>0.192</v>
      </c>
      <c r="Y47" s="4">
        <f>SUM(MEDIA[[#This Row],[NH4-N 
(mg L-1)]],MEDIA[[#This Row],[NO3-N 
(mg L-1)]],MEDIA[[#This Row],[NO2-N 
(mg L-1)]])</f>
        <v>809.66200000000003</v>
      </c>
      <c r="Z47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2.914787994716947E-4</v>
      </c>
      <c r="AA47" s="48">
        <f>IF(IFERROR(MEDIA[[#This Row],[NO2-N 
(mg L-1)]]/MEDIA[[#This Row],[NH4-N 
(mg L-1)]],0)&lt;0,0,IFERROR(MEDIA[[#This Row],[NO2-N 
(mg L-1)]]/MEDIA[[#This Row],[NH4-N 
(mg L-1)]],0))</f>
        <v>1.9557117924469919E-3</v>
      </c>
      <c r="AB47" s="48">
        <f>MEDIA[[#This Row],[NO2-N 
(mg L-1)]]/(MEDIA[[#This Row],[NO3-N 
(mg L-1)]]+MEDIA[[#This Row],[NO2-N 
(mg L-1)]])</f>
        <v>0.8916478555304741</v>
      </c>
      <c r="AC47" s="20">
        <f>46/14*MEDIA[[#This Row],[NO2-N 
(mg L-1)]]/(EXP(-2300/(MEDIA[[#This Row],[Temp. 
(°C)]]+273))*10^(MEDIA[[#This Row],[pHreactor]]))</f>
        <v>3.9822217232439786E-5</v>
      </c>
      <c r="AD47" s="6">
        <f>17/14*MEDIA[NH4-N 
(mg L-1)]*10^MEDIA[[#This Row],[pHreactor]]/(EXP((6344/(273+MEDIA[[#This Row],[Temp. 
(°C)]])))+10^MEDIA[pHreactor])</f>
        <v>115.73004005055498</v>
      </c>
      <c r="AE47" s="6">
        <f>Influent[[#This Row],[NH4-N (mg L-1)]]*MEDIA[[#This Row],[Flow 
(m3 d-1)]]/(Information!$R$48*Information!$R$49)</f>
        <v>0.40397200482635603</v>
      </c>
      <c r="AF47" s="6">
        <f>(Influent[[#This Row],[NH4-N (mg L-1)]]-MEDIA[[#This Row],[NH4-N 
(mg L-1)]])*MEDIA[[#This Row],[Flow 
(m3 d-1)]]/(Information!$R$48*Information!$R$49)</f>
        <v>0.18144033771932971</v>
      </c>
      <c r="AG47" s="6">
        <f>Influent[[#This Row],[COD (mg L-1)]]*MEDIA[[#This Row],[Flow 
(m3 d-1)]]/(Information!$R$48*Information!$R$49)</f>
        <v>0.77400881873862037</v>
      </c>
      <c r="AH47" s="6">
        <f>(Influent[[#This Row],[COD (mg L-1)]]-MEDIA[[#This Row],[COD 
(mg L-1)]])*MEDIA[[#This Row],[Flow 
(m3 d-1)]]/(Information!$R$48*Information!$R$49)</f>
        <v>0.24514870059692959</v>
      </c>
      <c r="AI47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656.93799999999987</v>
      </c>
      <c r="AJ47" s="6">
        <f>IFERROR(IF(Influent[[#This Row],[COD (mg L-1)]]-MEDIA[[#This Row],[COD 
(mg L-1)]]&lt;0,0,Influent[[#This Row],[COD (mg L-1)]]-MEDIA[[#This Row],[COD 
(mg L-1)]]),0)</f>
        <v>890</v>
      </c>
      <c r="AK47" s="6">
        <f>IFERROR(IF(Influent[[#This Row],[Alkalinity (mg CaCO3 L-1) ]]-MEDIA[[#This Row],[Alkalinity 
(mg CaCO3 L-1) ]]&lt;0,0,Influent[[#This Row],[Alkalinity (mg CaCO3 L-1) ]]-MEDIA[[#This Row],[Alkalinity 
(mg CaCO3 L-1) ]]),0)</f>
        <v>2545</v>
      </c>
      <c r="AL47" s="6">
        <f>Influent[[#This Row],[COD (mg L-1)]]/MEDIA[[#This Row],[HRT 
(h)]]*24/1000</f>
        <v>0.30960352749544817</v>
      </c>
      <c r="AM47" s="6">
        <f>IF(((MEDIA[[#This Row],[ΔC (mg L-1)]])*24/MEDIA[[#This Row],[HRT 
(h)]]/1000) &lt;0,0, (MEDIA[[#This Row],[ΔC (mg L-1)]])*24/MEDIA[[#This Row],[HRT 
(h)]]/1000)</f>
        <v>9.805948023877184E-2</v>
      </c>
      <c r="AN47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7.2576135087731905E-2</v>
      </c>
      <c r="AO47" s="6">
        <f>Influent[[#This Row],[TN (mg L-1)]]/MEDIA[[#This Row],[HRT 
(h)]]*24/1000</f>
        <v>0.16161083776879834</v>
      </c>
      <c r="AP47" s="6">
        <f>MEDIA[[#This Row],[NRE 
(%)]]*MEDIA[[#This Row],[NLR 
(kg N m-3 d-1)]]</f>
        <v>7.2402933399040484E-2</v>
      </c>
      <c r="AQ47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0.44914087003954722</v>
      </c>
      <c r="AR47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0.44800790837196613</v>
      </c>
      <c r="AS47" s="48"/>
      <c r="AT47" s="48"/>
      <c r="AU47" s="48"/>
      <c r="AV47" s="6"/>
      <c r="AY47"/>
    </row>
    <row r="48" spans="1:51" x14ac:dyDescent="0.3">
      <c r="A48" s="128">
        <v>43371</v>
      </c>
      <c r="B48" s="29">
        <v>45</v>
      </c>
      <c r="C48" s="42">
        <v>6.2556946374442335</v>
      </c>
      <c r="D48" s="28">
        <f>MEDIA[[#This Row],[Flow 
(L h-1)]]/1000*24</f>
        <v>0.15013667129866159</v>
      </c>
      <c r="E48" s="42">
        <f>IF(IFERROR(Information!$R$47/MEDIA[[#This Row],[Flow 
(m3 d-1)]]*24,0)&lt;0,0,IFERROR(Information!$R$47/MEDIA[[#This Row],[Flow 
(m3 d-1)]]*24,0))</f>
        <v>191.82521998712207</v>
      </c>
      <c r="F48" s="42">
        <v>7.5708413688476943</v>
      </c>
      <c r="G48" s="42">
        <v>0.88628427488280026</v>
      </c>
      <c r="H48" s="41">
        <v>30.103749801201442</v>
      </c>
      <c r="I48" s="41">
        <f>stableMED[[#This Row],[MLVSS 
(mg L-1)]]/0.6</f>
        <v>1366.6666666666667</v>
      </c>
      <c r="J48" s="130">
        <f>410*2</f>
        <v>820</v>
      </c>
      <c r="K48">
        <v>1950</v>
      </c>
      <c r="L48" s="29">
        <f>MEDIA[[#This Row],[COD 
(mg L-1)]]*Information!$AK$42</f>
        <v>1384.5</v>
      </c>
      <c r="M48">
        <v>1837</v>
      </c>
      <c r="N48">
        <v>8.1999999999999993</v>
      </c>
      <c r="O48">
        <v>456</v>
      </c>
      <c r="P48">
        <v>165</v>
      </c>
      <c r="Q48">
        <v>6.63</v>
      </c>
      <c r="R48">
        <v>244.2</v>
      </c>
      <c r="S48" s="4">
        <f>MEDIA[[#This Row],[NH4-N 
(mg L-1)]]*1.288</f>
        <v>690.81880000000001</v>
      </c>
      <c r="T48" s="6">
        <f>MEDIA[[#This Row],[NO2-N 
(mg L-1)]]*3.284</f>
        <v>1137.085</v>
      </c>
      <c r="U48" s="6">
        <f>(MEDIA[[#This Row],[NO3-N 
(mg L-1)]])*4.426</f>
        <v>0.8497920000000001</v>
      </c>
      <c r="V48" s="6">
        <v>536.35</v>
      </c>
      <c r="W48" s="6">
        <v>346.25</v>
      </c>
      <c r="X48" s="4">
        <f>IF(MEDIA[[#This Row],[TON 
(mg L-1)]]-MEDIA[[#This Row],[NO2-N 
(mg L-1)]]&lt;0,0.192,MEDIA[[#This Row],[TON 
(mg L-1)]]-MEDIA[[#This Row],[NO2-N 
(mg L-1)]])</f>
        <v>0.192</v>
      </c>
      <c r="Y48" s="4">
        <f>SUM(MEDIA[[#This Row],[NH4-N 
(mg L-1)]],MEDIA[[#This Row],[NO3-N 
(mg L-1)]],MEDIA[[#This Row],[NO2-N 
(mg L-1)]])</f>
        <v>882.79200000000003</v>
      </c>
      <c r="Z48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2.6199085761069798E-4</v>
      </c>
      <c r="AA48" s="48">
        <f>IF(IFERROR(MEDIA[[#This Row],[NO2-N 
(mg L-1)]]/MEDIA[[#This Row],[NH4-N 
(mg L-1)]],0)&lt;0,0,IFERROR(MEDIA[[#This Row],[NO2-N 
(mg L-1)]]/MEDIA[[#This Row],[NH4-N 
(mg L-1)]],0))</f>
        <v>0.64556726018458088</v>
      </c>
      <c r="AB48" s="48">
        <f>MEDIA[[#This Row],[NO2-N 
(mg L-1)]]/(MEDIA[[#This Row],[NO3-N 
(mg L-1)]]+MEDIA[[#This Row],[NO2-N 
(mg L-1)]])</f>
        <v>0.99944579467847428</v>
      </c>
      <c r="AC48" s="20">
        <f>46/14*MEDIA[[#This Row],[NO2-N 
(mg L-1)]]/(EXP(-2300/(MEDIA[[#This Row],[Temp. 
(°C)]]+273))*10^(MEDIA[[#This Row],[pHreactor]]))</f>
        <v>6.0349626011056527E-2</v>
      </c>
      <c r="AD48" s="6">
        <f>17/14*MEDIA[NH4-N 
(mg L-1)]*10^MEDIA[[#This Row],[pHreactor]]/(EXP((6344/(273+MEDIA[[#This Row],[Temp. 
(°C)]])))+10^MEDIA[pHreactor])</f>
        <v>19.134674464095539</v>
      </c>
      <c r="AE48" s="6">
        <f>Influent[[#This Row],[NH4-N (mg L-1)]]*MEDIA[[#This Row],[Flow 
(m3 d-1)]]/(Information!$R$48*Information!$R$49)</f>
        <v>0.39698638169221107</v>
      </c>
      <c r="AF48" s="6">
        <f>(Influent[[#This Row],[NH4-N (mg L-1)]]-MEDIA[[#This Row],[NH4-N 
(mg L-1)]])*MEDIA[[#This Row],[Flow 
(m3 d-1)]]/(Information!$R$48*Information!$R$49)</f>
        <v>0.22922429075255032</v>
      </c>
      <c r="AG48" s="6">
        <f>Influent[[#This Row],[COD (mg L-1)]]*MEDIA[[#This Row],[Flow 
(m3 d-1)]]/(Information!$R$48*Information!$R$49)</f>
        <v>0.81636815018647235</v>
      </c>
      <c r="AH48" s="6">
        <f>(Influent[[#This Row],[COD (mg L-1)]]-MEDIA[[#This Row],[COD 
(mg L-1)]])*MEDIA[[#This Row],[Flow 
(m3 d-1)]]/(Information!$R$48*Information!$R$49)</f>
        <v>0.20643792303565969</v>
      </c>
      <c r="AI48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386.40800000000002</v>
      </c>
      <c r="AJ48" s="6">
        <f>IFERROR(IF(Influent[[#This Row],[COD (mg L-1)]]-MEDIA[[#This Row],[COD 
(mg L-1)]]&lt;0,0,Influent[[#This Row],[COD (mg L-1)]]-MEDIA[[#This Row],[COD 
(mg L-1)]]),0)</f>
        <v>660</v>
      </c>
      <c r="AK48" s="6">
        <f>IFERROR(IF(Influent[[#This Row],[Alkalinity (mg CaCO3 L-1) ]]-MEDIA[[#This Row],[Alkalinity 
(mg CaCO3 L-1) ]]&lt;0,0,Influent[[#This Row],[Alkalinity (mg CaCO3 L-1) ]]-MEDIA[[#This Row],[Alkalinity 
(mg CaCO3 L-1) ]]),0)</f>
        <v>2789</v>
      </c>
      <c r="AL48" s="6">
        <f>Influent[[#This Row],[COD (mg L-1)]]/MEDIA[[#This Row],[HRT 
(h)]]*24/1000</f>
        <v>0.32654726007458895</v>
      </c>
      <c r="AM48" s="6">
        <f>IF(((MEDIA[[#This Row],[ΔC (mg L-1)]])*24/MEDIA[[#This Row],[HRT 
(h)]]/1000) &lt;0,0, (MEDIA[[#This Row],[ΔC (mg L-1)]])*24/MEDIA[[#This Row],[HRT 
(h)]]/1000)</f>
        <v>8.2575169214263888E-2</v>
      </c>
      <c r="AN48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9.1689716301020144E-2</v>
      </c>
      <c r="AO48" s="6">
        <f>Influent[[#This Row],[TN (mg L-1)]]/MEDIA[[#This Row],[HRT 
(h)]]*24/1000</f>
        <v>0.15881957545543424</v>
      </c>
      <c r="AP48" s="6">
        <f>MEDIA[[#This Row],[NRE 
(%)]]*MEDIA[[#This Row],[NLR 
(kg N m-3 d-1)]]</f>
        <v>4.8370031847860824E-2</v>
      </c>
      <c r="AQ48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0.57741096753860699</v>
      </c>
      <c r="AR48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0.3045596344729794</v>
      </c>
      <c r="AS48" s="48">
        <f>110/30</f>
        <v>3.6666666666666665</v>
      </c>
      <c r="AT48" s="48">
        <v>0.56699999999999995</v>
      </c>
      <c r="AU48" s="48">
        <v>0.16900000000000001</v>
      </c>
      <c r="AV48" s="6">
        <f>stableMED[[#This Row],[SAAcarrier
(g N g VSS-1d-1)]]+stableMED[[#This Row],[SAAsuspension
(g N g VSS-1d-1)]]</f>
        <v>0.73599999999999999</v>
      </c>
      <c r="AY48"/>
    </row>
    <row r="49" spans="1:51" x14ac:dyDescent="0.3">
      <c r="A49" s="128">
        <v>43372</v>
      </c>
      <c r="B49" s="29">
        <v>46</v>
      </c>
      <c r="C49" s="42">
        <v>27.304462427068444</v>
      </c>
      <c r="D49" s="28">
        <f>MEDIA[[#This Row],[Flow 
(L h-1)]]/1000*24</f>
        <v>0.65530709824964273</v>
      </c>
      <c r="E49" s="42">
        <f>IF(IFERROR(Information!$R$47/MEDIA[[#This Row],[Flow 
(m3 d-1)]]*24,0)&lt;0,0,IFERROR(Information!$R$47/MEDIA[[#This Row],[Flow 
(m3 d-1)]]*24,0))</f>
        <v>43.948860125163009</v>
      </c>
      <c r="F49" s="42">
        <v>7.3374633118742993</v>
      </c>
      <c r="G49" s="42">
        <v>0.91132289045016746</v>
      </c>
      <c r="H49" s="41">
        <v>29.907519083973103</v>
      </c>
      <c r="I49" s="130"/>
      <c r="J49" s="130"/>
      <c r="K49">
        <v>1490</v>
      </c>
      <c r="L49" s="29">
        <f>MEDIA[[#This Row],[COD 
(mg L-1)]]*Information!$AK$42</f>
        <v>1057.8999999999999</v>
      </c>
      <c r="M49">
        <v>1221</v>
      </c>
      <c r="N49">
        <v>8.1</v>
      </c>
      <c r="O49">
        <v>166</v>
      </c>
      <c r="P49">
        <v>63</v>
      </c>
      <c r="Q49">
        <v>4.8</v>
      </c>
      <c r="R49">
        <v>195.6</v>
      </c>
      <c r="S49" s="4">
        <f>MEDIA[[#This Row],[NH4-N 
(mg L-1)]]*1.288</f>
        <v>593.53616</v>
      </c>
      <c r="T49" s="6">
        <f>MEDIA[[#This Row],[NO2-N 
(mg L-1)]]*3.284</f>
        <v>614.20651999999995</v>
      </c>
      <c r="U49" s="6">
        <f>(MEDIA[[#This Row],[NO3-N 
(mg L-1)]])*4.426</f>
        <v>37.930819999999969</v>
      </c>
      <c r="V49" s="6">
        <v>460.82</v>
      </c>
      <c r="W49" s="6">
        <v>187.03</v>
      </c>
      <c r="X49" s="4">
        <f>IF(MEDIA[[#This Row],[TON 
(mg L-1)]]-MEDIA[[#This Row],[NO2-N 
(mg L-1)]]&lt;0,0.192,MEDIA[[#This Row],[TON 
(mg L-1)]]-MEDIA[[#This Row],[NO2-N 
(mg L-1)]])</f>
        <v>8.5699999999999932</v>
      </c>
      <c r="Y49" s="4">
        <f>SUM(MEDIA[[#This Row],[NH4-N 
(mg L-1)]],MEDIA[[#This Row],[NO3-N 
(mg L-1)]],MEDIA[[#This Row],[NO2-N 
(mg L-1)]])</f>
        <v>656.42</v>
      </c>
      <c r="Z49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1.0119497449461544E-2</v>
      </c>
      <c r="AA49" s="48">
        <f>IF(IFERROR(MEDIA[[#This Row],[NO2-N 
(mg L-1)]]/MEDIA[[#This Row],[NH4-N 
(mg L-1)]],0)&lt;0,0,IFERROR(MEDIA[[#This Row],[NO2-N 
(mg L-1)]]/MEDIA[[#This Row],[NH4-N 
(mg L-1)]],0))</f>
        <v>0.40586346078729224</v>
      </c>
      <c r="AB49" s="48">
        <f>MEDIA[[#This Row],[NO2-N 
(mg L-1)]]/(MEDIA[[#This Row],[NO3-N 
(mg L-1)]]+MEDIA[[#This Row],[NO2-N 
(mg L-1)]])</f>
        <v>0.9561860940695297</v>
      </c>
      <c r="AC49" s="20">
        <f>46/14*MEDIA[[#This Row],[NO2-N 
(mg L-1)]]/(EXP(-2300/(MEDIA[[#This Row],[Temp. 
(°C)]]+273))*10^(MEDIA[[#This Row],[pHreactor]]))</f>
        <v>5.6067221313188392E-2</v>
      </c>
      <c r="AD49" s="6">
        <f>17/14*MEDIA[NH4-N 
(mg L-1)]*10^MEDIA[[#This Row],[pHreactor]]/(EXP((6344/(273+MEDIA[[#This Row],[Temp. 
(°C)]])))+10^MEDIA[pHreactor])</f>
        <v>9.5956887375873894</v>
      </c>
      <c r="AE49" s="6">
        <f>Influent[[#This Row],[NH4-N (mg L-1)]]*MEDIA[[#This Row],[Flow 
(m3 d-1)]]/(Information!$R$48*Information!$R$49)</f>
        <v>1.7853022757938706</v>
      </c>
      <c r="AF49" s="6">
        <f>(Influent[[#This Row],[NH4-N (mg L-1)]]-MEDIA[[#This Row],[NH4-N 
(mg L-1)]])*MEDIA[[#This Row],[Flow 
(m3 d-1)]]/(Information!$R$48*Information!$R$49)</f>
        <v>1.1561801570117864</v>
      </c>
      <c r="AG49" s="6">
        <f>Influent[[#This Row],[COD (mg L-1)]]*MEDIA[[#This Row],[Flow 
(m3 d-1)]]/(Information!$R$48*Information!$R$49)</f>
        <v>3.9727992831384591</v>
      </c>
      <c r="AH49" s="6">
        <f>(Influent[[#This Row],[COD (mg L-1)]]-MEDIA[[#This Row],[COD 
(mg L-1)]])*MEDIA[[#This Row],[Flow 
(m3 d-1)]]/(Information!$R$48*Information!$R$49)</f>
        <v>1.9386168323218598</v>
      </c>
      <c r="AI49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651.28</v>
      </c>
      <c r="AJ49" s="6">
        <f>IFERROR(IF(Influent[[#This Row],[COD (mg L-1)]]-MEDIA[[#This Row],[COD 
(mg L-1)]]&lt;0,0,Influent[[#This Row],[COD (mg L-1)]]-MEDIA[[#This Row],[COD 
(mg L-1)]]),0)</f>
        <v>1420</v>
      </c>
      <c r="AK49" s="6">
        <f>IFERROR(IF(Influent[[#This Row],[Alkalinity (mg CaCO3 L-1) ]]-MEDIA[[#This Row],[Alkalinity 
(mg CaCO3 L-1) ]]&lt;0,0,Influent[[#This Row],[Alkalinity (mg CaCO3 L-1) ]]-MEDIA[[#This Row],[Alkalinity 
(mg CaCO3 L-1) ]]),0)</f>
        <v>3747</v>
      </c>
      <c r="AL49" s="6">
        <f>Influent[[#This Row],[COD (mg L-1)]]/MEDIA[[#This Row],[HRT 
(h)]]*24/1000</f>
        <v>1.5891197132553834</v>
      </c>
      <c r="AM49" s="6">
        <f>IF(((MEDIA[[#This Row],[ΔC (mg L-1)]])*24/MEDIA[[#This Row],[HRT 
(h)]]/1000) &lt;0,0, (MEDIA[[#This Row],[ΔC (mg L-1)]])*24/MEDIA[[#This Row],[HRT 
(h)]]/1000)</f>
        <v>0.77544673292874378</v>
      </c>
      <c r="AN49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0.46247206280471453</v>
      </c>
      <c r="AO49" s="6">
        <f>Influent[[#This Row],[TN (mg L-1)]]/MEDIA[[#This Row],[HRT 
(h)]]*24/1000</f>
        <v>0.71444856386667288</v>
      </c>
      <c r="AP49" s="6">
        <f>MEDIA[[#This Row],[NRE 
(%)]]*MEDIA[[#This Row],[NLR 
(kg N m-3 d-1)]]</f>
        <v>0.35598465933914752</v>
      </c>
      <c r="AQ49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0.64761030817465781</v>
      </c>
      <c r="AR49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0.49826492394710692</v>
      </c>
      <c r="AS49" s="48"/>
      <c r="AT49" s="48"/>
      <c r="AU49" s="48"/>
      <c r="AV49" s="6"/>
      <c r="AY49"/>
    </row>
    <row r="50" spans="1:51" x14ac:dyDescent="0.3">
      <c r="A50" s="128">
        <v>43373</v>
      </c>
      <c r="B50" s="29">
        <v>47</v>
      </c>
      <c r="C50" s="42"/>
      <c r="D50" s="28"/>
      <c r="E50" s="42"/>
      <c r="F50" s="42"/>
      <c r="G50" s="42"/>
      <c r="H50" s="41"/>
      <c r="I50" s="130"/>
      <c r="J50" s="130"/>
      <c r="S50" s="4"/>
      <c r="T50" s="6"/>
      <c r="U50" s="6"/>
      <c r="V50" s="6"/>
      <c r="W50" s="6"/>
      <c r="X50" s="4"/>
      <c r="Y50" s="4"/>
      <c r="Z50" s="48"/>
      <c r="AA50" s="48"/>
      <c r="AB50" s="48"/>
      <c r="AC50" s="20"/>
      <c r="AD50" s="6"/>
      <c r="AE50" s="6"/>
      <c r="AF50" s="6"/>
      <c r="AG50" s="6"/>
      <c r="AH50" s="6"/>
      <c r="AI50" s="48"/>
      <c r="AJ50" s="6"/>
      <c r="AK50" s="6"/>
      <c r="AL50" s="6"/>
      <c r="AM50" s="6"/>
      <c r="AN50" s="6"/>
      <c r="AO50" s="6"/>
      <c r="AP50" s="6"/>
      <c r="AQ50" s="26"/>
      <c r="AR50" s="26"/>
      <c r="AS50" s="48"/>
      <c r="AT50" s="48"/>
      <c r="AU50" s="48"/>
      <c r="AV50" s="6"/>
      <c r="AY50"/>
    </row>
    <row r="51" spans="1:51" x14ac:dyDescent="0.3">
      <c r="A51" s="128">
        <v>43374</v>
      </c>
      <c r="B51" s="29">
        <v>48</v>
      </c>
      <c r="C51" s="42">
        <v>6.5846494286890369</v>
      </c>
      <c r="D51" s="28">
        <f>MEDIA[[#This Row],[Flow 
(L h-1)]]/1000*24</f>
        <v>0.15803158628853689</v>
      </c>
      <c r="E51" s="42">
        <f>IF(IFERROR(Information!$R$47/MEDIA[[#This Row],[Flow 
(m3 d-1)]]*24,0)&lt;0,0,IFERROR(Information!$R$47/MEDIA[[#This Row],[Flow 
(m3 d-1)]]*24,0))</f>
        <v>182.24204841819687</v>
      </c>
      <c r="F51" s="42">
        <v>7.4423096273475871</v>
      </c>
      <c r="G51" s="42">
        <v>0.40535057256181223</v>
      </c>
      <c r="H51" s="41">
        <v>30.821603820705448</v>
      </c>
      <c r="I51" s="130"/>
      <c r="J51" s="130"/>
      <c r="K51">
        <v>1510</v>
      </c>
      <c r="L51" s="29">
        <f>MEDIA[[#This Row],[COD 
(mg L-1)]]*Information!$AK$42</f>
        <v>1072.0999999999999</v>
      </c>
      <c r="M51">
        <v>1361</v>
      </c>
      <c r="N51">
        <v>8.1999999999999993</v>
      </c>
      <c r="O51">
        <v>190</v>
      </c>
      <c r="P51">
        <v>63</v>
      </c>
      <c r="Q51">
        <v>5.97</v>
      </c>
      <c r="R51">
        <v>154.69999999999999</v>
      </c>
      <c r="S51" s="4">
        <f>MEDIA[[#This Row],[NH4-N 
(mg L-1)]]*1.288</f>
        <v>602.87415999999996</v>
      </c>
      <c r="T51" s="6">
        <f>MEDIA[[#This Row],[NO2-N 
(mg L-1)]]*3.284</f>
        <v>488.72487999999993</v>
      </c>
      <c r="U51" s="6">
        <f>(MEDIA[[#This Row],[NO3-N 
(mg L-1)]])*4.426</f>
        <v>26.024879999999982</v>
      </c>
      <c r="V51" s="6">
        <v>468.07</v>
      </c>
      <c r="W51" s="6">
        <v>148.82</v>
      </c>
      <c r="X51" s="4">
        <f>IF(MEDIA[[#This Row],[TON 
(mg L-1)]]-MEDIA[[#This Row],[NO2-N 
(mg L-1)]]&lt;0,0.192,MEDIA[[#This Row],[TON 
(mg L-1)]]-MEDIA[[#This Row],[NO2-N 
(mg L-1)]])</f>
        <v>5.8799999999999955</v>
      </c>
      <c r="Y51" s="4">
        <f>SUM(MEDIA[[#This Row],[NH4-N 
(mg L-1)]],MEDIA[[#This Row],[NO3-N 
(mg L-1)]],MEDIA[[#This Row],[NO2-N 
(mg L-1)]])</f>
        <v>622.77</v>
      </c>
      <c r="Z51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6.6566288929392125E-3</v>
      </c>
      <c r="AA51" s="48">
        <f>IF(IFERROR(MEDIA[[#This Row],[NO2-N 
(mg L-1)]]/MEDIA[[#This Row],[NH4-N 
(mg L-1)]],0)&lt;0,0,IFERROR(MEDIA[[#This Row],[NO2-N 
(mg L-1)]]/MEDIA[[#This Row],[NH4-N 
(mg L-1)]],0))</f>
        <v>0.3179438972803213</v>
      </c>
      <c r="AB51" s="48">
        <f>MEDIA[[#This Row],[NO2-N 
(mg L-1)]]/(MEDIA[[#This Row],[NO3-N 
(mg L-1)]]+MEDIA[[#This Row],[NO2-N 
(mg L-1)]])</f>
        <v>0.96199095022624437</v>
      </c>
      <c r="AC51" s="20">
        <f>46/14*MEDIA[[#This Row],[NO2-N 
(mg L-1)]]/(EXP(-2300/(MEDIA[[#This Row],[Temp. 
(°C)]]+273))*10^(MEDIA[[#This Row],[pHreactor]]))</f>
        <v>3.4252432079930999E-2</v>
      </c>
      <c r="AD51" s="6">
        <f>17/14*MEDIA[NH4-N 
(mg L-1)]*10^MEDIA[[#This Row],[pHreactor]]/(EXP((6344/(273+MEDIA[[#This Row],[Temp. 
(°C)]])))+10^MEDIA[pHreactor])</f>
        <v>13.134859715659374</v>
      </c>
      <c r="AE51" s="6">
        <f>Influent[[#This Row],[NH4-N (mg L-1)]]*MEDIA[[#This Row],[Flow 
(m3 d-1)]]/(Information!$R$48*Information!$R$49)</f>
        <v>0.44492476189651831</v>
      </c>
      <c r="AF51" s="6">
        <f>(Influent[[#This Row],[NH4-N (mg L-1)]]-MEDIA[[#This Row],[NH4-N 
(mg L-1)]])*MEDIA[[#This Row],[Flow 
(m3 d-1)]]/(Information!$R$48*Information!$R$49)</f>
        <v>0.29082091899219442</v>
      </c>
      <c r="AG51" s="6">
        <f>Influent[[#This Row],[COD (mg L-1)]]*MEDIA[[#This Row],[Flow 
(m3 d-1)]]/(Information!$R$48*Information!$R$49)</f>
        <v>0.97452811544597751</v>
      </c>
      <c r="AH51" s="6">
        <f>(Influent[[#This Row],[COD (mg L-1)]]-MEDIA[[#This Row],[COD 
(mg L-1)]])*MEDIA[[#This Row],[Flow 
(m3 d-1)]]/(Information!$R$48*Information!$R$49)</f>
        <v>0.47738708357995524</v>
      </c>
      <c r="AI51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728.63000000000011</v>
      </c>
      <c r="AJ51" s="6">
        <f>IFERROR(IF(Influent[[#This Row],[COD (mg L-1)]]-MEDIA[[#This Row],[COD 
(mg L-1)]]&lt;0,0,Influent[[#This Row],[COD (mg L-1)]]-MEDIA[[#This Row],[COD 
(mg L-1)]]),0)</f>
        <v>1450</v>
      </c>
      <c r="AK51" s="6">
        <f>IFERROR(IF(Influent[[#This Row],[Alkalinity (mg CaCO3 L-1) ]]-MEDIA[[#This Row],[Alkalinity 
(mg CaCO3 L-1) ]]&lt;0,0,Influent[[#This Row],[Alkalinity (mg CaCO3 L-1) ]]-MEDIA[[#This Row],[Alkalinity 
(mg CaCO3 L-1) ]]),0)</f>
        <v>3615</v>
      </c>
      <c r="AL51" s="6">
        <f>Influent[[#This Row],[COD (mg L-1)]]/MEDIA[[#This Row],[HRT 
(h)]]*24/1000</f>
        <v>0.38981124617839102</v>
      </c>
      <c r="AM51" s="6">
        <f>IF(((MEDIA[[#This Row],[ΔC (mg L-1)]])*24/MEDIA[[#This Row],[HRT 
(h)]]/1000) &lt;0,0, (MEDIA[[#This Row],[ΔC (mg L-1)]])*24/MEDIA[[#This Row],[HRT 
(h)]]/1000)</f>
        <v>0.19095483343198211</v>
      </c>
      <c r="AN51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0.11632836759687777</v>
      </c>
      <c r="AO51" s="6">
        <f>Influent[[#This Row],[TN (mg L-1)]]/MEDIA[[#This Row],[HRT 
(h)]]*24/1000</f>
        <v>0.17877678769959887</v>
      </c>
      <c r="AP51" s="6">
        <f>MEDIA[[#This Row],[NRE 
(%)]]*MEDIA[[#This Row],[NLR 
(kg N m-3 d-1)]]</f>
        <v>9.6762345205505432E-2</v>
      </c>
      <c r="AQ51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0.65364066893591832</v>
      </c>
      <c r="AR51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0.54124669343593168</v>
      </c>
      <c r="AS51" s="48"/>
      <c r="AT51" s="48"/>
      <c r="AU51" s="48"/>
      <c r="AV51" s="6"/>
      <c r="AY51"/>
    </row>
    <row r="52" spans="1:51" x14ac:dyDescent="0.3">
      <c r="A52" s="128">
        <v>43375</v>
      </c>
      <c r="B52" s="29">
        <v>49</v>
      </c>
      <c r="C52" s="42">
        <v>3.2879642486903289</v>
      </c>
      <c r="D52" s="28">
        <f>MEDIA[[#This Row],[Flow 
(L h-1)]]/1000*24</f>
        <v>7.8911141968567883E-2</v>
      </c>
      <c r="E52" s="42">
        <f>IF(IFERROR(Information!$R$47/MEDIA[[#This Row],[Flow 
(m3 d-1)]]*24,0)&lt;0,0,IFERROR(Information!$R$47/MEDIA[[#This Row],[Flow 
(m3 d-1)]]*24,0))</f>
        <v>364.96747203926793</v>
      </c>
      <c r="F52" s="42">
        <v>7.3725459018708603</v>
      </c>
      <c r="G52" s="42">
        <v>1.1796342397379569</v>
      </c>
      <c r="H52" s="41">
        <v>29.957416071655103</v>
      </c>
      <c r="I52" s="130">
        <v>1515</v>
      </c>
      <c r="J52" s="130">
        <v>473</v>
      </c>
      <c r="K52">
        <v>1450</v>
      </c>
      <c r="L52" s="29">
        <f>MEDIA[[#This Row],[COD 
(mg L-1)]]*Information!$AK$42</f>
        <v>1029.5</v>
      </c>
      <c r="M52">
        <v>1427</v>
      </c>
      <c r="N52">
        <v>8.1999999999999993</v>
      </c>
      <c r="O52">
        <v>138</v>
      </c>
      <c r="P52">
        <v>49</v>
      </c>
      <c r="Q52">
        <v>5.03</v>
      </c>
      <c r="R52">
        <v>134.19999999999999</v>
      </c>
      <c r="S52" s="4">
        <f>MEDIA[[#This Row],[NH4-N 
(mg L-1)]]*1.288</f>
        <v>605.01224000000002</v>
      </c>
      <c r="T52" s="6">
        <f>MEDIA[[#This Row],[NO2-N 
(mg L-1)]]*3.284</f>
        <v>431.68179999999995</v>
      </c>
      <c r="U52" s="6">
        <f>(MEDIA[[#This Row],[NO3-N 
(mg L-1)]])*4.426</f>
        <v>12.1715</v>
      </c>
      <c r="V52" s="6">
        <v>469.73</v>
      </c>
      <c r="W52" s="6">
        <v>131.44999999999999</v>
      </c>
      <c r="X52" s="4">
        <f>IF(MEDIA[[#This Row],[TON 
(mg L-1)]]-MEDIA[[#This Row],[NO2-N 
(mg L-1)]]&lt;0,0.192,MEDIA[[#This Row],[TON 
(mg L-1)]]-MEDIA[[#This Row],[NO2-N 
(mg L-1)]])</f>
        <v>2.75</v>
      </c>
      <c r="Y52" s="4">
        <f>SUM(MEDIA[[#This Row],[NH4-N 
(mg L-1)]],MEDIA[[#This Row],[NO3-N 
(mg L-1)]],MEDIA[[#This Row],[NO2-N 
(mg L-1)]])</f>
        <v>603.93000000000006</v>
      </c>
      <c r="Z52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3.1000935664603699E-3</v>
      </c>
      <c r="AA52" s="48">
        <f>IF(IFERROR(MEDIA[[#This Row],[NO2-N 
(mg L-1)]]/MEDIA[[#This Row],[NH4-N 
(mg L-1)]],0)&lt;0,0,IFERROR(MEDIA[[#This Row],[NO2-N 
(mg L-1)]]/MEDIA[[#This Row],[NH4-N 
(mg L-1)]],0))</f>
        <v>0.27984161113831346</v>
      </c>
      <c r="AB52" s="48">
        <f>MEDIA[[#This Row],[NO2-N 
(mg L-1)]]/(MEDIA[[#This Row],[NO3-N 
(mg L-1)]]+MEDIA[[#This Row],[NO2-N 
(mg L-1)]])</f>
        <v>0.97950819672131151</v>
      </c>
      <c r="AC52" s="20">
        <f>46/14*MEDIA[[#This Row],[NO2-N 
(mg L-1)]]/(EXP(-2300/(MEDIA[[#This Row],[Temp. 
(°C)]]+273))*10^(MEDIA[[#This Row],[pHreactor]]))</f>
        <v>3.6302174564494159E-2</v>
      </c>
      <c r="AD52" s="6">
        <f>17/14*MEDIA[NH4-N 
(mg L-1)]*10^MEDIA[[#This Row],[pHreactor]]/(EXP((6344/(273+MEDIA[[#This Row],[Temp. 
(°C)]])))+10^MEDIA[pHreactor])</f>
        <v>10.624776417060492</v>
      </c>
      <c r="AE52" s="6">
        <f>Influent[[#This Row],[NH4-N (mg L-1)]]*MEDIA[[#This Row],[Flow 
(m3 d-1)]]/(Information!$R$48*Information!$R$49)</f>
        <v>0.22305549463115187</v>
      </c>
      <c r="AF52" s="6">
        <f>(Influent[[#This Row],[NH4-N (mg L-1)]]-MEDIA[[#This Row],[NH4-N 
(mg L-1)]])*MEDIA[[#This Row],[Flow 
(m3 d-1)]]/(Information!$R$48*Information!$R$49)</f>
        <v>0.14583272230428648</v>
      </c>
      <c r="AG52" s="6">
        <f>Influent[[#This Row],[COD (mg L-1)]]*MEDIA[[#This Row],[Flow 
(m3 d-1)]]/(Information!$R$48*Information!$R$49)</f>
        <v>0.48168676243313313</v>
      </c>
      <c r="AH52" s="6">
        <f>(Influent[[#This Row],[COD (mg L-1)]]-MEDIA[[#This Row],[COD 
(mg L-1)]])*MEDIA[[#This Row],[Flow 
(m3 d-1)]]/(Information!$R$48*Information!$R$49)</f>
        <v>0.24330935440308429</v>
      </c>
      <c r="AI52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752.86999999999989</v>
      </c>
      <c r="AJ52" s="6">
        <f>IFERROR(IF(Influent[[#This Row],[COD (mg L-1)]]-MEDIA[[#This Row],[COD 
(mg L-1)]]&lt;0,0,Influent[[#This Row],[COD (mg L-1)]]-MEDIA[[#This Row],[COD 
(mg L-1)]]),0)</f>
        <v>1480</v>
      </c>
      <c r="AK52" s="6">
        <f>IFERROR(IF(Influent[[#This Row],[Alkalinity (mg CaCO3 L-1) ]]-MEDIA[[#This Row],[Alkalinity 
(mg CaCO3 L-1) ]]&lt;0,0,Influent[[#This Row],[Alkalinity (mg CaCO3 L-1) ]]-MEDIA[[#This Row],[Alkalinity 
(mg CaCO3 L-1) ]]),0)</f>
        <v>3646</v>
      </c>
      <c r="AL52" s="6">
        <f>Influent[[#This Row],[COD (mg L-1)]]/MEDIA[[#This Row],[HRT 
(h)]]*24/1000</f>
        <v>0.19267470497325323</v>
      </c>
      <c r="AM52" s="6">
        <f>IF(((MEDIA[[#This Row],[ΔC (mg L-1)]])*24/MEDIA[[#This Row],[HRT 
(h)]]/1000) &lt;0,0, (MEDIA[[#This Row],[ΔC (mg L-1)]])*24/MEDIA[[#This Row],[HRT 
(h)]]/1000)</f>
        <v>9.732374176123372E-2</v>
      </c>
      <c r="AN52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5.8333088921714592E-2</v>
      </c>
      <c r="AO52" s="6">
        <f>Influent[[#This Row],[TN (mg L-1)]]/MEDIA[[#This Row],[HRT 
(h)]]*24/1000</f>
        <v>8.92353497094555E-2</v>
      </c>
      <c r="AP52" s="6">
        <f>MEDIA[[#This Row],[NRE 
(%)]]*MEDIA[[#This Row],[NLR 
(kg N m-3 d-1)]]</f>
        <v>4.9521344735224501E-2</v>
      </c>
      <c r="AQ52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0.65379569575471697</v>
      </c>
      <c r="AR52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0.55495210022107588</v>
      </c>
      <c r="AS52" s="48"/>
      <c r="AT52" s="48"/>
      <c r="AU52" s="48"/>
      <c r="AV52" s="6"/>
      <c r="AW52" t="s">
        <v>551</v>
      </c>
      <c r="AY52"/>
    </row>
    <row r="53" spans="1:51" x14ac:dyDescent="0.3">
      <c r="A53" s="128">
        <v>43376</v>
      </c>
      <c r="B53" s="29">
        <v>50</v>
      </c>
      <c r="C53" s="42"/>
      <c r="D53" s="28"/>
      <c r="E53" s="42"/>
      <c r="F53" s="42"/>
      <c r="G53" s="42"/>
      <c r="H53" s="41"/>
      <c r="I53" s="130">
        <v>1085</v>
      </c>
      <c r="J53" s="41">
        <f>stableMED[[#This Row],[MLSS 
(mg L-1)]]*0.46</f>
        <v>499.1</v>
      </c>
      <c r="S53" s="4"/>
      <c r="T53" s="6"/>
      <c r="U53" s="6"/>
      <c r="V53" s="6"/>
      <c r="W53" s="6"/>
      <c r="X53" s="4"/>
      <c r="Y53" s="4"/>
      <c r="Z53" s="48"/>
      <c r="AA53" s="48"/>
      <c r="AB53" s="48"/>
      <c r="AC53" s="20"/>
      <c r="AD53" s="6"/>
      <c r="AE53" s="6"/>
      <c r="AF53" s="6"/>
      <c r="AG53" s="6"/>
      <c r="AH53" s="6"/>
      <c r="AI53" s="48"/>
      <c r="AJ53" s="6"/>
      <c r="AK53" s="6"/>
      <c r="AL53" s="6"/>
      <c r="AM53" s="6"/>
      <c r="AN53" s="6"/>
      <c r="AO53" s="6"/>
      <c r="AP53" s="6"/>
      <c r="AQ53" s="26"/>
      <c r="AR53" s="26"/>
      <c r="AS53" s="48"/>
      <c r="AT53" s="48"/>
      <c r="AU53" s="48"/>
      <c r="AV53" s="6"/>
      <c r="AY53"/>
    </row>
    <row r="54" spans="1:51" x14ac:dyDescent="0.3">
      <c r="A54" s="128">
        <v>43377</v>
      </c>
      <c r="B54" s="29">
        <v>51</v>
      </c>
      <c r="C54" s="42"/>
      <c r="D54" s="28"/>
      <c r="E54" s="42"/>
      <c r="F54" s="42"/>
      <c r="G54" s="42"/>
      <c r="H54" s="41"/>
      <c r="I54" s="41">
        <f>stableMED[[#This Row],[MLVSS 
(mg L-1)]]/0.29</f>
        <v>841.37931034482767</v>
      </c>
      <c r="J54" s="130">
        <f>122*2</f>
        <v>244</v>
      </c>
      <c r="S54" s="4"/>
      <c r="T54" s="6"/>
      <c r="U54" s="6"/>
      <c r="V54" s="6"/>
      <c r="W54" s="6"/>
      <c r="X54" s="4"/>
      <c r="Y54" s="4"/>
      <c r="Z54" s="48"/>
      <c r="AA54" s="48"/>
      <c r="AB54" s="48"/>
      <c r="AC54" s="20"/>
      <c r="AD54" s="6"/>
      <c r="AE54" s="6"/>
      <c r="AF54" s="6"/>
      <c r="AG54" s="6"/>
      <c r="AH54" s="6"/>
      <c r="AI54" s="48"/>
      <c r="AJ54" s="6"/>
      <c r="AK54" s="6"/>
      <c r="AL54" s="6"/>
      <c r="AM54" s="6"/>
      <c r="AN54" s="6"/>
      <c r="AO54" s="6"/>
      <c r="AP54" s="6"/>
      <c r="AQ54" s="26"/>
      <c r="AR54" s="26"/>
      <c r="AS54" s="48">
        <f>77/30</f>
        <v>2.5666666666666669</v>
      </c>
      <c r="AT54" s="48">
        <v>0.93899999999999995</v>
      </c>
      <c r="AU54" s="48">
        <v>0.27500000000000002</v>
      </c>
      <c r="AV54" s="6">
        <f>stableMED[[#This Row],[SAAcarrier
(g N g VSS-1d-1)]]+stableMED[[#This Row],[SAAsuspension
(g N g VSS-1d-1)]]</f>
        <v>1.214</v>
      </c>
      <c r="AW54" t="s">
        <v>552</v>
      </c>
      <c r="AY54"/>
    </row>
    <row r="55" spans="1:51" x14ac:dyDescent="0.3">
      <c r="A55" s="128">
        <v>43378</v>
      </c>
      <c r="B55" s="29">
        <v>52</v>
      </c>
      <c r="C55" s="42">
        <v>10.94869402976799</v>
      </c>
      <c r="D55" s="28">
        <f>MEDIA[[#This Row],[Flow 
(L h-1)]]/1000*24</f>
        <v>0.26276865671443178</v>
      </c>
      <c r="E55" s="42">
        <f>IF(IFERROR(Information!$R$47/MEDIA[[#This Row],[Flow 
(m3 d-1)]]*24,0)&lt;0,0,IFERROR(Information!$R$47/MEDIA[[#This Row],[Flow 
(m3 d-1)]]*24,0))</f>
        <v>109.60211297688704</v>
      </c>
      <c r="F55" s="42">
        <v>6.7863970494692376</v>
      </c>
      <c r="G55" s="42">
        <v>0.54771607038679737</v>
      </c>
      <c r="H55" s="41">
        <v>30.842287856065248</v>
      </c>
      <c r="I55" s="130"/>
      <c r="J55" s="130"/>
      <c r="K55">
        <v>820</v>
      </c>
      <c r="L55" s="29">
        <f>MEDIA[[#This Row],[COD 
(mg L-1)]]*Information!$AK$42</f>
        <v>582.19999999999993</v>
      </c>
      <c r="M55">
        <v>556</v>
      </c>
      <c r="N55">
        <v>7.9</v>
      </c>
      <c r="O55">
        <v>160</v>
      </c>
      <c r="Q55">
        <v>2.0099999999999998</v>
      </c>
      <c r="R55">
        <v>64</v>
      </c>
      <c r="S55" s="4">
        <f>MEDIA[[#This Row],[NH4-N 
(mg L-1)]]*1.288</f>
        <v>189.31023999999999</v>
      </c>
      <c r="T55" s="6">
        <f>MEDIA[[#This Row],[NO2-N 
(mg L-1)]]*3.284</f>
        <v>159.90781199999998</v>
      </c>
      <c r="U55" s="6">
        <f>(MEDIA[[#This Row],[NO3-N 
(mg L-1)]])*4.426</f>
        <v>67.748782000000006</v>
      </c>
      <c r="V55" s="6">
        <v>146.97999999999999</v>
      </c>
      <c r="W55" s="6">
        <v>48.692999999999998</v>
      </c>
      <c r="X55" s="4">
        <f>IF(MEDIA[[#This Row],[TON 
(mg L-1)]]-MEDIA[[#This Row],[NO2-N 
(mg L-1)]]&lt;0,0.192,MEDIA[[#This Row],[TON 
(mg L-1)]]-MEDIA[[#This Row],[NO2-N 
(mg L-1)]])</f>
        <v>15.307000000000002</v>
      </c>
      <c r="Y55" s="4">
        <f>SUM(MEDIA[[#This Row],[NH4-N 
(mg L-1)]],MEDIA[[#This Row],[NO3-N 
(mg L-1)]],MEDIA[[#This Row],[NO2-N 
(mg L-1)]])</f>
        <v>210.97999999999996</v>
      </c>
      <c r="Z55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1.7567598586053348E-2</v>
      </c>
      <c r="AA55" s="48">
        <f>IF(IFERROR(MEDIA[[#This Row],[NO2-N 
(mg L-1)]]/MEDIA[[#This Row],[NH4-N 
(mg L-1)]],0)&lt;0,0,IFERROR(MEDIA[[#This Row],[NO2-N 
(mg L-1)]]/MEDIA[[#This Row],[NH4-N 
(mg L-1)]],0))</f>
        <v>0.33128997142468364</v>
      </c>
      <c r="AB55" s="48">
        <f>MEDIA[[#This Row],[NO2-N 
(mg L-1)]]/(MEDIA[[#This Row],[NO3-N 
(mg L-1)]]+MEDIA[[#This Row],[NO2-N 
(mg L-1)]])</f>
        <v>0.76082812499999997</v>
      </c>
      <c r="AC55" s="20">
        <f>46/14*MEDIA[[#This Row],[NO2-N 
(mg L-1)]]/(EXP(-2300/(MEDIA[[#This Row],[Temp. 
(°C)]]+273))*10^(MEDIA[[#This Row],[pHreactor]]))</f>
        <v>5.0720720412374631E-2</v>
      </c>
      <c r="AD55" s="6">
        <f>17/14*MEDIA[NH4-N 
(mg L-1)]*10^MEDIA[[#This Row],[pHreactor]]/(EXP((6344/(273+MEDIA[[#This Row],[Temp. 
(°C)]])))+10^MEDIA[pHreactor])</f>
        <v>0.92889278052650381</v>
      </c>
      <c r="AE55" s="6">
        <f>Influent[[#This Row],[NH4-N (mg L-1)]]*MEDIA[[#This Row],[Flow 
(m3 d-1)]]/(Information!$R$48*Information!$R$49)</f>
        <v>0.55745275652563719</v>
      </c>
      <c r="AF55" s="6">
        <f>(Influent[[#This Row],[NH4-N (mg L-1)]]-MEDIA[[#This Row],[NH4-N 
(mg L-1)]])*MEDIA[[#This Row],[Flow 
(m3 d-1)]]/(Information!$R$48*Information!$R$49)</f>
        <v>0.47699080410087225</v>
      </c>
      <c r="AG55" s="6">
        <f>Influent[[#This Row],[COD (mg L-1)]]*MEDIA[[#This Row],[Flow 
(m3 d-1)]]/(Information!$R$48*Information!$R$49)</f>
        <v>0.9935939832014451</v>
      </c>
      <c r="AH55" s="6">
        <f>(Influent[[#This Row],[COD (mg L-1)]]-MEDIA[[#This Row],[COD 
(mg L-1)]])*MEDIA[[#This Row],[Flow 
(m3 d-1)]]/(Information!$R$48*Information!$R$49)</f>
        <v>0.54469752798095761</v>
      </c>
      <c r="AI55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807.31999999999994</v>
      </c>
      <c r="AJ55" s="6">
        <f>IFERROR(IF(Influent[[#This Row],[COD (mg L-1)]]-MEDIA[[#This Row],[COD 
(mg L-1)]]&lt;0,0,Influent[[#This Row],[COD (mg L-1)]]-MEDIA[[#This Row],[COD 
(mg L-1)]]),0)</f>
        <v>995</v>
      </c>
      <c r="AK55" s="6">
        <f>IFERROR(IF(Influent[[#This Row],[Alkalinity (mg CaCO3 L-1) ]]-MEDIA[[#This Row],[Alkalinity 
(mg CaCO3 L-1) ]]&lt;0,0,Influent[[#This Row],[Alkalinity (mg CaCO3 L-1) ]]-MEDIA[[#This Row],[Alkalinity 
(mg CaCO3 L-1) ]]),0)</f>
        <v>3351</v>
      </c>
      <c r="AL55" s="6">
        <f>Influent[[#This Row],[COD (mg L-1)]]/MEDIA[[#This Row],[HRT 
(h)]]*24/1000</f>
        <v>0.39743759328057804</v>
      </c>
      <c r="AM55" s="6">
        <f>IF(((MEDIA[[#This Row],[ΔC (mg L-1)]])*24/MEDIA[[#This Row],[HRT 
(h)]]/1000) &lt;0,0, (MEDIA[[#This Row],[ΔC (mg L-1)]])*24/MEDIA[[#This Row],[HRT 
(h)]]/1000)</f>
        <v>0.21787901119238301</v>
      </c>
      <c r="AN55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0.19079632164034888</v>
      </c>
      <c r="AO55" s="6">
        <f>Influent[[#This Row],[TN (mg L-1)]]/MEDIA[[#This Row],[HRT 
(h)]]*24/1000</f>
        <v>0.22498471361770248</v>
      </c>
      <c r="AP55" s="6">
        <f>MEDIA[[#This Row],[NRE 
(%)]]*MEDIA[[#This Row],[NLR 
(kg N m-3 d-1)]]</f>
        <v>0.17878560428969345</v>
      </c>
      <c r="AQ55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0.85566139644505546</v>
      </c>
      <c r="AR55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0.79465667429071973</v>
      </c>
      <c r="AS55" s="48"/>
      <c r="AT55" s="48"/>
      <c r="AU55" s="48"/>
      <c r="AV55" s="6"/>
      <c r="AY55"/>
    </row>
    <row r="56" spans="1:51" x14ac:dyDescent="0.3">
      <c r="A56" s="128">
        <v>43379</v>
      </c>
      <c r="B56" s="29">
        <v>53</v>
      </c>
      <c r="C56" s="42">
        <v>12.712393700600664</v>
      </c>
      <c r="D56" s="28">
        <f>MEDIA[[#This Row],[Flow 
(L h-1)]]/1000*24</f>
        <v>0.30509744881441597</v>
      </c>
      <c r="E56" s="42">
        <f>IF(IFERROR(Information!$R$47/MEDIA[[#This Row],[Flow 
(m3 d-1)]]*24,0)&lt;0,0,IFERROR(Information!$R$47/MEDIA[[#This Row],[Flow 
(m3 d-1)]]*24,0))</f>
        <v>94.396069557167621</v>
      </c>
      <c r="F56" s="42">
        <v>6.8037625062552562</v>
      </c>
      <c r="G56" s="42">
        <v>0.62387669181107896</v>
      </c>
      <c r="H56" s="41">
        <v>30.837813503499746</v>
      </c>
      <c r="I56" s="130"/>
      <c r="J56" s="130"/>
      <c r="K56">
        <v>900</v>
      </c>
      <c r="L56" s="29">
        <f>MEDIA[[#This Row],[COD 
(mg L-1)]]*Information!$AK$42</f>
        <v>639</v>
      </c>
      <c r="M56">
        <v>686</v>
      </c>
      <c r="N56">
        <v>8.1</v>
      </c>
      <c r="O56">
        <v>120</v>
      </c>
      <c r="Q56">
        <v>2.87</v>
      </c>
      <c r="R56">
        <v>63.4</v>
      </c>
      <c r="S56" s="4">
        <f>MEDIA[[#This Row],[NH4-N 
(mg L-1)]]*1.288</f>
        <v>236.63136</v>
      </c>
      <c r="T56" s="6">
        <f>MEDIA[[#This Row],[NO2-N 
(mg L-1)]]*3.284</f>
        <v>149.91788400000002</v>
      </c>
      <c r="U56" s="6">
        <f>(MEDIA[[#This Row],[NO3-N 
(mg L-1)]])*4.426</f>
        <v>78.557073999999986</v>
      </c>
      <c r="V56" s="6">
        <v>183.72</v>
      </c>
      <c r="W56" s="6">
        <v>45.651000000000003</v>
      </c>
      <c r="X56" s="4">
        <f>IF(MEDIA[[#This Row],[TON 
(mg L-1)]]-MEDIA[[#This Row],[NO2-N 
(mg L-1)]]&lt;0,0.192,MEDIA[[#This Row],[TON 
(mg L-1)]]-MEDIA[[#This Row],[NO2-N 
(mg L-1)]])</f>
        <v>17.748999999999995</v>
      </c>
      <c r="Y56" s="4">
        <f>SUM(MEDIA[[#This Row],[NH4-N 
(mg L-1)]],MEDIA[[#This Row],[NO3-N 
(mg L-1)]],MEDIA[[#This Row],[NO2-N 
(mg L-1)]])</f>
        <v>247.12</v>
      </c>
      <c r="Z56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1.7438935722847763E-2</v>
      </c>
      <c r="AA56" s="48">
        <f>IF(IFERROR(MEDIA[[#This Row],[NO2-N 
(mg L-1)]]/MEDIA[[#This Row],[NH4-N 
(mg L-1)]],0)&lt;0,0,IFERROR(MEDIA[[#This Row],[NO2-N 
(mg L-1)]]/MEDIA[[#This Row],[NH4-N 
(mg L-1)]],0))</f>
        <v>0.248481384715872</v>
      </c>
      <c r="AB56" s="48">
        <f>MEDIA[[#This Row],[NO2-N 
(mg L-1)]]/(MEDIA[[#This Row],[NO3-N 
(mg L-1)]]+MEDIA[[#This Row],[NO2-N 
(mg L-1)]])</f>
        <v>0.72004731861198745</v>
      </c>
      <c r="AC56" s="20">
        <f>46/14*MEDIA[[#This Row],[NO2-N 
(mg L-1)]]/(EXP(-2300/(MEDIA[[#This Row],[Temp. 
(°C)]]+273))*10^(MEDIA[[#This Row],[pHreactor]]))</f>
        <v>4.5693258673064931E-2</v>
      </c>
      <c r="AD56" s="6">
        <f>17/14*MEDIA[NH4-N 
(mg L-1)]*10^MEDIA[[#This Row],[pHreactor]]/(EXP((6344/(273+MEDIA[[#This Row],[Temp. 
(°C)]])))+10^MEDIA[pHreactor])</f>
        <v>1.207825590298182</v>
      </c>
      <c r="AE56" s="6">
        <f>Influent[[#This Row],[NH4-N (mg L-1)]]*MEDIA[[#This Row],[Flow 
(m3 d-1)]]/(Information!$R$48*Information!$R$49)</f>
        <v>0.76369705156358492</v>
      </c>
      <c r="AF56" s="6">
        <f>(Influent[[#This Row],[NH4-N (mg L-1)]]-MEDIA[[#This Row],[NH4-N 
(mg L-1)]])*MEDIA[[#This Row],[Flow 
(m3 d-1)]]/(Information!$R$48*Information!$R$49)</f>
        <v>0.64692100302986721</v>
      </c>
      <c r="AG56" s="6">
        <f>Influent[[#This Row],[COD (mg L-1)]]*MEDIA[[#This Row],[Flow 
(m3 d-1)]]/(Information!$R$48*Information!$R$49)</f>
        <v>1.414253799191824</v>
      </c>
      <c r="AH56" s="6">
        <f>(Influent[[#This Row],[COD (mg L-1)]]-MEDIA[[#This Row],[COD 
(mg L-1)]])*MEDIA[[#This Row],[Flow 
(m3 d-1)]]/(Information!$R$48*Information!$R$49)</f>
        <v>0.84219608266479407</v>
      </c>
      <c r="AI56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954.38</v>
      </c>
      <c r="AJ56" s="6">
        <f>IFERROR(IF(Influent[[#This Row],[COD (mg L-1)]]-MEDIA[[#This Row],[COD 
(mg L-1)]]&lt;0,0,Influent[[#This Row],[COD (mg L-1)]]-MEDIA[[#This Row],[COD 
(mg L-1)]]),0)</f>
        <v>1325</v>
      </c>
      <c r="AK56" s="6">
        <f>IFERROR(IF(Influent[[#This Row],[Alkalinity (mg CaCO3 L-1) ]]-MEDIA[[#This Row],[Alkalinity 
(mg CaCO3 L-1) ]]&lt;0,0,Influent[[#This Row],[Alkalinity (mg CaCO3 L-1) ]]-MEDIA[[#This Row],[Alkalinity 
(mg CaCO3 L-1) ]]),0)</f>
        <v>3870</v>
      </c>
      <c r="AL56" s="6">
        <f>Influent[[#This Row],[COD (mg L-1)]]/MEDIA[[#This Row],[HRT 
(h)]]*24/1000</f>
        <v>0.56570151967672966</v>
      </c>
      <c r="AM56" s="6">
        <f>IF(((MEDIA[[#This Row],[ΔC (mg L-1)]])*24/MEDIA[[#This Row],[HRT 
(h)]]/1000) &lt;0,0, (MEDIA[[#This Row],[ΔC (mg L-1)]])*24/MEDIA[[#This Row],[HRT 
(h)]]/1000)</f>
        <v>0.33687843306591764</v>
      </c>
      <c r="AN56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0.25876840121194694</v>
      </c>
      <c r="AO56" s="6">
        <f>Influent[[#This Row],[TN (mg L-1)]]/MEDIA[[#This Row],[HRT 
(h)]]*24/1000</f>
        <v>0.30552967020023641</v>
      </c>
      <c r="AP56" s="6">
        <f>MEDIA[[#This Row],[NRE 
(%)]]*MEDIA[[#This Row],[NLR 
(kg N m-3 d-1)]]</f>
        <v>0.24269993557438768</v>
      </c>
      <c r="AQ56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0.84709113607990005</v>
      </c>
      <c r="AR56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0.79435799284347175</v>
      </c>
      <c r="AS56" s="48"/>
      <c r="AT56" s="48"/>
      <c r="AU56" s="48"/>
      <c r="AV56" s="6"/>
      <c r="AY56"/>
    </row>
    <row r="57" spans="1:51" x14ac:dyDescent="0.3">
      <c r="A57" s="128">
        <v>43380</v>
      </c>
      <c r="B57" s="29">
        <v>54</v>
      </c>
      <c r="C57" s="42">
        <v>12.682185004958258</v>
      </c>
      <c r="D57" s="28">
        <f>MEDIA[[#This Row],[Flow 
(L h-1)]]/1000*24</f>
        <v>0.30437244011899822</v>
      </c>
      <c r="E57" s="42">
        <f>IF(IFERROR(Information!$R$47/MEDIA[[#This Row],[Flow 
(m3 d-1)]]*24,0)&lt;0,0,IFERROR(Information!$R$47/MEDIA[[#This Row],[Flow 
(m3 d-1)]]*24,0))</f>
        <v>94.620918992338062</v>
      </c>
      <c r="F57" s="42">
        <v>6.8947369781727179</v>
      </c>
      <c r="G57" s="42">
        <v>0.73639751744742032</v>
      </c>
      <c r="H57" s="41">
        <v>30.813896008391879</v>
      </c>
      <c r="I57" s="130"/>
      <c r="J57" s="130"/>
      <c r="K57">
        <v>872</v>
      </c>
      <c r="L57" s="29">
        <f>MEDIA[[#This Row],[COD 
(mg L-1)]]*Information!$AK$42</f>
        <v>619.12</v>
      </c>
      <c r="M57">
        <v>732</v>
      </c>
      <c r="N57">
        <v>8.1</v>
      </c>
      <c r="O57">
        <v>120</v>
      </c>
      <c r="Q57">
        <v>3.68</v>
      </c>
      <c r="R57">
        <v>77.8</v>
      </c>
      <c r="S57" s="4">
        <f>MEDIA[[#This Row],[NH4-N 
(mg L-1)]]*1.288</f>
        <v>286.12920000000003</v>
      </c>
      <c r="T57" s="6">
        <f>MEDIA[[#This Row],[NO2-N 
(mg L-1)]]*3.284</f>
        <v>238.26405199999996</v>
      </c>
      <c r="U57" s="6">
        <f>(MEDIA[[#This Row],[NO3-N 
(mg L-1)]])*4.426</f>
        <v>23.223222</v>
      </c>
      <c r="V57" s="6">
        <v>222.15</v>
      </c>
      <c r="W57" s="6">
        <v>72.552999999999997</v>
      </c>
      <c r="X57" s="4">
        <f>IF(MEDIA[[#This Row],[TON 
(mg L-1)]]-MEDIA[[#This Row],[NO2-N 
(mg L-1)]]&lt;0,0.192,MEDIA[[#This Row],[TON 
(mg L-1)]]-MEDIA[[#This Row],[NO2-N 
(mg L-1)]])</f>
        <v>5.2469999999999999</v>
      </c>
      <c r="Y57" s="4">
        <f>SUM(MEDIA[[#This Row],[NH4-N 
(mg L-1)]],MEDIA[[#This Row],[NO3-N 
(mg L-1)]],MEDIA[[#This Row],[NO2-N 
(mg L-1)]])</f>
        <v>299.95</v>
      </c>
      <c r="Z57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4.9732240178190605E-3</v>
      </c>
      <c r="AA57" s="48">
        <f>IF(IFERROR(MEDIA[[#This Row],[NO2-N 
(mg L-1)]]/MEDIA[[#This Row],[NH4-N 
(mg L-1)]],0)&lt;0,0,IFERROR(MEDIA[[#This Row],[NO2-N 
(mg L-1)]]/MEDIA[[#This Row],[NH4-N 
(mg L-1)]],0))</f>
        <v>0.32659464325905918</v>
      </c>
      <c r="AB57" s="48">
        <f>MEDIA[[#This Row],[NO2-N 
(mg L-1)]]/(MEDIA[[#This Row],[NO3-N 
(mg L-1)]]+MEDIA[[#This Row],[NO2-N 
(mg L-1)]])</f>
        <v>0.93255784061696656</v>
      </c>
      <c r="AC57" s="20">
        <f>46/14*MEDIA[[#This Row],[NO2-N 
(mg L-1)]]/(EXP(-2300/(MEDIA[[#This Row],[Temp. 
(°C)]]+273))*10^(MEDIA[[#This Row],[pHreactor]]))</f>
        <v>5.8930692886146947E-2</v>
      </c>
      <c r="AD57" s="6">
        <f>17/14*MEDIA[NH4-N 
(mg L-1)]*10^MEDIA[[#This Row],[pHreactor]]/(EXP((6344/(273+MEDIA[[#This Row],[Temp. 
(°C)]])))+10^MEDIA[pHreactor])</f>
        <v>1.795609467188543</v>
      </c>
      <c r="AE57" s="6">
        <f>Influent[[#This Row],[NH4-N (mg L-1)]]*MEDIA[[#This Row],[Flow 
(m3 d-1)]]/(Information!$R$48*Information!$R$49)</f>
        <v>0.80988433441663454</v>
      </c>
      <c r="AF57" s="6">
        <f>(Influent[[#This Row],[NH4-N (mg L-1)]]-MEDIA[[#This Row],[NH4-N 
(mg L-1)]])*MEDIA[[#This Row],[Flow 
(m3 d-1)]]/(Information!$R$48*Information!$R$49)</f>
        <v>0.66901696447406056</v>
      </c>
      <c r="AG57" s="6">
        <f>Influent[[#This Row],[COD (mg L-1)]]*MEDIA[[#This Row],[Flow 
(m3 d-1)]]/(Information!$R$48*Information!$R$49)</f>
        <v>1.4172341743040855</v>
      </c>
      <c r="AH57" s="6">
        <f>(Influent[[#This Row],[COD (mg L-1)]]-MEDIA[[#This Row],[COD 
(mg L-1)]])*MEDIA[[#This Row],[Flow 
(m3 d-1)]]/(Information!$R$48*Information!$R$49)</f>
        <v>0.86429090808790543</v>
      </c>
      <c r="AI57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977.25</v>
      </c>
      <c r="AJ57" s="6">
        <f>IFERROR(IF(Influent[[#This Row],[COD (mg L-1)]]-MEDIA[[#This Row],[COD 
(mg L-1)]]&lt;0,0,Influent[[#This Row],[COD (mg L-1)]]-MEDIA[[#This Row],[COD 
(mg L-1)]]),0)</f>
        <v>1363</v>
      </c>
      <c r="AK57" s="6">
        <f>IFERROR(IF(Influent[[#This Row],[Alkalinity (mg CaCO3 L-1) ]]-MEDIA[[#This Row],[Alkalinity 
(mg CaCO3 L-1) ]]&lt;0,0,Influent[[#This Row],[Alkalinity (mg CaCO3 L-1) ]]-MEDIA[[#This Row],[Alkalinity 
(mg CaCO3 L-1) ]]),0)</f>
        <v>3898</v>
      </c>
      <c r="AL57" s="6">
        <f>Influent[[#This Row],[COD (mg L-1)]]/MEDIA[[#This Row],[HRT 
(h)]]*24/1000</f>
        <v>0.56689366972163413</v>
      </c>
      <c r="AM57" s="6">
        <f>IF(((MEDIA[[#This Row],[ΔC (mg L-1)]])*24/MEDIA[[#This Row],[HRT 
(h)]]/1000) &lt;0,0, (MEDIA[[#This Row],[ΔC (mg L-1)]])*24/MEDIA[[#This Row],[HRT 
(h)]]/1000)</f>
        <v>0.34571636323516219</v>
      </c>
      <c r="AN57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0.26760678578962421</v>
      </c>
      <c r="AO57" s="6">
        <f>Influent[[#This Row],[TN (mg L-1)]]/MEDIA[[#This Row],[HRT 
(h)]]*24/1000</f>
        <v>0.32433419931680252</v>
      </c>
      <c r="AP57" s="6">
        <f>MEDIA[[#This Row],[NRE 
(%)]]*MEDIA[[#This Row],[NLR 
(kg N m-3 d-1)]]</f>
        <v>0.24825377147205793</v>
      </c>
      <c r="AQ57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0.82606482931412462</v>
      </c>
      <c r="AR57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0.76542582310158758</v>
      </c>
      <c r="AS57" s="48"/>
      <c r="AT57" s="48"/>
      <c r="AU57" s="48"/>
      <c r="AV57" s="6"/>
      <c r="AY57"/>
    </row>
    <row r="58" spans="1:51" x14ac:dyDescent="0.3">
      <c r="A58" s="128">
        <v>43381</v>
      </c>
      <c r="B58" s="29">
        <v>55</v>
      </c>
      <c r="C58" s="42">
        <v>18.906542865487694</v>
      </c>
      <c r="D58" s="28">
        <f>MEDIA[[#This Row],[Flow 
(L h-1)]]/1000*24</f>
        <v>0.45375702877170465</v>
      </c>
      <c r="E58" s="42">
        <f>IF(IFERROR(Information!$R$47/MEDIA[[#This Row],[Flow 
(m3 d-1)]]*24,0)&lt;0,0,IFERROR(Information!$R$47/MEDIA[[#This Row],[Flow 
(m3 d-1)]]*24,0))</f>
        <v>63.470091202686206</v>
      </c>
      <c r="F58" s="42">
        <v>7.0157302639956942</v>
      </c>
      <c r="G58" s="42">
        <v>0.8440385284791263</v>
      </c>
      <c r="H58" s="41">
        <v>30.81632573420039</v>
      </c>
      <c r="I58" s="130">
        <v>1340</v>
      </c>
      <c r="J58" s="130">
        <v>680</v>
      </c>
      <c r="K58">
        <v>1175</v>
      </c>
      <c r="L58" s="29">
        <f>MEDIA[[#This Row],[COD 
(mg L-1)]]*Information!$AK$42</f>
        <v>834.25</v>
      </c>
      <c r="M58">
        <v>943</v>
      </c>
      <c r="N58">
        <v>8.1</v>
      </c>
      <c r="O58">
        <v>140</v>
      </c>
      <c r="Q58">
        <v>5.14</v>
      </c>
      <c r="R58">
        <v>109.7</v>
      </c>
      <c r="S58" s="4">
        <f>MEDIA[[#This Row],[NH4-N 
(mg L-1)]]*1.288</f>
        <v>369.17944</v>
      </c>
      <c r="T58" s="6">
        <f>MEDIA[[#This Row],[NO2-N 
(mg L-1)]]*3.284</f>
        <v>226.48105999999999</v>
      </c>
      <c r="U58" s="6">
        <f>(MEDIA[[#This Row],[NO3-N 
(mg L-1)]])*4.426</f>
        <v>180.29311000000001</v>
      </c>
      <c r="V58" s="6">
        <v>286.63</v>
      </c>
      <c r="W58" s="6">
        <v>68.965000000000003</v>
      </c>
      <c r="X58" s="4">
        <f>IF(MEDIA[[#This Row],[TON 
(mg L-1)]]-MEDIA[[#This Row],[NO2-N 
(mg L-1)]]&lt;0,0.192,MEDIA[[#This Row],[TON 
(mg L-1)]]-MEDIA[[#This Row],[NO2-N 
(mg L-1)]])</f>
        <v>40.734999999999999</v>
      </c>
      <c r="Y58" s="4">
        <f>SUM(MEDIA[[#This Row],[NH4-N 
(mg L-1)]],MEDIA[[#This Row],[NO3-N 
(mg L-1)]],MEDIA[[#This Row],[NO2-N 
(mg L-1)]])</f>
        <v>396.33000000000004</v>
      </c>
      <c r="Z58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4.1402827609338631E-2</v>
      </c>
      <c r="AA58" s="48">
        <f>IF(IFERROR(MEDIA[[#This Row],[NO2-N 
(mg L-1)]]/MEDIA[[#This Row],[NH4-N 
(mg L-1)]],0)&lt;0,0,IFERROR(MEDIA[[#This Row],[NO2-N 
(mg L-1)]]/MEDIA[[#This Row],[NH4-N 
(mg L-1)]],0))</f>
        <v>0.24060635662701044</v>
      </c>
      <c r="AB58" s="48">
        <f>MEDIA[[#This Row],[NO2-N 
(mg L-1)]]/(MEDIA[[#This Row],[NO3-N 
(mg L-1)]]+MEDIA[[#This Row],[NO2-N 
(mg L-1)]])</f>
        <v>0.62866909753874201</v>
      </c>
      <c r="AC58" s="20">
        <f>46/14*MEDIA[[#This Row],[NO2-N 
(mg L-1)]]/(EXP(-2300/(MEDIA[[#This Row],[Temp. 
(°C)]]+273))*10^(MEDIA[[#This Row],[pHreactor]]))</f>
        <v>4.2393115433252471E-2</v>
      </c>
      <c r="AD58" s="6">
        <f>17/14*MEDIA[NH4-N 
(mg L-1)]*10^MEDIA[[#This Row],[pHreactor]]/(EXP((6344/(273+MEDIA[[#This Row],[Temp. 
(°C)]])))+10^MEDIA[pHreactor])</f>
        <v>3.0550942478617671</v>
      </c>
      <c r="AE58" s="6">
        <f>Influent[[#This Row],[NH4-N (mg L-1)]]*MEDIA[[#This Row],[Flow 
(m3 d-1)]]/(Information!$R$48*Information!$R$49)</f>
        <v>1.2010381355301056</v>
      </c>
      <c r="AF58" s="6">
        <f>(Influent[[#This Row],[NH4-N (mg L-1)]]-MEDIA[[#This Row],[NH4-N 
(mg L-1)]])*MEDIA[[#This Row],[Flow 
(m3 d-1)]]/(Information!$R$48*Information!$R$49)</f>
        <v>0.93007901645336888</v>
      </c>
      <c r="AG58" s="6">
        <f>Influent[[#This Row],[COD (mg L-1)]]*MEDIA[[#This Row],[Flow 
(m3 d-1)]]/(Information!$R$48*Information!$R$49)</f>
        <v>2.2829650510076389</v>
      </c>
      <c r="AH58" s="6">
        <f>(Influent[[#This Row],[COD (mg L-1)]]-MEDIA[[#This Row],[COD 
(mg L-1)]])*MEDIA[[#This Row],[Flow 
(m3 d-1)]]/(Information!$R$48*Information!$R$49)</f>
        <v>1.1722056576602369</v>
      </c>
      <c r="AI58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874.17</v>
      </c>
      <c r="AJ58" s="6">
        <f>IFERROR(IF(Influent[[#This Row],[COD (mg L-1)]]-MEDIA[[#This Row],[COD 
(mg L-1)]]&lt;0,0,Influent[[#This Row],[COD (mg L-1)]]-MEDIA[[#This Row],[COD 
(mg L-1)]]),0)</f>
        <v>1240</v>
      </c>
      <c r="AK58" s="6">
        <f>IFERROR(IF(Influent[[#This Row],[Alkalinity (mg CaCO3 L-1) ]]-MEDIA[[#This Row],[Alkalinity 
(mg CaCO3 L-1) ]]&lt;0,0,Influent[[#This Row],[Alkalinity (mg CaCO3 L-1) ]]-MEDIA[[#This Row],[Alkalinity 
(mg CaCO3 L-1) ]]),0)</f>
        <v>3655</v>
      </c>
      <c r="AL58" s="6">
        <f>Influent[[#This Row],[COD (mg L-1)]]/MEDIA[[#This Row],[HRT 
(h)]]*24/1000</f>
        <v>0.91318602040305552</v>
      </c>
      <c r="AM58" s="6">
        <f>IF(((MEDIA[[#This Row],[ΔC (mg L-1)]])*24/MEDIA[[#This Row],[HRT 
(h)]]/1000) &lt;0,0, (MEDIA[[#This Row],[ΔC (mg L-1)]])*24/MEDIA[[#This Row],[HRT 
(h)]]/1000)</f>
        <v>0.46888226306409481</v>
      </c>
      <c r="AN58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0.37203160658134748</v>
      </c>
      <c r="AO58" s="6">
        <f>Influent[[#This Row],[TN (mg L-1)]]/MEDIA[[#This Row],[HRT 
(h)]]*24/1000</f>
        <v>0.48691721430348345</v>
      </c>
      <c r="AP58" s="6">
        <f>MEDIA[[#This Row],[NRE 
(%)]]*MEDIA[[#This Row],[NLR 
(kg N m-3 d-1)]]</f>
        <v>0.33705261162590872</v>
      </c>
      <c r="AQ58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0.77439590712317985</v>
      </c>
      <c r="AR58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0.69221748938995642</v>
      </c>
      <c r="AS58" s="48"/>
      <c r="AT58" s="48"/>
      <c r="AU58" s="48"/>
      <c r="AV58" s="6"/>
      <c r="AY58"/>
    </row>
    <row r="59" spans="1:51" x14ac:dyDescent="0.3">
      <c r="A59" s="128">
        <v>43382</v>
      </c>
      <c r="B59" s="29">
        <v>56</v>
      </c>
      <c r="C59" s="42">
        <v>20.723707048481678</v>
      </c>
      <c r="D59" s="28">
        <f>MEDIA[[#This Row],[Flow 
(L h-1)]]/1000*24</f>
        <v>0.49736896916356027</v>
      </c>
      <c r="E59" s="42">
        <f>IF(IFERROR(Information!$R$47/MEDIA[[#This Row],[Flow 
(m3 d-1)]]*24,0)&lt;0,0,IFERROR(Information!$R$47/MEDIA[[#This Row],[Flow 
(m3 d-1)]]*24,0))</f>
        <v>57.904698092512263</v>
      </c>
      <c r="F59" s="42">
        <v>7.2471351199827021</v>
      </c>
      <c r="G59" s="42">
        <v>0.7946541999123734</v>
      </c>
      <c r="H59" s="41">
        <v>30.870194814801838</v>
      </c>
      <c r="I59" s="130"/>
      <c r="J59" s="130"/>
      <c r="K59">
        <v>1450</v>
      </c>
      <c r="L59" s="29">
        <f>MEDIA[[#This Row],[COD 
(mg L-1)]]*Information!$AK$42</f>
        <v>1029.5</v>
      </c>
      <c r="M59">
        <v>1972</v>
      </c>
      <c r="N59">
        <v>8.4</v>
      </c>
      <c r="O59">
        <v>72</v>
      </c>
      <c r="Q59">
        <v>7.99</v>
      </c>
      <c r="R59">
        <v>59.6</v>
      </c>
      <c r="S59" s="4">
        <f>MEDIA[[#This Row],[NH4-N 
(mg L-1)]]*1.288</f>
        <v>726.45776000000001</v>
      </c>
      <c r="T59" s="6">
        <f>MEDIA[[#This Row],[NO2-N 
(mg L-1)]]*3.284</f>
        <v>118.83810799999999</v>
      </c>
      <c r="U59" s="6">
        <f>(MEDIA[[#This Row],[NO3-N 
(mg L-1)]])*4.426</f>
        <v>103.62593800000002</v>
      </c>
      <c r="V59" s="6">
        <v>564.02</v>
      </c>
      <c r="W59" s="6">
        <v>36.186999999999998</v>
      </c>
      <c r="X59" s="4">
        <f>IF(MEDIA[[#This Row],[TON 
(mg L-1)]]-MEDIA[[#This Row],[NO2-N 
(mg L-1)]]&lt;0,0.192,MEDIA[[#This Row],[TON 
(mg L-1)]]-MEDIA[[#This Row],[NO2-N 
(mg L-1)]])</f>
        <v>23.413000000000004</v>
      </c>
      <c r="Y59" s="4">
        <f>SUM(MEDIA[[#This Row],[NH4-N 
(mg L-1)]],MEDIA[[#This Row],[NO3-N 
(mg L-1)]],MEDIA[[#This Row],[NO2-N 
(mg L-1)]])</f>
        <v>623.62</v>
      </c>
      <c r="Z59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3.1139277544288982E-2</v>
      </c>
      <c r="AA59" s="48">
        <f>IF(IFERROR(MEDIA[[#This Row],[NO2-N 
(mg L-1)]]/MEDIA[[#This Row],[NH4-N 
(mg L-1)]],0)&lt;0,0,IFERROR(MEDIA[[#This Row],[NO2-N 
(mg L-1)]]/MEDIA[[#This Row],[NH4-N 
(mg L-1)]],0))</f>
        <v>6.4159072373320095E-2</v>
      </c>
      <c r="AB59" s="48">
        <f>MEDIA[[#This Row],[NO2-N 
(mg L-1)]]/(MEDIA[[#This Row],[NO3-N 
(mg L-1)]]+MEDIA[[#This Row],[NO2-N 
(mg L-1)]])</f>
        <v>0.60716442953020133</v>
      </c>
      <c r="AC59" s="20">
        <f>46/14*MEDIA[[#This Row],[NO2-N 
(mg L-1)]]/(EXP(-2300/(MEDIA[[#This Row],[Temp. 
(°C)]]+273))*10^(MEDIA[[#This Row],[pHreactor]]))</f>
        <v>1.3038615345646435E-2</v>
      </c>
      <c r="AD59" s="6">
        <f>17/14*MEDIA[NH4-N 
(mg L-1)]*10^MEDIA[[#This Row],[pHreactor]]/(EXP((6344/(273+MEDIA[[#This Row],[Temp. 
(°C)]])))+10^MEDIA[pHreactor])</f>
        <v>10.216720584761033</v>
      </c>
      <c r="AE59" s="6">
        <f>Influent[[#This Row],[NH4-N (mg L-1)]]*MEDIA[[#This Row],[Flow 
(m3 d-1)]]/(Information!$R$48*Information!$R$49)</f>
        <v>1.363516305254852</v>
      </c>
      <c r="AF59" s="6">
        <f>(Influent[[#This Row],[NH4-N (mg L-1)]]-MEDIA[[#This Row],[NH4-N 
(mg L-1)]])*MEDIA[[#This Row],[Flow 
(m3 d-1)]]/(Information!$R$48*Information!$R$49)</f>
        <v>0.77908704278062035</v>
      </c>
      <c r="AG59" s="6">
        <f>Influent[[#This Row],[COD (mg L-1)]]*MEDIA[[#This Row],[Flow 
(m3 d-1)]]/(Information!$R$48*Information!$R$49)</f>
        <v>2.5127494796284036</v>
      </c>
      <c r="AH59" s="6">
        <f>(Influent[[#This Row],[COD (mg L-1)]]-MEDIA[[#This Row],[COD 
(mg L-1)]])*MEDIA[[#This Row],[Flow 
(m3 d-1)]]/(Information!$R$48*Information!$R$49)</f>
        <v>1.0102807186134819</v>
      </c>
      <c r="AI59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692.28000000000009</v>
      </c>
      <c r="AJ59" s="6">
        <f>IFERROR(IF(Influent[[#This Row],[COD (mg L-1)]]-MEDIA[[#This Row],[COD 
(mg L-1)]]&lt;0,0,Influent[[#This Row],[COD (mg L-1)]]-MEDIA[[#This Row],[COD 
(mg L-1)]]),0)</f>
        <v>975</v>
      </c>
      <c r="AK59" s="6">
        <f>IFERROR(IF(Influent[[#This Row],[Alkalinity (mg CaCO3 L-1) ]]-MEDIA[[#This Row],[Alkalinity 
(mg CaCO3 L-1) ]]&lt;0,0,Influent[[#This Row],[Alkalinity (mg CaCO3 L-1) ]]-MEDIA[[#This Row],[Alkalinity 
(mg CaCO3 L-1) ]]),0)</f>
        <v>2791</v>
      </c>
      <c r="AL59" s="6">
        <f>Influent[[#This Row],[COD (mg L-1)]]/MEDIA[[#This Row],[HRT 
(h)]]*24/1000</f>
        <v>1.0050997918513616</v>
      </c>
      <c r="AM59" s="6">
        <f>IF(((MEDIA[[#This Row],[ΔC (mg L-1)]])*24/MEDIA[[#This Row],[HRT 
(h)]]/1000) &lt;0,0, (MEDIA[[#This Row],[ΔC (mg L-1)]])*24/MEDIA[[#This Row],[HRT 
(h)]]/1000)</f>
        <v>0.40411228744539274</v>
      </c>
      <c r="AN59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0.31163481711224811</v>
      </c>
      <c r="AO59" s="6">
        <f>Influent[[#This Row],[TN (mg L-1)]]/MEDIA[[#This Row],[HRT 
(h)]]*24/1000</f>
        <v>0.54548941693013486</v>
      </c>
      <c r="AP59" s="6">
        <f>MEDIA[[#This Row],[NRE 
(%)]]*MEDIA[[#This Row],[NLR 
(kg N m-3 d-1)]]</f>
        <v>0.28701505313865194</v>
      </c>
      <c r="AQ59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0.57138080401246305</v>
      </c>
      <c r="AR59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0.52616062609224223</v>
      </c>
      <c r="AS59" s="48"/>
      <c r="AT59" s="48"/>
      <c r="AU59" s="48"/>
      <c r="AV59" s="6"/>
      <c r="AY59"/>
    </row>
    <row r="60" spans="1:51" x14ac:dyDescent="0.3">
      <c r="A60" s="128">
        <v>43383</v>
      </c>
      <c r="B60" s="29">
        <v>57</v>
      </c>
      <c r="C60" s="42">
        <v>33.919222928301735</v>
      </c>
      <c r="D60" s="28">
        <f>MEDIA[[#This Row],[Flow 
(L h-1)]]/1000*24</f>
        <v>0.81406135027924154</v>
      </c>
      <c r="E60" s="42">
        <f>IF(IFERROR(Information!$R$47/MEDIA[[#This Row],[Flow 
(m3 d-1)]]*24,0)&lt;0,0,IFERROR(Information!$R$47/MEDIA[[#This Row],[Flow 
(m3 d-1)]]*24,0))</f>
        <v>35.378168967389186</v>
      </c>
      <c r="F60" s="42">
        <v>7.5224342362742505</v>
      </c>
      <c r="G60" s="42">
        <v>0.80251171523934639</v>
      </c>
      <c r="H60" s="41">
        <v>30.88967916494606</v>
      </c>
      <c r="I60" s="130"/>
      <c r="J60" s="130"/>
      <c r="K60">
        <v>1630</v>
      </c>
      <c r="L60" s="29">
        <f>MEDIA[[#This Row],[COD 
(mg L-1)]]*Information!$AK$42</f>
        <v>1157.3</v>
      </c>
      <c r="M60">
        <v>2752</v>
      </c>
      <c r="N60">
        <v>8.5</v>
      </c>
      <c r="O60">
        <v>100</v>
      </c>
      <c r="Q60">
        <v>11.22</v>
      </c>
      <c r="R60">
        <v>46.3</v>
      </c>
      <c r="S60" s="4">
        <f>MEDIA[[#This Row],[NH4-N 
(mg L-1)]]*1.288</f>
        <v>995.10880000000009</v>
      </c>
      <c r="T60" s="6">
        <f>MEDIA[[#This Row],[NO2-N 
(mg L-1)]]*3.284</f>
        <v>104.805576</v>
      </c>
      <c r="U60" s="6">
        <f>(MEDIA[[#This Row],[NO3-N 
(mg L-1)]])*4.426</f>
        <v>63.672435999999983</v>
      </c>
      <c r="V60" s="6">
        <v>772.6</v>
      </c>
      <c r="W60" s="6">
        <v>31.914000000000001</v>
      </c>
      <c r="X60" s="4">
        <f>IF(MEDIA[[#This Row],[TON 
(mg L-1)]]-MEDIA[[#This Row],[NO2-N 
(mg L-1)]]&lt;0,0.192,MEDIA[[#This Row],[TON 
(mg L-1)]]-MEDIA[[#This Row],[NO2-N 
(mg L-1)]])</f>
        <v>14.385999999999996</v>
      </c>
      <c r="Y60" s="4">
        <f>SUM(MEDIA[[#This Row],[NH4-N 
(mg L-1)]],MEDIA[[#This Row],[NO3-N 
(mg L-1)]],MEDIA[[#This Row],[NO2-N 
(mg L-1)]])</f>
        <v>818.9</v>
      </c>
      <c r="Z60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2.6630877452795257E-2</v>
      </c>
      <c r="AA60" s="48">
        <f>IF(IFERROR(MEDIA[[#This Row],[NO2-N 
(mg L-1)]]/MEDIA[[#This Row],[NH4-N 
(mg L-1)]],0)&lt;0,0,IFERROR(MEDIA[[#This Row],[NO2-N 
(mg L-1)]]/MEDIA[[#This Row],[NH4-N 
(mg L-1)]],0))</f>
        <v>4.1307274139269996E-2</v>
      </c>
      <c r="AB60" s="48">
        <f>MEDIA[[#This Row],[NO2-N 
(mg L-1)]]/(MEDIA[[#This Row],[NO3-N 
(mg L-1)]]+MEDIA[[#This Row],[NO2-N 
(mg L-1)]])</f>
        <v>0.68928725701943849</v>
      </c>
      <c r="AC60" s="20">
        <f>46/14*MEDIA[[#This Row],[NO2-N 
(mg L-1)]]/(EXP(-2300/(MEDIA[[#This Row],[Temp. 
(°C)]]+273))*10^(MEDIA[[#This Row],[pHreactor]]))</f>
        <v>6.0974781749218278E-3</v>
      </c>
      <c r="AD60" s="6">
        <f>17/14*MEDIA[NH4-N 
(mg L-1)]*10^MEDIA[[#This Row],[pHreactor]]/(EXP((6344/(273+MEDIA[[#This Row],[Temp. 
(°C)]])))+10^MEDIA[pHreactor])</f>
        <v>26.069958054131781</v>
      </c>
      <c r="AE60" s="6">
        <f>Influent[[#This Row],[NH4-N (mg L-1)]]*MEDIA[[#This Row],[Flow 
(m3 d-1)]]/(Information!$R$48*Information!$R$49)</f>
        <v>2.2264577930137253</v>
      </c>
      <c r="AF60" s="6">
        <f>(Influent[[#This Row],[NH4-N (mg L-1)]]-MEDIA[[#This Row],[NH4-N 
(mg L-1)]])*MEDIA[[#This Row],[Flow 
(m3 d-1)]]/(Information!$R$48*Information!$R$49)</f>
        <v>0.91615821129342967</v>
      </c>
      <c r="AG60" s="6">
        <f>Influent[[#This Row],[COD (mg L-1)]]*MEDIA[[#This Row],[Flow 
(m3 d-1)]]/(Information!$R$48*Information!$R$49)</f>
        <v>4.1466250029848863</v>
      </c>
      <c r="AH60" s="6">
        <f>(Influent[[#This Row],[COD (mg L-1)]]-MEDIA[[#This Row],[COD 
(mg L-1)]])*MEDIA[[#This Row],[Flow 
(m3 d-1)]]/(Information!$R$48*Information!$R$49)</f>
        <v>1.3822083343282956</v>
      </c>
      <c r="AI60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493.9</v>
      </c>
      <c r="AJ60" s="6">
        <f>IFERROR(IF(Influent[[#This Row],[COD (mg L-1)]]-MEDIA[[#This Row],[COD 
(mg L-1)]]&lt;0,0,Influent[[#This Row],[COD (mg L-1)]]-MEDIA[[#This Row],[COD 
(mg L-1)]]),0)</f>
        <v>815</v>
      </c>
      <c r="AK60" s="6">
        <f>IFERROR(IF(Influent[[#This Row],[Alkalinity (mg CaCO3 L-1) ]]-MEDIA[[#This Row],[Alkalinity 
(mg CaCO3 L-1) ]]&lt;0,0,Influent[[#This Row],[Alkalinity (mg CaCO3 L-1) ]]-MEDIA[[#This Row],[Alkalinity 
(mg CaCO3 L-1) ]]),0)</f>
        <v>2066</v>
      </c>
      <c r="AL60" s="6">
        <f>Influent[[#This Row],[COD (mg L-1)]]/MEDIA[[#This Row],[HRT 
(h)]]*24/1000</f>
        <v>1.6586500011939547</v>
      </c>
      <c r="AM60" s="6">
        <f>IF(((MEDIA[[#This Row],[ΔC (mg L-1)]])*24/MEDIA[[#This Row],[HRT 
(h)]]/1000) &lt;0,0, (MEDIA[[#This Row],[ΔC (mg L-1)]])*24/MEDIA[[#This Row],[HRT 
(h)]]/1000)</f>
        <v>0.55288333373131815</v>
      </c>
      <c r="AN60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0.36646328451737181</v>
      </c>
      <c r="AO60" s="6">
        <f>Influent[[#This Row],[TN (mg L-1)]]/MEDIA[[#This Row],[HRT 
(h)]]*24/1000</f>
        <v>0.89071879409720323</v>
      </c>
      <c r="AP60" s="6">
        <f>MEDIA[[#This Row],[NRE 
(%)]]*MEDIA[[#This Row],[NLR 
(kg N m-3 d-1)]]</f>
        <v>0.33518976097747766</v>
      </c>
      <c r="AQ60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0.41148689823278484</v>
      </c>
      <c r="AR60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0.37631378522467634</v>
      </c>
      <c r="AS60" s="48"/>
      <c r="AT60" s="48"/>
      <c r="AU60" s="48"/>
      <c r="AV60" s="6"/>
      <c r="AY60"/>
    </row>
    <row r="61" spans="1:51" x14ac:dyDescent="0.3">
      <c r="A61" s="128">
        <v>43384</v>
      </c>
      <c r="B61" s="29">
        <v>58</v>
      </c>
      <c r="C61" s="42">
        <v>41.384664611988541</v>
      </c>
      <c r="D61" s="28">
        <f>MEDIA[[#This Row],[Flow 
(L h-1)]]/1000*24</f>
        <v>0.99323195068772496</v>
      </c>
      <c r="E61" s="42">
        <f>IF(IFERROR(Information!$R$47/MEDIA[[#This Row],[Flow 
(m3 d-1)]]*24,0)&lt;0,0,IFERROR(Information!$R$47/MEDIA[[#This Row],[Flow 
(m3 d-1)]]*24,0))</f>
        <v>28.996248036582546</v>
      </c>
      <c r="F61" s="42">
        <v>7.7347576374065872</v>
      </c>
      <c r="G61" s="42">
        <v>0.68774947951037368</v>
      </c>
      <c r="H61" s="41">
        <v>30.887442510353942</v>
      </c>
      <c r="I61" s="130"/>
      <c r="J61" s="130"/>
      <c r="K61">
        <v>1745</v>
      </c>
      <c r="L61" s="29">
        <f>MEDIA[[#This Row],[COD 
(mg L-1)]]*Information!$AK$42</f>
        <v>1238.95</v>
      </c>
      <c r="M61">
        <v>3326</v>
      </c>
      <c r="N61">
        <v>8.5</v>
      </c>
      <c r="O61">
        <v>108</v>
      </c>
      <c r="Q61">
        <v>12.44</v>
      </c>
      <c r="R61">
        <v>42.7</v>
      </c>
      <c r="S61" s="4">
        <f>MEDIA[[#This Row],[NH4-N 
(mg L-1)]]*1.288</f>
        <v>1223.4068</v>
      </c>
      <c r="T61" s="6">
        <f>MEDIA[[#This Row],[NO2-N 
(mg L-1)]]*3.284</f>
        <v>119.19934799999999</v>
      </c>
      <c r="U61" s="6">
        <f>(MEDIA[[#This Row],[NO3-N 
(mg L-1)]])*4.426</f>
        <v>28.339678000000028</v>
      </c>
      <c r="V61" s="6">
        <v>949.85</v>
      </c>
      <c r="W61" s="6">
        <v>36.296999999999997</v>
      </c>
      <c r="X61" s="4">
        <f>IF(MEDIA[[#This Row],[TON 
(mg L-1)]]-MEDIA[[#This Row],[NO2-N 
(mg L-1)]]&lt;0,0.192,MEDIA[[#This Row],[TON 
(mg L-1)]]-MEDIA[[#This Row],[NO2-N 
(mg L-1)]])</f>
        <v>6.4030000000000058</v>
      </c>
      <c r="Y61" s="4">
        <f>SUM(MEDIA[[#This Row],[NH4-N 
(mg L-1)]],MEDIA[[#This Row],[NO3-N 
(mg L-1)]],MEDIA[[#This Row],[NO2-N 
(mg L-1)]])</f>
        <v>992.55000000000007</v>
      </c>
      <c r="Z61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1.7022464442376727E-2</v>
      </c>
      <c r="AA61" s="48">
        <f>IF(IFERROR(MEDIA[[#This Row],[NO2-N 
(mg L-1)]]/MEDIA[[#This Row],[NH4-N 
(mg L-1)]],0)&lt;0,0,IFERROR(MEDIA[[#This Row],[NO2-N 
(mg L-1)]]/MEDIA[[#This Row],[NH4-N 
(mg L-1)]],0))</f>
        <v>3.8213402116123597E-2</v>
      </c>
      <c r="AB61" s="48">
        <f>MEDIA[[#This Row],[NO2-N 
(mg L-1)]]/(MEDIA[[#This Row],[NO3-N 
(mg L-1)]]+MEDIA[[#This Row],[NO2-N 
(mg L-1)]])</f>
        <v>0.85004683840749407</v>
      </c>
      <c r="AC61" s="20">
        <f>46/14*MEDIA[[#This Row],[NO2-N 
(mg L-1)]]/(EXP(-2300/(MEDIA[[#This Row],[Temp. 
(°C)]]+273))*10^(MEDIA[[#This Row],[pHreactor]]))</f>
        <v>4.2534422111253443E-3</v>
      </c>
      <c r="AD61" s="6">
        <f>17/14*MEDIA[NH4-N 
(mg L-1)]*10^MEDIA[[#This Row],[pHreactor]]/(EXP((6344/(273+MEDIA[[#This Row],[Temp. 
(°C)]])))+10^MEDIA[pHreactor])</f>
        <v>51.351952105196524</v>
      </c>
      <c r="AE61" s="6">
        <f>Influent[[#This Row],[NH4-N (mg L-1)]]*MEDIA[[#This Row],[Flow 
(m3 d-1)]]/(Information!$R$48*Information!$R$49)</f>
        <v>2.7438032637748404</v>
      </c>
      <c r="AF61" s="6">
        <f>(Influent[[#This Row],[NH4-N (mg L-1)]]-MEDIA[[#This Row],[NH4-N 
(mg L-1)]])*MEDIA[[#This Row],[Flow 
(m3 d-1)]]/(Information!$R$48*Information!$R$49)</f>
        <v>0.77834207968997438</v>
      </c>
      <c r="AG61" s="6">
        <f>Influent[[#This Row],[COD (mg L-1)]]*MEDIA[[#This Row],[Flow 
(m3 d-1)]]/(Information!$R$48*Information!$R$49)</f>
        <v>5.0489290826626014</v>
      </c>
      <c r="AH61" s="6">
        <f>(Influent[[#This Row],[COD (mg L-1)]]-MEDIA[[#This Row],[COD 
(mg L-1)]])*MEDIA[[#This Row],[Flow 
(m3 d-1)]]/(Information!$R$48*Information!$R$49)</f>
        <v>1.4381170952666018</v>
      </c>
      <c r="AI61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333.44999999999993</v>
      </c>
      <c r="AJ61" s="6">
        <f>IFERROR(IF(Influent[[#This Row],[COD (mg L-1)]]-MEDIA[[#This Row],[COD 
(mg L-1)]]&lt;0,0,Influent[[#This Row],[COD (mg L-1)]]-MEDIA[[#This Row],[COD 
(mg L-1)]]),0)</f>
        <v>695</v>
      </c>
      <c r="AK61" s="6">
        <f>IFERROR(IF(Influent[[#This Row],[Alkalinity (mg CaCO3 L-1) ]]-MEDIA[[#This Row],[Alkalinity 
(mg CaCO3 L-1) ]]&lt;0,0,Influent[[#This Row],[Alkalinity (mg CaCO3 L-1) ]]-MEDIA[[#This Row],[Alkalinity 
(mg CaCO3 L-1) ]]),0)</f>
        <v>1452</v>
      </c>
      <c r="AL61" s="6">
        <f>Influent[[#This Row],[COD (mg L-1)]]/MEDIA[[#This Row],[HRT 
(h)]]*24/1000</f>
        <v>2.0195716330650413</v>
      </c>
      <c r="AM61" s="6">
        <f>IF(((MEDIA[[#This Row],[ΔC (mg L-1)]])*24/MEDIA[[#This Row],[HRT 
(h)]]/1000) &lt;0,0, (MEDIA[[#This Row],[ΔC (mg L-1)]])*24/MEDIA[[#This Row],[HRT 
(h)]]/1000)</f>
        <v>0.57524683810664079</v>
      </c>
      <c r="AN61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0.31133683187598976</v>
      </c>
      <c r="AO61" s="6">
        <f>Influent[[#This Row],[TN (mg L-1)]]/MEDIA[[#This Row],[HRT 
(h)]]*24/1000</f>
        <v>1.10530162245699</v>
      </c>
      <c r="AP61" s="6">
        <f>MEDIA[[#This Row],[NRE 
(%)]]*MEDIA[[#This Row],[NLR 
(kg N m-3 d-1)]]</f>
        <v>0.28377464524440549</v>
      </c>
      <c r="AQ61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0.28367269984917043</v>
      </c>
      <c r="AR61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0.25673955369177776</v>
      </c>
      <c r="AS61" s="48"/>
      <c r="AT61" s="48"/>
      <c r="AU61" s="48"/>
      <c r="AV61" s="6"/>
      <c r="AY61"/>
    </row>
    <row r="62" spans="1:51" x14ac:dyDescent="0.3">
      <c r="A62" s="128">
        <v>43385</v>
      </c>
      <c r="B62" s="29">
        <v>59</v>
      </c>
      <c r="C62" s="42">
        <v>20.577598919350418</v>
      </c>
      <c r="D62" s="28">
        <f>MEDIA[[#This Row],[Flow 
(L h-1)]]/1000*24</f>
        <v>0.49386237406441003</v>
      </c>
      <c r="E62" s="42">
        <f>IF(IFERROR(Information!$R$47/MEDIA[[#This Row],[Flow 
(m3 d-1)]]*24,0)&lt;0,0,IFERROR(Information!$R$47/MEDIA[[#This Row],[Flow 
(m3 d-1)]]*24,0))</f>
        <v>58.315841644263173</v>
      </c>
      <c r="F62" s="42">
        <v>7.722689855847662</v>
      </c>
      <c r="G62" s="42">
        <v>0.79410968508334756</v>
      </c>
      <c r="H62" s="41">
        <v>31.159713438590838</v>
      </c>
      <c r="I62" s="41">
        <f>stableMED[[#This Row],[MLVSS 
(mg L-1)]]/0.37</f>
        <v>1351.3513513513515</v>
      </c>
      <c r="J62" s="130">
        <f>250*2</f>
        <v>500</v>
      </c>
      <c r="K62">
        <v>1580</v>
      </c>
      <c r="L62" s="29">
        <f>MEDIA[[#This Row],[COD 
(mg L-1)]]*Information!$AK$42</f>
        <v>1121.8</v>
      </c>
      <c r="M62">
        <v>2446</v>
      </c>
      <c r="N62">
        <v>8.4</v>
      </c>
      <c r="O62">
        <v>54</v>
      </c>
      <c r="Q62">
        <v>8.61</v>
      </c>
      <c r="S62" s="4">
        <f>MEDIA[[#This Row],[NH4-N 
(mg L-1)]]*1.288</f>
        <v>956.4688000000001</v>
      </c>
      <c r="T62" s="6">
        <f>MEDIA[[#This Row],[NO2-N 
(mg L-1)]]*3.284</f>
        <v>0</v>
      </c>
      <c r="U62" s="6">
        <f>(MEDIA[[#This Row],[NO3-N 
(mg L-1)]])*4.426</f>
        <v>0</v>
      </c>
      <c r="V62" s="6">
        <v>742.6</v>
      </c>
      <c r="W62" s="6"/>
      <c r="X62" s="4"/>
      <c r="Y62" s="4"/>
      <c r="Z62" s="48"/>
      <c r="AA62" s="48"/>
      <c r="AB62" s="48"/>
      <c r="AC62" s="20"/>
      <c r="AD62" s="6"/>
      <c r="AE62" s="6">
        <f>Influent[[#This Row],[NH4-N (mg L-1)]]*MEDIA[[#This Row],[Flow 
(m3 d-1)]]/(Information!$R$48*Information!$R$49)</f>
        <v>1.4413579163059</v>
      </c>
      <c r="AF62" s="6">
        <f>(Influent[[#This Row],[NH4-N (mg L-1)]]-MEDIA[[#This Row],[NH4-N 
(mg L-1)]])*MEDIA[[#This Row],[Flow 
(m3 d-1)]]/(Information!$R$48*Information!$R$49)</f>
        <v>0.67731166843041912</v>
      </c>
      <c r="AG62" s="6">
        <f>Influent[[#This Row],[COD (mg L-1)]]*MEDIA[[#This Row],[Flow 
(m3 d-1)]]/(Information!$R$48*Information!$R$49)</f>
        <v>2.5670554651889645</v>
      </c>
      <c r="AH62" s="6">
        <f>(Influent[[#This Row],[COD (mg L-1)]]-MEDIA[[#This Row],[COD 
(mg L-1)]])*MEDIA[[#This Row],[Flow 
(m3 d-1)]]/(Information!$R$48*Information!$R$49)</f>
        <v>0.94142515056028164</v>
      </c>
      <c r="AI62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658.30000000000007</v>
      </c>
      <c r="AJ62" s="6">
        <f>IFERROR(IF(Influent[[#This Row],[COD (mg L-1)]]-MEDIA[[#This Row],[COD 
(mg L-1)]]&lt;0,0,Influent[[#This Row],[COD (mg L-1)]]-MEDIA[[#This Row],[COD 
(mg L-1)]]),0)</f>
        <v>915</v>
      </c>
      <c r="AK62" s="6">
        <f>IFERROR(IF(Influent[[#This Row],[Alkalinity (mg CaCO3 L-1) ]]-MEDIA[[#This Row],[Alkalinity 
(mg CaCO3 L-1) ]]&lt;0,0,Influent[[#This Row],[Alkalinity (mg CaCO3 L-1) ]]-MEDIA[[#This Row],[Alkalinity 
(mg CaCO3 L-1) ]]),0)</f>
        <v>2255</v>
      </c>
      <c r="AL62" s="6">
        <f>Influent[[#This Row],[COD (mg L-1)]]/MEDIA[[#This Row],[HRT 
(h)]]*24/1000</f>
        <v>1.026822186075586</v>
      </c>
      <c r="AM62" s="6">
        <f>IF(((MEDIA[[#This Row],[ΔC (mg L-1)]])*24/MEDIA[[#This Row],[HRT 
(h)]]/1000) &lt;0,0, (MEDIA[[#This Row],[ΔC (mg L-1)]])*24/MEDIA[[#This Row],[HRT 
(h)]]/1000)</f>
        <v>0.37657006022411266</v>
      </c>
      <c r="AN62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0.27092466737216764</v>
      </c>
      <c r="AO62" s="6">
        <f>Influent[[#This Row],[TN (mg L-1)]]/MEDIA[[#This Row],[HRT 
(h)]]*24/1000</f>
        <v>0.57998950278937289</v>
      </c>
      <c r="AP62" s="6"/>
      <c r="AQ62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0.46991219930044975</v>
      </c>
      <c r="AR62" s="26"/>
      <c r="AS62" s="48">
        <f>88/30</f>
        <v>2.9333333333333331</v>
      </c>
      <c r="AT62" s="48">
        <v>0.93899999999999995</v>
      </c>
      <c r="AU62" s="48">
        <v>0.27500000000000002</v>
      </c>
      <c r="AV62" s="6">
        <f>stableMED[[#This Row],[SAAcarrier
(g N g VSS-1d-1)]]+stableMED[[#This Row],[SAAsuspension
(g N g VSS-1d-1)]]</f>
        <v>1.214</v>
      </c>
      <c r="AY62"/>
    </row>
    <row r="63" spans="1:51" x14ac:dyDescent="0.3">
      <c r="A63" s="128">
        <v>43386</v>
      </c>
      <c r="B63" s="29">
        <v>60</v>
      </c>
      <c r="C63" s="42">
        <v>13.678063175157721</v>
      </c>
      <c r="D63" s="28">
        <f>MEDIA[[#This Row],[Flow 
(L h-1)]]/1000*24</f>
        <v>0.32827351620378531</v>
      </c>
      <c r="E63" s="42">
        <f>IF(IFERROR(Information!$R$47/MEDIA[[#This Row],[Flow 
(m3 d-1)]]*24,0)&lt;0,0,IFERROR(Information!$R$47/MEDIA[[#This Row],[Flow 
(m3 d-1)]]*24,0))</f>
        <v>87.731719369410115</v>
      </c>
      <c r="F63" s="42">
        <v>7.502317733129086</v>
      </c>
      <c r="G63" s="42">
        <v>0.86344758781944864</v>
      </c>
      <c r="H63" s="41">
        <v>30.882852210720475</v>
      </c>
      <c r="I63" s="130"/>
      <c r="J63" s="130"/>
      <c r="K63">
        <v>1670</v>
      </c>
      <c r="L63" s="29">
        <f>MEDIA[[#This Row],[COD 
(mg L-1)]]*Information!$AK$42</f>
        <v>1185.7</v>
      </c>
      <c r="M63">
        <v>2253</v>
      </c>
      <c r="N63">
        <v>8.3000000000000007</v>
      </c>
      <c r="O63">
        <v>76</v>
      </c>
      <c r="Q63">
        <v>9.2100000000000009</v>
      </c>
      <c r="S63" s="4">
        <f>MEDIA[[#This Row],[NH4-N 
(mg L-1)]]*1.288</f>
        <v>937.87008000000003</v>
      </c>
      <c r="T63" s="6">
        <f>MEDIA[[#This Row],[NO2-N 
(mg L-1)]]*3.284</f>
        <v>0</v>
      </c>
      <c r="U63" s="6">
        <f>(MEDIA[[#This Row],[NO3-N 
(mg L-1)]])*4.426</f>
        <v>0</v>
      </c>
      <c r="V63" s="6">
        <v>728.16</v>
      </c>
      <c r="W63" s="6"/>
      <c r="X63" s="4"/>
      <c r="Y63" s="4"/>
      <c r="Z63" s="48"/>
      <c r="AA63" s="48"/>
      <c r="AB63" s="48"/>
      <c r="AC63" s="20"/>
      <c r="AD63" s="6"/>
      <c r="AE63" s="6">
        <f>Influent[[#This Row],[NH4-N (mg L-1)]]*MEDIA[[#This Row],[Flow 
(m3 d-1)]]/(Information!$R$48*Information!$R$49)</f>
        <v>0.9485052908813123</v>
      </c>
      <c r="AF63" s="6">
        <f>(Influent[[#This Row],[NH4-N (mg L-1)]]-MEDIA[[#This Row],[NH4-N 
(mg L-1)]])*MEDIA[[#This Row],[Flow 
(m3 d-1)]]/(Information!$R$48*Information!$R$49)</f>
        <v>0.45051436680016993</v>
      </c>
      <c r="AG63" s="6">
        <f>Influent[[#This Row],[COD (mg L-1)]]*MEDIA[[#This Row],[Flow 
(m3 d-1)]]/(Information!$R$48*Information!$R$49)</f>
        <v>1.6721432231630315</v>
      </c>
      <c r="AH63" s="6">
        <f>(Influent[[#This Row],[COD (mg L-1)]]-MEDIA[[#This Row],[COD 
(mg L-1)]])*MEDIA[[#This Row],[Flow 
(m3 d-1)]]/(Information!$R$48*Information!$R$49)</f>
        <v>0.53002494803736167</v>
      </c>
      <c r="AI63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658.74000000000012</v>
      </c>
      <c r="AJ63" s="6">
        <f>IFERROR(IF(Influent[[#This Row],[COD (mg L-1)]]-MEDIA[[#This Row],[COD 
(mg L-1)]]&lt;0,0,Influent[[#This Row],[COD (mg L-1)]]-MEDIA[[#This Row],[COD 
(mg L-1)]]),0)</f>
        <v>775</v>
      </c>
      <c r="AK63" s="6">
        <f>IFERROR(IF(Influent[[#This Row],[Alkalinity (mg CaCO3 L-1) ]]-MEDIA[[#This Row],[Alkalinity 
(mg CaCO3 L-1) ]]&lt;0,0,Influent[[#This Row],[Alkalinity (mg CaCO3 L-1) ]]-MEDIA[[#This Row],[Alkalinity 
(mg CaCO3 L-1) ]]),0)</f>
        <v>2520</v>
      </c>
      <c r="AL63" s="6">
        <f>Influent[[#This Row],[COD (mg L-1)]]/MEDIA[[#This Row],[HRT 
(h)]]*24/1000</f>
        <v>0.66885728926521271</v>
      </c>
      <c r="AM63" s="6">
        <f>IF(((MEDIA[[#This Row],[ΔC (mg L-1)]])*24/MEDIA[[#This Row],[HRT 
(h)]]/1000) &lt;0,0, (MEDIA[[#This Row],[ΔC (mg L-1)]])*24/MEDIA[[#This Row],[HRT 
(h)]]/1000)</f>
        <v>0.21200997921494472</v>
      </c>
      <c r="AN63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0.18020574672006801</v>
      </c>
      <c r="AO63" s="6">
        <f>Influent[[#This Row],[TN (mg L-1)]]/MEDIA[[#This Row],[HRT 
(h)]]*24/1000</f>
        <v>0.37945682860522562</v>
      </c>
      <c r="AP63" s="6"/>
      <c r="AQ63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0.47497296128055383</v>
      </c>
      <c r="AR63" s="26"/>
      <c r="AS63" s="48"/>
      <c r="AT63" s="48"/>
      <c r="AU63" s="48"/>
      <c r="AV63" s="6"/>
      <c r="AY63"/>
    </row>
    <row r="64" spans="1:51" x14ac:dyDescent="0.3">
      <c r="A64" s="128">
        <v>43387</v>
      </c>
      <c r="B64" s="29">
        <v>61</v>
      </c>
      <c r="C64" s="42">
        <v>24.695461645924105</v>
      </c>
      <c r="D64" s="28">
        <f>MEDIA[[#This Row],[Flow 
(L h-1)]]/1000*24</f>
        <v>0.59269107950217848</v>
      </c>
      <c r="E64" s="42">
        <f>IF(IFERROR(Information!$R$47/MEDIA[[#This Row],[Flow 
(m3 d-1)]]*24,0)&lt;0,0,IFERROR(Information!$R$47/MEDIA[[#This Row],[Flow 
(m3 d-1)]]*24,0))</f>
        <v>48.591924184501153</v>
      </c>
      <c r="F64" s="42">
        <v>7.4317069616387261</v>
      </c>
      <c r="G64" s="42">
        <v>0.9397401076478703</v>
      </c>
      <c r="H64" s="41">
        <v>30.90256207819326</v>
      </c>
      <c r="I64" s="130"/>
      <c r="J64" s="130"/>
      <c r="K64">
        <v>2080</v>
      </c>
      <c r="L64" s="29">
        <f>MEDIA[[#This Row],[COD 
(mg L-1)]]*Information!$AK$42</f>
        <v>1476.8</v>
      </c>
      <c r="M64">
        <v>2149</v>
      </c>
      <c r="N64">
        <v>8.4</v>
      </c>
      <c r="O64">
        <v>64</v>
      </c>
      <c r="Q64">
        <v>7.99</v>
      </c>
      <c r="R64">
        <v>214.7</v>
      </c>
      <c r="S64" s="4">
        <f>MEDIA[[#This Row],[NH4-N 
(mg L-1)]]*1.288</f>
        <v>926.12351999999998</v>
      </c>
      <c r="T64" s="6">
        <f>MEDIA[[#This Row],[NO2-N 
(mg L-1)]]*3.284</f>
        <v>334.73811999999998</v>
      </c>
      <c r="U64" s="6">
        <f>(MEDIA[[#This Row],[NO3-N 
(mg L-1)]])*4.426</f>
        <v>499.12001999999995</v>
      </c>
      <c r="V64" s="6">
        <v>719.04</v>
      </c>
      <c r="W64" s="6">
        <v>101.93</v>
      </c>
      <c r="X64" s="4">
        <f>IF(MEDIA[[#This Row],[TON 
(mg L-1)]]-MEDIA[[#This Row],[NO2-N 
(mg L-1)]]&lt;0,0.192,MEDIA[[#This Row],[TON 
(mg L-1)]]-MEDIA[[#This Row],[NO2-N 
(mg L-1)]])</f>
        <v>112.76999999999998</v>
      </c>
      <c r="Y64" s="4">
        <f>SUM(MEDIA[[#This Row],[NH4-N 
(mg L-1)]],MEDIA[[#This Row],[NO3-N 
(mg L-1)]],MEDIA[[#This Row],[NO2-N 
(mg L-1)]])</f>
        <v>933.74</v>
      </c>
      <c r="Z64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0.19521864072291653</v>
      </c>
      <c r="AA64" s="48">
        <f>IF(IFERROR(MEDIA[[#This Row],[NO2-N 
(mg L-1)]]/MEDIA[[#This Row],[NH4-N 
(mg L-1)]],0)&lt;0,0,IFERROR(MEDIA[[#This Row],[NO2-N 
(mg L-1)]]/MEDIA[[#This Row],[NH4-N 
(mg L-1)]],0))</f>
        <v>0.1417584557187361</v>
      </c>
      <c r="AB64" s="48">
        <f>MEDIA[[#This Row],[NO2-N 
(mg L-1)]]/(MEDIA[[#This Row],[NO3-N 
(mg L-1)]]+MEDIA[[#This Row],[NO2-N 
(mg L-1)]])</f>
        <v>0.47475547275267821</v>
      </c>
      <c r="AC64" s="20">
        <f>46/14*MEDIA[[#This Row],[NO2-N 
(mg L-1)]]/(EXP(-2300/(MEDIA[[#This Row],[Temp. 
(°C)]]+273))*10^(MEDIA[[#This Row],[pHreactor]]))</f>
        <v>2.3991586772858571E-2</v>
      </c>
      <c r="AD64" s="6">
        <f>17/14*MEDIA[NH4-N 
(mg L-1)]*10^MEDIA[[#This Row],[pHreactor]]/(EXP((6344/(273+MEDIA[[#This Row],[Temp. 
(°C)]])))+10^MEDIA[pHreactor])</f>
        <v>19.809259989836601</v>
      </c>
      <c r="AE64" s="6">
        <f>Influent[[#This Row],[NH4-N (mg L-1)]]*MEDIA[[#This Row],[Flow 
(m3 d-1)]]/(Information!$R$48*Information!$R$49)</f>
        <v>1.6011302558134894</v>
      </c>
      <c r="AF64" s="6">
        <f>(Influent[[#This Row],[NH4-N (mg L-1)]]-MEDIA[[#This Row],[NH4-N 
(mg L-1)]])*MEDIA[[#This Row],[Flow 
(m3 d-1)]]/(Information!$R$48*Information!$R$49)</f>
        <v>0.71327901871922594</v>
      </c>
      <c r="AG64" s="6">
        <f>Influent[[#This Row],[COD (mg L-1)]]*MEDIA[[#This Row],[Flow 
(m3 d-1)]]/(Information!$R$48*Information!$R$49)</f>
        <v>3.1486713598553231</v>
      </c>
      <c r="AH64" s="6">
        <f>(Influent[[#This Row],[COD (mg L-1)]]-MEDIA[[#This Row],[COD 
(mg L-1)]])*MEDIA[[#This Row],[Flow 
(m3 d-1)]]/(Information!$R$48*Information!$R$49)</f>
        <v>0.58034334867921644</v>
      </c>
      <c r="AI64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362.96000000000004</v>
      </c>
      <c r="AJ64" s="6">
        <f>IFERROR(IF(Influent[[#This Row],[COD (mg L-1)]]-MEDIA[[#This Row],[COD 
(mg L-1)]]&lt;0,0,Influent[[#This Row],[COD (mg L-1)]]-MEDIA[[#This Row],[COD 
(mg L-1)]]),0)</f>
        <v>470</v>
      </c>
      <c r="AK64" s="6">
        <f>IFERROR(IF(Influent[[#This Row],[Alkalinity (mg CaCO3 L-1) ]]-MEDIA[[#This Row],[Alkalinity 
(mg CaCO3 L-1) ]]&lt;0,0,Influent[[#This Row],[Alkalinity (mg CaCO3 L-1) ]]-MEDIA[[#This Row],[Alkalinity 
(mg CaCO3 L-1) ]]),0)</f>
        <v>2368</v>
      </c>
      <c r="AL64" s="6">
        <f>Influent[[#This Row],[COD (mg L-1)]]/MEDIA[[#This Row],[HRT 
(h)]]*24/1000</f>
        <v>1.2594685439421291</v>
      </c>
      <c r="AM64" s="6">
        <f>IF(((MEDIA[[#This Row],[ΔC (mg L-1)]])*24/MEDIA[[#This Row],[HRT 
(h)]]/1000) &lt;0,0, (MEDIA[[#This Row],[ΔC (mg L-1)]])*24/MEDIA[[#This Row],[HRT 
(h)]]/1000)</f>
        <v>0.23213733947168655</v>
      </c>
      <c r="AN64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0.28531160748769036</v>
      </c>
      <c r="AO64" s="6">
        <f>Influent[[#This Row],[TN (mg L-1)]]/MEDIA[[#This Row],[HRT 
(h)]]*24/1000</f>
        <v>0.64078499714838266</v>
      </c>
      <c r="AP64" s="6">
        <f>MEDIA[[#This Row],[NRE 
(%)]]*MEDIA[[#This Row],[NLR 
(kg N m-3 d-1)]]</f>
        <v>0.17960219000307931</v>
      </c>
      <c r="AQ64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0.44548469191023371</v>
      </c>
      <c r="AR64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0.28028463650420005</v>
      </c>
      <c r="AS64" s="48"/>
      <c r="AT64" s="48"/>
      <c r="AU64" s="48"/>
      <c r="AV64" s="6"/>
      <c r="AY64"/>
    </row>
    <row r="65" spans="1:51" x14ac:dyDescent="0.3">
      <c r="A65" s="128">
        <v>43388</v>
      </c>
      <c r="B65" s="29">
        <v>62</v>
      </c>
      <c r="C65" s="42">
        <v>18.617190212145815</v>
      </c>
      <c r="D65" s="28">
        <f>MEDIA[[#This Row],[Flow 
(L h-1)]]/1000*24</f>
        <v>0.44681256509149953</v>
      </c>
      <c r="E65" s="42">
        <f>IF(IFERROR(Information!$R$47/MEDIA[[#This Row],[Flow 
(m3 d-1)]]*24,0)&lt;0,0,IFERROR(Information!$R$47/MEDIA[[#This Row],[Flow 
(m3 d-1)]]*24,0))</f>
        <v>64.456557962066825</v>
      </c>
      <c r="F65" s="42">
        <v>7.4288723775803405</v>
      </c>
      <c r="G65" s="42">
        <v>0.96557054803918441</v>
      </c>
      <c r="H65" s="41">
        <v>30.856286968137191</v>
      </c>
      <c r="I65" s="130">
        <v>960</v>
      </c>
      <c r="J65" s="130">
        <v>495</v>
      </c>
      <c r="K65">
        <v>1775</v>
      </c>
      <c r="L65" s="29">
        <f>MEDIA[[#This Row],[COD 
(mg L-1)]]*Information!$AK$42</f>
        <v>1260.25</v>
      </c>
      <c r="M65">
        <v>2177</v>
      </c>
      <c r="N65">
        <v>8.3000000000000007</v>
      </c>
      <c r="O65">
        <v>72</v>
      </c>
      <c r="Q65">
        <v>9.36</v>
      </c>
      <c r="R65">
        <v>238.8</v>
      </c>
      <c r="S65" s="4">
        <f>MEDIA[[#This Row],[NH4-N 
(mg L-1)]]*1.288</f>
        <v>948.49608000000001</v>
      </c>
      <c r="T65" s="6">
        <f>MEDIA[[#This Row],[NO2-N 
(mg L-1)]]*3.284</f>
        <v>4.5778959999999991</v>
      </c>
      <c r="U65" s="6">
        <f>(MEDIA[[#This Row],[NO3-N 
(mg L-1)]])*4.426</f>
        <v>1050.7589560000001</v>
      </c>
      <c r="V65" s="6">
        <v>736.41</v>
      </c>
      <c r="W65" s="6">
        <v>1.3939999999999999</v>
      </c>
      <c r="X65" s="4">
        <f>IF(MEDIA[[#This Row],[TON 
(mg L-1)]]-MEDIA[[#This Row],[NO2-N 
(mg L-1)]]&lt;0,0.192,MEDIA[[#This Row],[TON 
(mg L-1)]]-MEDIA[[#This Row],[NO2-N 
(mg L-1)]])</f>
        <v>237.40600000000001</v>
      </c>
      <c r="Y65" s="4">
        <f>SUM(MEDIA[[#This Row],[NH4-N 
(mg L-1)]],MEDIA[[#This Row],[NO3-N 
(mg L-1)]],MEDIA[[#This Row],[NO2-N 
(mg L-1)]])</f>
        <v>975.21</v>
      </c>
      <c r="Z65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0.40729125564000068</v>
      </c>
      <c r="AA65" s="48">
        <f>IF(IFERROR(MEDIA[[#This Row],[NO2-N 
(mg L-1)]]/MEDIA[[#This Row],[NH4-N 
(mg L-1)]],0)&lt;0,0,IFERROR(MEDIA[[#This Row],[NO2-N 
(mg L-1)]]/MEDIA[[#This Row],[NH4-N 
(mg L-1)]],0))</f>
        <v>1.8929672329273096E-3</v>
      </c>
      <c r="AB65" s="48">
        <f>MEDIA[[#This Row],[NO2-N 
(mg L-1)]]/(MEDIA[[#This Row],[NO3-N 
(mg L-1)]]+MEDIA[[#This Row],[NO2-N 
(mg L-1)]])</f>
        <v>5.8375209380234503E-3</v>
      </c>
      <c r="AC65" s="20">
        <f>46/14*MEDIA[[#This Row],[NO2-N 
(mg L-1)]]/(EXP(-2300/(MEDIA[[#This Row],[Temp. 
(°C)]]+273))*10^(MEDIA[[#This Row],[pHreactor]]))</f>
        <v>3.3063960026218721E-4</v>
      </c>
      <c r="AD65" s="6">
        <f>17/14*MEDIA[NH4-N 
(mg L-1)]*10^MEDIA[[#This Row],[pHreactor]]/(EXP((6344/(273+MEDIA[[#This Row],[Temp. 
(°C)]])))+10^MEDIA[pHreactor])</f>
        <v>20.096239595851472</v>
      </c>
      <c r="AE65" s="6">
        <f>Influent[[#This Row],[NH4-N (mg L-1)]]*MEDIA[[#This Row],[Flow 
(m3 d-1)]]/(Information!$R$48*Information!$R$49)</f>
        <v>1.2280829523441985</v>
      </c>
      <c r="AF65" s="6">
        <f>(Influent[[#This Row],[NH4-N (mg L-1)]]-MEDIA[[#This Row],[NH4-N 
(mg L-1)]])*MEDIA[[#This Row],[Flow 
(m3 d-1)]]/(Information!$R$48*Information!$R$49)</f>
        <v>0.54258870013788363</v>
      </c>
      <c r="AG65" s="6">
        <f>Influent[[#This Row],[COD (mg L-1)]]*MEDIA[[#This Row],[Flow 
(m3 d-1)]]/(Information!$R$48*Information!$R$49)</f>
        <v>2.6250238199125593</v>
      </c>
      <c r="AH65" s="6">
        <f>(Influent[[#This Row],[COD (mg L-1)]]-MEDIA[[#This Row],[COD 
(mg L-1)]])*MEDIA[[#This Row],[Flow 
(m3 d-1)]]/(Information!$R$48*Information!$R$49)</f>
        <v>0.97274818858461876</v>
      </c>
      <c r="AI65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344.08999999999992</v>
      </c>
      <c r="AJ65" s="6">
        <f>IFERROR(IF(Influent[[#This Row],[COD (mg L-1)]]-MEDIA[[#This Row],[COD 
(mg L-1)]]&lt;0,0,Influent[[#This Row],[COD (mg L-1)]]-MEDIA[[#This Row],[COD 
(mg L-1)]]),0)</f>
        <v>1045</v>
      </c>
      <c r="AK65" s="6">
        <f>IFERROR(IF(Influent[[#This Row],[Alkalinity (mg CaCO3 L-1) ]]-MEDIA[[#This Row],[Alkalinity 
(mg CaCO3 L-1) ]]&lt;0,0,Influent[[#This Row],[Alkalinity (mg CaCO3 L-1) ]]-MEDIA[[#This Row],[Alkalinity 
(mg CaCO3 L-1) ]]),0)</f>
        <v>2344</v>
      </c>
      <c r="AL65" s="6">
        <f>Influent[[#This Row],[COD (mg L-1)]]/MEDIA[[#This Row],[HRT 
(h)]]*24/1000</f>
        <v>1.0500095279650241</v>
      </c>
      <c r="AM65" s="6">
        <f>IF(((MEDIA[[#This Row],[ΔC (mg L-1)]])*24/MEDIA[[#This Row],[HRT 
(h)]]/1000) &lt;0,0, (MEDIA[[#This Row],[ΔC (mg L-1)]])*24/MEDIA[[#This Row],[HRT 
(h)]]/1000)</f>
        <v>0.38909927543384759</v>
      </c>
      <c r="AN65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0.21703548005515352</v>
      </c>
      <c r="AO65" s="6">
        <f>Influent[[#This Row],[TN (mg L-1)]]/MEDIA[[#This Row],[HRT 
(h)]]*24/1000</f>
        <v>0.49130764969852803</v>
      </c>
      <c r="AP65" s="6">
        <f>MEDIA[[#This Row],[NRE 
(%)]]*MEDIA[[#This Row],[NLR 
(kg N m-3 d-1)]]</f>
        <v>0.12819424836279361</v>
      </c>
      <c r="AQ65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0.44181763056166151</v>
      </c>
      <c r="AR65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0.26092459264873052</v>
      </c>
      <c r="AS65" s="48"/>
      <c r="AT65" s="48"/>
      <c r="AU65" s="48"/>
      <c r="AV65" s="6"/>
      <c r="AY65"/>
    </row>
    <row r="66" spans="1:51" x14ac:dyDescent="0.3">
      <c r="A66" s="128">
        <v>43389</v>
      </c>
      <c r="B66" s="29">
        <v>63</v>
      </c>
      <c r="C66" s="42">
        <v>23.634859858929634</v>
      </c>
      <c r="D66" s="28">
        <f>MEDIA[[#This Row],[Flow 
(L h-1)]]/1000*24</f>
        <v>0.56723663661431123</v>
      </c>
      <c r="E66" s="42">
        <f>IF(IFERROR(Information!$R$47/MEDIA[[#This Row],[Flow 
(m3 d-1)]]*24,0)&lt;0,0,IFERROR(Information!$R$47/MEDIA[[#This Row],[Flow 
(m3 d-1)]]*24,0))</f>
        <v>50.772460981892408</v>
      </c>
      <c r="F66" s="42">
        <v>7.4565674602385403</v>
      </c>
      <c r="G66" s="42">
        <v>1.3452906964430169</v>
      </c>
      <c r="H66" s="41">
        <v>30.222949961828135</v>
      </c>
      <c r="I66" s="130"/>
      <c r="J66" s="130"/>
      <c r="K66">
        <v>1315</v>
      </c>
      <c r="L66" s="29">
        <f>MEDIA[[#This Row],[COD 
(mg L-1)]]*Information!$AK$42</f>
        <v>933.65</v>
      </c>
      <c r="M66">
        <v>1892</v>
      </c>
      <c r="N66">
        <v>8.3000000000000007</v>
      </c>
      <c r="O66">
        <v>113</v>
      </c>
      <c r="P66">
        <v>30</v>
      </c>
      <c r="Q66">
        <v>8.1199999999999992</v>
      </c>
      <c r="R66">
        <v>150.4</v>
      </c>
      <c r="S66" s="4">
        <f>MEDIA[[#This Row],[NH4-N 
(mg L-1)]]*1.288</f>
        <v>759.12144000000001</v>
      </c>
      <c r="T66" s="6">
        <f>MEDIA[[#This Row],[NO2-N 
(mg L-1)]]*3.284</f>
        <v>476.40987999999993</v>
      </c>
      <c r="U66" s="6">
        <f>(MEDIA[[#This Row],[NO3-N 
(mg L-1)]])*4.426</f>
        <v>23.590580000000056</v>
      </c>
      <c r="V66" s="6">
        <v>589.38</v>
      </c>
      <c r="W66" s="6">
        <v>145.07</v>
      </c>
      <c r="X66" s="4">
        <f>IF(MEDIA[[#This Row],[TON 
(mg L-1)]]-MEDIA[[#This Row],[NO2-N 
(mg L-1)]]&lt;0,0.192,MEDIA[[#This Row],[TON 
(mg L-1)]]-MEDIA[[#This Row],[NO2-N 
(mg L-1)]])</f>
        <v>5.3300000000000125</v>
      </c>
      <c r="Y66" s="4">
        <f>SUM(MEDIA[[#This Row],[NH4-N 
(mg L-1)]],MEDIA[[#This Row],[NO3-N 
(mg L-1)]],MEDIA[[#This Row],[NO2-N 
(mg L-1)]])</f>
        <v>739.78</v>
      </c>
      <c r="Z66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8.602046415545031E-3</v>
      </c>
      <c r="AA66" s="48">
        <f>IF(IFERROR(MEDIA[[#This Row],[NO2-N 
(mg L-1)]]/MEDIA[[#This Row],[NH4-N 
(mg L-1)]],0)&lt;0,0,IFERROR(MEDIA[[#This Row],[NO2-N 
(mg L-1)]]/MEDIA[[#This Row],[NH4-N 
(mg L-1)]],0))</f>
        <v>0.24614001153754791</v>
      </c>
      <c r="AB66" s="48">
        <f>MEDIA[[#This Row],[NO2-N 
(mg L-1)]]/(MEDIA[[#This Row],[NO3-N 
(mg L-1)]]+MEDIA[[#This Row],[NO2-N 
(mg L-1)]])</f>
        <v>0.96456117021276588</v>
      </c>
      <c r="AC66" s="20">
        <f>46/14*MEDIA[[#This Row],[NO2-N 
(mg L-1)]]/(EXP(-2300/(MEDIA[[#This Row],[Temp. 
(°C)]]+273))*10^(MEDIA[[#This Row],[pHreactor]]))</f>
        <v>3.2797506444928855E-2</v>
      </c>
      <c r="AD66" s="6">
        <f>17/14*MEDIA[NH4-N 
(mg L-1)]*10^MEDIA[[#This Row],[pHreactor]]/(EXP((6344/(273+MEDIA[[#This Row],[Temp. 
(°C)]])))+10^MEDIA[pHreactor])</f>
        <v>16.403936490185497</v>
      </c>
      <c r="AE66" s="6">
        <f>Influent[[#This Row],[NH4-N (mg L-1)]]*MEDIA[[#This Row],[Flow 
(m3 d-1)]]/(Information!$R$48*Information!$R$49)</f>
        <v>1.4287272784722964</v>
      </c>
      <c r="AF66" s="6">
        <f>(Influent[[#This Row],[NH4-N (mg L-1)]]-MEDIA[[#This Row],[NH4-N 
(mg L-1)]])*MEDIA[[#This Row],[Flow 
(m3 d-1)]]/(Information!$R$48*Information!$R$49)</f>
        <v>0.73223159328949905</v>
      </c>
      <c r="AG66" s="6">
        <f>Influent[[#This Row],[COD (mg L-1)]]*MEDIA[[#This Row],[Flow 
(m3 d-1)]]/(Information!$R$48*Information!$R$49)</f>
        <v>3.2202496557791629</v>
      </c>
      <c r="AH66" s="6">
        <f>(Influent[[#This Row],[COD (mg L-1)]]-MEDIA[[#This Row],[COD 
(mg L-1)]])*MEDIA[[#This Row],[Flow 
(m3 d-1)]]/(Information!$R$48*Information!$R$49)</f>
        <v>1.6662576200545394</v>
      </c>
      <c r="AI66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469.21999999999991</v>
      </c>
      <c r="AJ66" s="6">
        <f>IFERROR(IF(Influent[[#This Row],[COD (mg L-1)]]-MEDIA[[#This Row],[COD 
(mg L-1)]]&lt;0,0,Influent[[#This Row],[COD (mg L-1)]]-MEDIA[[#This Row],[COD 
(mg L-1)]]),0)</f>
        <v>1410</v>
      </c>
      <c r="AK66" s="6">
        <f>IFERROR(IF(Influent[[#This Row],[Alkalinity (mg CaCO3 L-1) ]]-MEDIA[[#This Row],[Alkalinity 
(mg CaCO3 L-1) ]]&lt;0,0,Influent[[#This Row],[Alkalinity (mg CaCO3 L-1) ]]-MEDIA[[#This Row],[Alkalinity 
(mg CaCO3 L-1) ]]),0)</f>
        <v>2723</v>
      </c>
      <c r="AL66" s="6">
        <f>Influent[[#This Row],[COD (mg L-1)]]/MEDIA[[#This Row],[HRT 
(h)]]*24/1000</f>
        <v>1.2880998623116651</v>
      </c>
      <c r="AM66" s="6">
        <f>IF(((MEDIA[[#This Row],[ΔC (mg L-1)]])*24/MEDIA[[#This Row],[HRT 
(h)]]/1000) &lt;0,0, (MEDIA[[#This Row],[ΔC (mg L-1)]])*24/MEDIA[[#This Row],[HRT 
(h)]]/1000)</f>
        <v>0.6665030480218157</v>
      </c>
      <c r="AN66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0.29289263731579962</v>
      </c>
      <c r="AO66" s="6">
        <f>Influent[[#This Row],[TN (mg L-1)]]/MEDIA[[#This Row],[HRT 
(h)]]*24/1000</f>
        <v>0.57158545082835432</v>
      </c>
      <c r="AP66" s="6">
        <f>MEDIA[[#This Row],[NRE 
(%)]]*MEDIA[[#This Row],[NLR 
(kg N m-3 d-1)]]</f>
        <v>0.22189351829957502</v>
      </c>
      <c r="AQ66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0.51250620347394538</v>
      </c>
      <c r="AR66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0.38820707906053592</v>
      </c>
      <c r="AS66" s="48"/>
      <c r="AT66" s="48"/>
      <c r="AU66" s="48"/>
      <c r="AV66" s="6"/>
      <c r="AY66"/>
    </row>
    <row r="67" spans="1:51" x14ac:dyDescent="0.3">
      <c r="A67" s="128">
        <v>43390</v>
      </c>
      <c r="B67" s="29">
        <v>64</v>
      </c>
      <c r="C67" s="42">
        <v>7.9155241229061613</v>
      </c>
      <c r="D67" s="28">
        <f>MEDIA[[#This Row],[Flow 
(L h-1)]]/1000*24</f>
        <v>0.18997257894974787</v>
      </c>
      <c r="E67" s="42">
        <f>IF(IFERROR(Information!$R$47/MEDIA[[#This Row],[Flow 
(m3 d-1)]]*24,0)&lt;0,0,IFERROR(Information!$R$47/MEDIA[[#This Row],[Flow 
(m3 d-1)]]*24,0))</f>
        <v>151.60082659939184</v>
      </c>
      <c r="F67" s="42">
        <v>7.4736808376649897</v>
      </c>
      <c r="G67" s="42">
        <v>1.4242706535664005</v>
      </c>
      <c r="H67" s="41">
        <v>29.969796729228513</v>
      </c>
      <c r="I67" s="130"/>
      <c r="J67" s="130"/>
      <c r="K67">
        <v>975</v>
      </c>
      <c r="L67" s="29">
        <f>MEDIA[[#This Row],[COD 
(mg L-1)]]*Information!$AK$42</f>
        <v>692.25</v>
      </c>
      <c r="M67">
        <v>1649</v>
      </c>
      <c r="N67">
        <v>8.4</v>
      </c>
      <c r="O67">
        <v>38</v>
      </c>
      <c r="P67">
        <v>13</v>
      </c>
      <c r="Q67">
        <v>5.99</v>
      </c>
      <c r="R67">
        <v>59</v>
      </c>
      <c r="S67" s="4">
        <f>MEDIA[[#This Row],[NH4-N 
(mg L-1)]]*1.288</f>
        <v>570.53247999999996</v>
      </c>
      <c r="T67" s="6">
        <f>MEDIA[[#This Row],[NO2-N 
(mg L-1)]]*3.284</f>
        <v>187.33578</v>
      </c>
      <c r="U67" s="6">
        <f>(MEDIA[[#This Row],[NO3-N 
(mg L-1)]])*4.426</f>
        <v>8.6528299999999927</v>
      </c>
      <c r="V67" s="6">
        <v>442.96</v>
      </c>
      <c r="W67" s="6">
        <v>57.045000000000002</v>
      </c>
      <c r="X67" s="4">
        <f>IF(MEDIA[[#This Row],[TON 
(mg L-1)]]-MEDIA[[#This Row],[NO2-N 
(mg L-1)]]&lt;0,0.192,MEDIA[[#This Row],[TON 
(mg L-1)]]-MEDIA[[#This Row],[NO2-N 
(mg L-1)]])</f>
        <v>1.9549999999999983</v>
      </c>
      <c r="Y67" s="4">
        <f>SUM(MEDIA[[#This Row],[NH4-N 
(mg L-1)]],MEDIA[[#This Row],[NO3-N 
(mg L-1)]],MEDIA[[#This Row],[NO2-N 
(mg L-1)]])</f>
        <v>501.96</v>
      </c>
      <c r="Z67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2.4919060850944483E-3</v>
      </c>
      <c r="AA67" s="48">
        <f>IF(IFERROR(MEDIA[[#This Row],[NO2-N 
(mg L-1)]]/MEDIA[[#This Row],[NH4-N 
(mg L-1)]],0)&lt;0,0,IFERROR(MEDIA[[#This Row],[NO2-N 
(mg L-1)]]/MEDIA[[#This Row],[NH4-N 
(mg L-1)]],0))</f>
        <v>0.12878137980856061</v>
      </c>
      <c r="AB67" s="48">
        <f>MEDIA[[#This Row],[NO2-N 
(mg L-1)]]/(MEDIA[[#This Row],[NO3-N 
(mg L-1)]]+MEDIA[[#This Row],[NO2-N 
(mg L-1)]])</f>
        <v>0.96686440677966101</v>
      </c>
      <c r="AC67" s="20">
        <f>46/14*MEDIA[[#This Row],[NO2-N 
(mg L-1)]]/(EXP(-2300/(MEDIA[[#This Row],[Temp. 
(°C)]]+273))*10^(MEDIA[[#This Row],[pHreactor]]))</f>
        <v>1.2477281282881395E-2</v>
      </c>
      <c r="AD67" s="6">
        <f>17/14*MEDIA[NH4-N 
(mg L-1)]*10^MEDIA[[#This Row],[pHreactor]]/(EXP((6344/(273+MEDIA[[#This Row],[Temp. 
(°C)]])))+10^MEDIA[pHreactor])</f>
        <v>12.595567862963984</v>
      </c>
      <c r="AE67" s="6">
        <f>Influent[[#This Row],[NH4-N (mg L-1)]]*MEDIA[[#This Row],[Flow 
(m3 d-1)]]/(Information!$R$48*Information!$R$49)</f>
        <v>0.48581529304336563</v>
      </c>
      <c r="AF67" s="6">
        <f>(Influent[[#This Row],[NH4-N (mg L-1)]]-MEDIA[[#This Row],[NH4-N 
(mg L-1)]])*MEDIA[[#This Row],[Flow 
(m3 d-1)]]/(Information!$R$48*Information!$R$49)</f>
        <v>0.31050226476923998</v>
      </c>
      <c r="AG67" s="6">
        <f>Influent[[#This Row],[COD (mg L-1)]]*MEDIA[[#This Row],[Flow 
(m3 d-1)]]/(Information!$R$48*Information!$R$49)</f>
        <v>1.1160889013297686</v>
      </c>
      <c r="AH67" s="6">
        <f>(Influent[[#This Row],[COD (mg L-1)]]-MEDIA[[#This Row],[COD 
(mg L-1)]])*MEDIA[[#This Row],[Flow 
(m3 d-1)]]/(Information!$R$48*Information!$R$49)</f>
        <v>0.73020710033809333</v>
      </c>
      <c r="AI67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725.54</v>
      </c>
      <c r="AJ67" s="6">
        <f>IFERROR(IF(Influent[[#This Row],[COD (mg L-1)]]-MEDIA[[#This Row],[COD 
(mg L-1)]]&lt;0,0,Influent[[#This Row],[COD (mg L-1)]]-MEDIA[[#This Row],[COD 
(mg L-1)]]),0)</f>
        <v>1845</v>
      </c>
      <c r="AK67" s="6">
        <f>IFERROR(IF(Influent[[#This Row],[Alkalinity (mg CaCO3 L-1) ]]-MEDIA[[#This Row],[Alkalinity 
(mg CaCO3 L-1) ]]&lt;0,0,Influent[[#This Row],[Alkalinity (mg CaCO3 L-1) ]]-MEDIA[[#This Row],[Alkalinity 
(mg CaCO3 L-1) ]]),0)</f>
        <v>2885</v>
      </c>
      <c r="AL67" s="6">
        <f>Influent[[#This Row],[COD (mg L-1)]]/MEDIA[[#This Row],[HRT 
(h)]]*24/1000</f>
        <v>0.44643556053190742</v>
      </c>
      <c r="AM67" s="6">
        <f>IF(((MEDIA[[#This Row],[ΔC (mg L-1)]])*24/MEDIA[[#This Row],[HRT 
(h)]]/1000) &lt;0,0, (MEDIA[[#This Row],[ΔC (mg L-1)]])*24/MEDIA[[#This Row],[HRT 
(h)]]/1000)</f>
        <v>0.29208284013523733</v>
      </c>
      <c r="AN67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0.12420090590769597</v>
      </c>
      <c r="AO67" s="6">
        <f>Influent[[#This Row],[TN (mg L-1)]]/MEDIA[[#This Row],[HRT 
(h)]]*24/1000</f>
        <v>0.19439688200300503</v>
      </c>
      <c r="AP67" s="6">
        <f>MEDIA[[#This Row],[NRE 
(%)]]*MEDIA[[#This Row],[NLR 
(kg N m-3 d-1)]]</f>
        <v>0.11493135222832548</v>
      </c>
      <c r="AQ67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0.63913645621181259</v>
      </c>
      <c r="AR67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0.59122014223740915</v>
      </c>
      <c r="AS67" s="48"/>
      <c r="AT67" s="48"/>
      <c r="AU67" s="48"/>
      <c r="AV67" s="6"/>
      <c r="AY67"/>
    </row>
    <row r="68" spans="1:51" x14ac:dyDescent="0.3">
      <c r="A68" s="128">
        <v>43391</v>
      </c>
      <c r="B68" s="29">
        <v>65</v>
      </c>
      <c r="C68" s="42">
        <v>8.836233079950663</v>
      </c>
      <c r="D68" s="28">
        <f>MEDIA[[#This Row],[Flow 
(L h-1)]]/1000*24</f>
        <v>0.21206959391881591</v>
      </c>
      <c r="E68" s="42">
        <f>IF(IFERROR(Information!$R$47/MEDIA[[#This Row],[Flow 
(m3 d-1)]]*24,0)&lt;0,0,IFERROR(Information!$R$47/MEDIA[[#This Row],[Flow 
(m3 d-1)]]*24,0))</f>
        <v>135.80447563371655</v>
      </c>
      <c r="F68" s="42">
        <v>7.796880210451433</v>
      </c>
      <c r="G68" s="42">
        <v>0.24402030561531801</v>
      </c>
      <c r="H68" s="41">
        <v>30.8651054604771</v>
      </c>
      <c r="I68" s="130">
        <v>718</v>
      </c>
      <c r="J68" s="130">
        <v>199</v>
      </c>
      <c r="K68">
        <v>980</v>
      </c>
      <c r="L68" s="29">
        <f>MEDIA[[#This Row],[COD 
(mg L-1)]]*Information!$AK$42</f>
        <v>695.8</v>
      </c>
      <c r="M68">
        <v>1856</v>
      </c>
      <c r="N68">
        <v>8.3000000000000007</v>
      </c>
      <c r="O68">
        <v>34</v>
      </c>
      <c r="P68">
        <v>13</v>
      </c>
      <c r="Q68">
        <v>6.62</v>
      </c>
      <c r="R68">
        <v>23</v>
      </c>
      <c r="S68" s="4">
        <f>MEDIA[[#This Row],[NH4-N 
(mg L-1)]]*1.288</f>
        <v>641.82328000000007</v>
      </c>
      <c r="T68" s="6">
        <f>MEDIA[[#This Row],[NO2-N 
(mg L-1)]]*3.284</f>
        <v>55.933087999999998</v>
      </c>
      <c r="U68" s="6">
        <f>(MEDIA[[#This Row],[NO3-N 
(mg L-1)]])*4.426</f>
        <v>26.414368</v>
      </c>
      <c r="V68" s="6">
        <v>498.31</v>
      </c>
      <c r="W68" s="6">
        <v>17.032</v>
      </c>
      <c r="X68" s="4">
        <f>IF(MEDIA[[#This Row],[TON 
(mg L-1)]]-MEDIA[[#This Row],[NO2-N 
(mg L-1)]]&lt;0,0.192,MEDIA[[#This Row],[TON 
(mg L-1)]]-MEDIA[[#This Row],[NO2-N 
(mg L-1)]])</f>
        <v>5.968</v>
      </c>
      <c r="Y68" s="4">
        <f>SUM(MEDIA[[#This Row],[NH4-N 
(mg L-1)]],MEDIA[[#This Row],[NO3-N 
(mg L-1)]],MEDIA[[#This Row],[NO2-N 
(mg L-1)]])</f>
        <v>521.31000000000006</v>
      </c>
      <c r="Z68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8.2001676307726125E-3</v>
      </c>
      <c r="AA68" s="48">
        <f>IF(IFERROR(MEDIA[[#This Row],[NO2-N 
(mg L-1)]]/MEDIA[[#This Row],[NH4-N 
(mg L-1)]],0)&lt;0,0,IFERROR(MEDIA[[#This Row],[NO2-N 
(mg L-1)]]/MEDIA[[#This Row],[NH4-N 
(mg L-1)]],0))</f>
        <v>3.4179526800585981E-2</v>
      </c>
      <c r="AB68" s="48">
        <f>MEDIA[[#This Row],[NO2-N 
(mg L-1)]]/(MEDIA[[#This Row],[NO3-N 
(mg L-1)]]+MEDIA[[#This Row],[NO2-N 
(mg L-1)]])</f>
        <v>0.74052173913043473</v>
      </c>
      <c r="AC68" s="20">
        <f>46/14*MEDIA[[#This Row],[NO2-N 
(mg L-1)]]/(EXP(-2300/(MEDIA[[#This Row],[Temp. 
(°C)]]+273))*10^(MEDIA[[#This Row],[pHreactor]]))</f>
        <v>1.7308303703537121E-3</v>
      </c>
      <c r="AD68" s="6">
        <f>17/14*MEDIA[NH4-N 
(mg L-1)]*10^MEDIA[[#This Row],[pHreactor]]/(EXP((6344/(273+MEDIA[[#This Row],[Temp. 
(°C)]])))+10^MEDIA[pHreactor])</f>
        <v>30.826789004539517</v>
      </c>
      <c r="AE68" s="6">
        <f>Influent[[#This Row],[NH4-N (mg L-1)]]*MEDIA[[#This Row],[Flow 
(m3 d-1)]]/(Information!$R$48*Information!$R$49)</f>
        <v>0.54170526896637528</v>
      </c>
      <c r="AF68" s="6">
        <f>(Influent[[#This Row],[NH4-N (mg L-1)]]-MEDIA[[#This Row],[NH4-N 
(mg L-1)]])*MEDIA[[#This Row],[Flow 
(m3 d-1)]]/(Information!$R$48*Information!$R$49)</f>
        <v>0.32154610366286462</v>
      </c>
      <c r="AG68" s="6">
        <f>Influent[[#This Row],[COD (mg L-1)]]*MEDIA[[#This Row],[Flow 
(m3 d-1)]]/(Information!$R$48*Information!$R$49)</f>
        <v>1.2790447383228585</v>
      </c>
      <c r="AH68" s="6">
        <f>(Influent[[#This Row],[COD (mg L-1)]]-MEDIA[[#This Row],[COD 
(mg L-1)]])*MEDIA[[#This Row],[Flow 
(m3 d-1)]]/(Information!$R$48*Information!$R$49)</f>
        <v>0.84606931740527591</v>
      </c>
      <c r="AI68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704.79</v>
      </c>
      <c r="AJ68" s="6">
        <f>IFERROR(IF(Influent[[#This Row],[COD (mg L-1)]]-MEDIA[[#This Row],[COD 
(mg L-1)]]&lt;0,0,Influent[[#This Row],[COD (mg L-1)]]-MEDIA[[#This Row],[COD 
(mg L-1)]]),0)</f>
        <v>1915</v>
      </c>
      <c r="AK68" s="6">
        <f>IFERROR(IF(Influent[[#This Row],[Alkalinity (mg CaCO3 L-1) ]]-MEDIA[[#This Row],[Alkalinity 
(mg CaCO3 L-1) ]]&lt;0,0,Influent[[#This Row],[Alkalinity (mg CaCO3 L-1) ]]-MEDIA[[#This Row],[Alkalinity 
(mg CaCO3 L-1) ]]),0)</f>
        <v>2773</v>
      </c>
      <c r="AL68" s="6">
        <f>Influent[[#This Row],[COD (mg L-1)]]/MEDIA[[#This Row],[HRT 
(h)]]*24/1000</f>
        <v>0.51161789532914348</v>
      </c>
      <c r="AM68" s="6">
        <f>IF(((MEDIA[[#This Row],[ΔC (mg L-1)]])*24/MEDIA[[#This Row],[HRT 
(h)]]/1000) &lt;0,0, (MEDIA[[#This Row],[ΔC (mg L-1)]])*24/MEDIA[[#This Row],[HRT 
(h)]]/1000)</f>
        <v>0.33842772696211038</v>
      </c>
      <c r="AN68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0.12861844146514584</v>
      </c>
      <c r="AO68" s="6">
        <f>Influent[[#This Row],[TN (mg L-1)]]/MEDIA[[#This Row],[HRT 
(h)]]*24/1000</f>
        <v>0.21671745251886995</v>
      </c>
      <c r="AP68" s="6">
        <f>MEDIA[[#This Row],[NRE 
(%)]]*MEDIA[[#This Row],[NLR 
(kg N m-3 d-1)]]</f>
        <v>0.12458911918068834</v>
      </c>
      <c r="AQ68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0.59358127395807847</v>
      </c>
      <c r="AR68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0.57489195139851579</v>
      </c>
      <c r="AS68" s="48"/>
      <c r="AT68" s="48"/>
      <c r="AU68" s="48"/>
      <c r="AV68" s="6"/>
      <c r="AY68"/>
    </row>
    <row r="69" spans="1:51" x14ac:dyDescent="0.3">
      <c r="A69" s="128">
        <v>43392</v>
      </c>
      <c r="B69" s="29">
        <v>66</v>
      </c>
      <c r="C69" s="42">
        <v>9.2482536438230589</v>
      </c>
      <c r="D69" s="28">
        <f>MEDIA[[#This Row],[Flow 
(L h-1)]]/1000*24</f>
        <v>0.22195808745175341</v>
      </c>
      <c r="E69" s="42">
        <f>IF(IFERROR(Information!$R$47/MEDIA[[#This Row],[Flow 
(m3 d-1)]]*24,0)&lt;0,0,IFERROR(Information!$R$47/MEDIA[[#This Row],[Flow 
(m3 d-1)]]*24,0))</f>
        <v>129.75422671300589</v>
      </c>
      <c r="F69" s="42">
        <v>7.8244461976832209</v>
      </c>
      <c r="G69" s="42">
        <v>0.32461081209363973</v>
      </c>
      <c r="H69" s="41">
        <v>30.900310206520849</v>
      </c>
      <c r="I69" s="41">
        <f>stableMED[[#This Row],[MLVSS 
(mg L-1)]]/0.41</f>
        <v>682.92682926829275</v>
      </c>
      <c r="J69" s="130">
        <f>140*2</f>
        <v>280</v>
      </c>
      <c r="K69">
        <v>1015</v>
      </c>
      <c r="L69" s="29">
        <f>MEDIA[[#This Row],[COD 
(mg L-1)]]*Information!$AK$42</f>
        <v>720.65</v>
      </c>
      <c r="M69">
        <v>2077</v>
      </c>
      <c r="N69">
        <v>8.4</v>
      </c>
      <c r="O69">
        <v>50</v>
      </c>
      <c r="Q69">
        <v>7.44</v>
      </c>
      <c r="R69">
        <v>10.5</v>
      </c>
      <c r="S69" s="4">
        <f>MEDIA[[#This Row],[NH4-N 
(mg L-1)]]*1.288</f>
        <v>682.57560000000012</v>
      </c>
      <c r="T69" s="6">
        <f>MEDIA[[#This Row],[NO2-N 
(mg L-1)]]*3.284</f>
        <v>50.494783999999996</v>
      </c>
      <c r="U69" s="6">
        <f>(MEDIA[[#This Row],[NO3-N 
(mg L-1)]])*4.426</f>
        <v>0.8497920000000001</v>
      </c>
      <c r="V69" s="6">
        <v>529.95000000000005</v>
      </c>
      <c r="W69" s="6">
        <v>15.375999999999999</v>
      </c>
      <c r="X69" s="4">
        <f>IF(MEDIA[[#This Row],[TON 
(mg L-1)]]-MEDIA[[#This Row],[NO2-N 
(mg L-1)]]&lt;0,0.192,MEDIA[[#This Row],[TON 
(mg L-1)]]-MEDIA[[#This Row],[NO2-N 
(mg L-1)]])</f>
        <v>0.192</v>
      </c>
      <c r="Y69" s="4">
        <f>SUM(MEDIA[[#This Row],[NH4-N 
(mg L-1)]],MEDIA[[#This Row],[NO3-N 
(mg L-1)]],MEDIA[[#This Row],[NO2-N 
(mg L-1)]])</f>
        <v>545.51800000000003</v>
      </c>
      <c r="Z69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2.7791850618802931E-4</v>
      </c>
      <c r="AA69" s="48">
        <f>IF(IFERROR(MEDIA[[#This Row],[NO2-N 
(mg L-1)]]/MEDIA[[#This Row],[NH4-N 
(mg L-1)]],0)&lt;0,0,IFERROR(MEDIA[[#This Row],[NO2-N 
(mg L-1)]]/MEDIA[[#This Row],[NH4-N 
(mg L-1)]],0))</f>
        <v>2.9014057929993391E-2</v>
      </c>
      <c r="AB69" s="48">
        <f>MEDIA[[#This Row],[NO2-N 
(mg L-1)]]/(MEDIA[[#This Row],[NO3-N 
(mg L-1)]]+MEDIA[[#This Row],[NO2-N 
(mg L-1)]])</f>
        <v>0.98766700924974304</v>
      </c>
      <c r="AC69" s="20">
        <f>46/14*MEDIA[[#This Row],[NO2-N 
(mg L-1)]]/(EXP(-2300/(MEDIA[[#This Row],[Temp. 
(°C)]]+273))*10^(MEDIA[[#This Row],[pHreactor]]))</f>
        <v>1.4651612961863797E-3</v>
      </c>
      <c r="AD69" s="6">
        <f>17/14*MEDIA[NH4-N 
(mg L-1)]*10^MEDIA[[#This Row],[pHreactor]]/(EXP((6344/(273+MEDIA[[#This Row],[Temp. 
(°C)]])))+10^MEDIA[pHreactor])</f>
        <v>34.895992260954301</v>
      </c>
      <c r="AE69" s="6">
        <f>Influent[[#This Row],[NH4-N (mg L-1)]]*MEDIA[[#This Row],[Flow 
(m3 d-1)]]/(Information!$R$48*Information!$R$49)</f>
        <v>0.56451340241895953</v>
      </c>
      <c r="AF69" s="6">
        <f>(Influent[[#This Row],[NH4-N (mg L-1)]]-MEDIA[[#This Row],[NH4-N 
(mg L-1)]])*MEDIA[[#This Row],[Flow 
(m3 d-1)]]/(Information!$R$48*Information!$R$49)</f>
        <v>0.31945780149175795</v>
      </c>
      <c r="AG69" s="6">
        <f>Influent[[#This Row],[COD (mg L-1)]]*MEDIA[[#This Row],[Flow 
(m3 d-1)]]/(Information!$R$48*Information!$R$49)</f>
        <v>1.276259002847582</v>
      </c>
      <c r="AH69" s="6">
        <f>(Influent[[#This Row],[COD (mg L-1)]]-MEDIA[[#This Row],[COD 
(mg L-1)]])*MEDIA[[#This Row],[Flow 
(m3 d-1)]]/(Information!$R$48*Information!$R$49)</f>
        <v>0.80691013042356186</v>
      </c>
      <c r="AI69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675.28199999999993</v>
      </c>
      <c r="AJ69" s="6">
        <f>IFERROR(IF(Influent[[#This Row],[COD (mg L-1)]]-MEDIA[[#This Row],[COD 
(mg L-1)]]&lt;0,0,Influent[[#This Row],[COD (mg L-1)]]-MEDIA[[#This Row],[COD 
(mg L-1)]]),0)</f>
        <v>1745</v>
      </c>
      <c r="AK69" s="6">
        <f>IFERROR(IF(Influent[[#This Row],[Alkalinity (mg CaCO3 L-1) ]]-MEDIA[[#This Row],[Alkalinity 
(mg CaCO3 L-1) ]]&lt;0,0,Influent[[#This Row],[Alkalinity (mg CaCO3 L-1) ]]-MEDIA[[#This Row],[Alkalinity 
(mg CaCO3 L-1) ]]),0)</f>
        <v>2435</v>
      </c>
      <c r="AL69" s="6">
        <f>Influent[[#This Row],[COD (mg L-1)]]/MEDIA[[#This Row],[HRT 
(h)]]*24/1000</f>
        <v>0.51050360113903281</v>
      </c>
      <c r="AM69" s="6">
        <f>IF(((MEDIA[[#This Row],[ΔC (mg L-1)]])*24/MEDIA[[#This Row],[HRT 
(h)]]/1000) &lt;0,0, (MEDIA[[#This Row],[ΔC (mg L-1)]])*24/MEDIA[[#This Row],[HRT 
(h)]]/1000)</f>
        <v>0.32276405216942478</v>
      </c>
      <c r="AN69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0.12778312059670319</v>
      </c>
      <c r="AO69" s="6">
        <f>Influent[[#This Row],[TN (mg L-1)]]/MEDIA[[#This Row],[HRT 
(h)]]*24/1000</f>
        <v>0.22584235398215913</v>
      </c>
      <c r="AP69" s="6">
        <f>MEDIA[[#This Row],[NRE 
(%)]]*MEDIA[[#This Row],[NLR 
(kg N m-3 d-1)]]</f>
        <v>0.12494057735673778</v>
      </c>
      <c r="AQ69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0.56589941022280466</v>
      </c>
      <c r="AR69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0.55322031122031123</v>
      </c>
      <c r="AS69" s="48">
        <f>48/30</f>
        <v>1.6</v>
      </c>
      <c r="AT69" s="48">
        <v>1.2609999999999999</v>
      </c>
      <c r="AU69" s="48">
        <v>0.64700000000000002</v>
      </c>
      <c r="AV69" s="6">
        <f>stableMED[[#This Row],[SAAcarrier
(g N g VSS-1d-1)]]+stableMED[[#This Row],[SAAsuspension
(g N g VSS-1d-1)]]</f>
        <v>1.9079999999999999</v>
      </c>
      <c r="AY69"/>
    </row>
    <row r="70" spans="1:51" x14ac:dyDescent="0.3">
      <c r="A70" s="128">
        <v>43393</v>
      </c>
      <c r="B70" s="29">
        <v>67</v>
      </c>
      <c r="C70" s="42">
        <v>9.4499305777564633</v>
      </c>
      <c r="D70" s="28">
        <f>MEDIA[[#This Row],[Flow 
(L h-1)]]/1000*24</f>
        <v>0.22679833386615511</v>
      </c>
      <c r="E70" s="42">
        <f>IF(IFERROR(Information!$R$47/MEDIA[[#This Row],[Flow 
(m3 d-1)]]*24,0)&lt;0,0,IFERROR(Information!$R$47/MEDIA[[#This Row],[Flow 
(m3 d-1)]]*24,0))</f>
        <v>126.98505985055561</v>
      </c>
      <c r="F70" s="42">
        <v>7.8067275270411063</v>
      </c>
      <c r="G70" s="42">
        <v>0.31200537969723874</v>
      </c>
      <c r="H70" s="41">
        <v>30.853061006698951</v>
      </c>
      <c r="I70" s="130"/>
      <c r="J70" s="130"/>
      <c r="K70">
        <v>1050</v>
      </c>
      <c r="L70" s="29">
        <f>MEDIA[[#This Row],[COD 
(mg L-1)]]*Information!$AK$42</f>
        <v>745.5</v>
      </c>
      <c r="M70">
        <v>2252</v>
      </c>
      <c r="N70">
        <v>8.3000000000000007</v>
      </c>
      <c r="O70">
        <v>43.3</v>
      </c>
      <c r="Q70">
        <v>8.02</v>
      </c>
      <c r="R70">
        <v>6.6</v>
      </c>
      <c r="S70" s="4">
        <f>MEDIA[[#This Row],[NH4-N 
(mg L-1)]]*1.288</f>
        <v>746.71800000000007</v>
      </c>
      <c r="T70" s="6">
        <f>MEDIA[[#This Row],[NO2-N 
(mg L-1)]]*3.284</f>
        <v>14.705751999999999</v>
      </c>
      <c r="U70" s="6">
        <f>(MEDIA[[#This Row],[NO3-N 
(mg L-1)]])*4.426</f>
        <v>9.3919719999999991</v>
      </c>
      <c r="V70" s="6">
        <v>579.75</v>
      </c>
      <c r="W70" s="6">
        <v>4.4779999999999998</v>
      </c>
      <c r="X70" s="4">
        <f>IF(MEDIA[[#This Row],[TON 
(mg L-1)]]-MEDIA[[#This Row],[NO2-N 
(mg L-1)]]&lt;0,0.192,MEDIA[[#This Row],[TON 
(mg L-1)]]-MEDIA[[#This Row],[NO2-N 
(mg L-1)]])</f>
        <v>2.1219999999999999</v>
      </c>
      <c r="Y70" s="4">
        <f>SUM(MEDIA[[#This Row],[NH4-N 
(mg L-1)]],MEDIA[[#This Row],[NO3-N 
(mg L-1)]],MEDIA[[#This Row],[NO2-N 
(mg L-1)]])</f>
        <v>586.34999999999991</v>
      </c>
      <c r="Z70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3.2578490826744456E-3</v>
      </c>
      <c r="AA70" s="48">
        <f>IF(IFERROR(MEDIA[[#This Row],[NO2-N 
(mg L-1)]]/MEDIA[[#This Row],[NH4-N 
(mg L-1)]],0)&lt;0,0,IFERROR(MEDIA[[#This Row],[NO2-N 
(mg L-1)]]/MEDIA[[#This Row],[NH4-N 
(mg L-1)]],0))</f>
        <v>7.7240189736955582E-3</v>
      </c>
      <c r="AB70" s="48">
        <f>MEDIA[[#This Row],[NO2-N 
(mg L-1)]]/(MEDIA[[#This Row],[NO3-N 
(mg L-1)]]+MEDIA[[#This Row],[NO2-N 
(mg L-1)]])</f>
        <v>0.67848484848484847</v>
      </c>
      <c r="AC70" s="20">
        <f>46/14*MEDIA[[#This Row],[NO2-N 
(mg L-1)]]/(EXP(-2300/(MEDIA[[#This Row],[Temp. 
(°C)]]+273))*10^(MEDIA[[#This Row],[pHreactor]]))</f>
        <v>4.4499582291710957E-4</v>
      </c>
      <c r="AD70" s="6">
        <f>17/14*MEDIA[NH4-N 
(mg L-1)]*10^MEDIA[[#This Row],[pHreactor]]/(EXP((6344/(273+MEDIA[[#This Row],[Temp. 
(°C)]])))+10^MEDIA[pHreactor])</f>
        <v>36.615834707482406</v>
      </c>
      <c r="AE70" s="6">
        <f>Influent[[#This Row],[NH4-N (mg L-1)]]*MEDIA[[#This Row],[Flow 
(m3 d-1)]]/(Information!$R$48*Information!$R$49)</f>
        <v>0.58169047671379903</v>
      </c>
      <c r="AF70" s="6">
        <f>(Influent[[#This Row],[NH4-N (mg L-1)]]-MEDIA[[#This Row],[NH4-N 
(mg L-1)]])*MEDIA[[#This Row],[Flow 
(m3 d-1)]]/(Information!$R$48*Information!$R$49)</f>
        <v>0.30776061409108357</v>
      </c>
      <c r="AG70" s="6">
        <f>Influent[[#This Row],[COD (mg L-1)]]*MEDIA[[#This Row],[Flow 
(m3 d-1)]]/(Information!$R$48*Information!$R$49)</f>
        <v>1.3513400726191742</v>
      </c>
      <c r="AH70" s="6">
        <f>(Influent[[#This Row],[COD (mg L-1)]]-MEDIA[[#This Row],[COD 
(mg L-1)]])*MEDIA[[#This Row],[Flow 
(m3 d-1)]]/(Information!$R$48*Information!$R$49)</f>
        <v>0.85521871728695986</v>
      </c>
      <c r="AI70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644.75</v>
      </c>
      <c r="AJ70" s="6">
        <f>IFERROR(IF(Influent[[#This Row],[COD (mg L-1)]]-MEDIA[[#This Row],[COD 
(mg L-1)]]&lt;0,0,Influent[[#This Row],[COD (mg L-1)]]-MEDIA[[#This Row],[COD 
(mg L-1)]]),0)</f>
        <v>1810</v>
      </c>
      <c r="AK70" s="6">
        <f>IFERROR(IF(Influent[[#This Row],[Alkalinity (mg CaCO3 L-1) ]]-MEDIA[[#This Row],[Alkalinity 
(mg CaCO3 L-1) ]]&lt;0,0,Influent[[#This Row],[Alkalinity (mg CaCO3 L-1) ]]-MEDIA[[#This Row],[Alkalinity 
(mg CaCO3 L-1) ]]),0)</f>
        <v>2239</v>
      </c>
      <c r="AL70" s="6">
        <f>Influent[[#This Row],[COD (mg L-1)]]/MEDIA[[#This Row],[HRT 
(h)]]*24/1000</f>
        <v>0.54053602904766962</v>
      </c>
      <c r="AM70" s="6">
        <f>IF(((MEDIA[[#This Row],[ΔC (mg L-1)]])*24/MEDIA[[#This Row],[HRT 
(h)]]/1000) &lt;0,0, (MEDIA[[#This Row],[ΔC (mg L-1)]])*24/MEDIA[[#This Row],[HRT 
(h)]]/1000)</f>
        <v>0.34208748691478391</v>
      </c>
      <c r="AN70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0.12310424563643341</v>
      </c>
      <c r="AO70" s="6">
        <f>Influent[[#This Row],[TN (mg L-1)]]/MEDIA[[#This Row],[HRT 
(h)]]*24/1000</f>
        <v>0.2342949637934893</v>
      </c>
      <c r="AP70" s="6">
        <f>MEDIA[[#This Row],[NRE 
(%)]]*MEDIA[[#This Row],[NLR 
(kg N m-3 d-1)]]</f>
        <v>0.12347562790813928</v>
      </c>
      <c r="AQ70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0.52907968483470069</v>
      </c>
      <c r="AR70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0.52700931299988307</v>
      </c>
      <c r="AS70" s="48"/>
      <c r="AT70" s="48"/>
      <c r="AU70" s="48"/>
      <c r="AV70" s="6"/>
      <c r="AY70"/>
    </row>
    <row r="71" spans="1:51" x14ac:dyDescent="0.3">
      <c r="A71" s="128">
        <v>43394</v>
      </c>
      <c r="B71" s="29">
        <v>68</v>
      </c>
      <c r="C71" s="42">
        <v>11.537345973785781</v>
      </c>
      <c r="D71" s="28">
        <f>MEDIA[[#This Row],[Flow 
(L h-1)]]/1000*24</f>
        <v>0.27689630337085874</v>
      </c>
      <c r="E71" s="42">
        <f>IF(IFERROR(Information!$R$47/MEDIA[[#This Row],[Flow 
(m3 d-1)]]*24,0)&lt;0,0,IFERROR(Information!$R$47/MEDIA[[#This Row],[Flow 
(m3 d-1)]]*24,0))</f>
        <v>104.01005592850751</v>
      </c>
      <c r="F71" s="42">
        <v>7.7782950412891925</v>
      </c>
      <c r="G71" s="42">
        <v>0.40876518529204603</v>
      </c>
      <c r="H71" s="41">
        <v>30.879448339534441</v>
      </c>
      <c r="I71" s="130"/>
      <c r="J71" s="130"/>
      <c r="K71">
        <v>1075</v>
      </c>
      <c r="L71" s="29">
        <f>MEDIA[[#This Row],[COD 
(mg L-1)]]*Information!$AK$42</f>
        <v>763.25</v>
      </c>
      <c r="M71">
        <v>2291</v>
      </c>
      <c r="N71">
        <v>8.4</v>
      </c>
      <c r="O71">
        <v>70</v>
      </c>
      <c r="Q71">
        <v>8.9</v>
      </c>
      <c r="R71">
        <v>5.5</v>
      </c>
      <c r="S71" s="4">
        <f>MEDIA[[#This Row],[NH4-N 
(mg L-1)]]*1.288</f>
        <v>788.03704000000005</v>
      </c>
      <c r="T71" s="6">
        <f>MEDIA[[#This Row],[NO2-N 
(mg L-1)]]*3.284</f>
        <v>14.420043999999999</v>
      </c>
      <c r="U71" s="6">
        <f>(MEDIA[[#This Row],[NO3-N 
(mg L-1)]])*4.426</f>
        <v>4.9084339999999997</v>
      </c>
      <c r="V71" s="6">
        <v>611.83000000000004</v>
      </c>
      <c r="W71" s="6">
        <v>4.391</v>
      </c>
      <c r="X71" s="4">
        <f>IF(MEDIA[[#This Row],[TON 
(mg L-1)]]-MEDIA[[#This Row],[NO2-N 
(mg L-1)]]&lt;0,0.192,MEDIA[[#This Row],[TON 
(mg L-1)]]-MEDIA[[#This Row],[NO2-N 
(mg L-1)]])</f>
        <v>1.109</v>
      </c>
      <c r="Y71" s="4">
        <f>SUM(MEDIA[[#This Row],[NH4-N 
(mg L-1)]],MEDIA[[#This Row],[NO3-N 
(mg L-1)]],MEDIA[[#This Row],[NO2-N 
(mg L-1)]])</f>
        <v>617.33000000000004</v>
      </c>
      <c r="Z71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1.8190168451785393E-3</v>
      </c>
      <c r="AA71" s="48">
        <f>IF(IFERROR(MEDIA[[#This Row],[NO2-N 
(mg L-1)]]/MEDIA[[#This Row],[NH4-N 
(mg L-1)]],0)&lt;0,0,IFERROR(MEDIA[[#This Row],[NO2-N 
(mg L-1)]]/MEDIA[[#This Row],[NH4-N 
(mg L-1)]],0))</f>
        <v>7.1768301652419784E-3</v>
      </c>
      <c r="AB71" s="48">
        <f>MEDIA[[#This Row],[NO2-N 
(mg L-1)]]/(MEDIA[[#This Row],[NO3-N 
(mg L-1)]]+MEDIA[[#This Row],[NO2-N 
(mg L-1)]])</f>
        <v>0.79836363636363639</v>
      </c>
      <c r="AC71" s="20">
        <f>46/14*MEDIA[[#This Row],[NO2-N 
(mg L-1)]]/(EXP(-2300/(MEDIA[[#This Row],[Temp. 
(°C)]]+273))*10^(MEDIA[[#This Row],[pHreactor]]))</f>
        <v>4.655671289595832E-4</v>
      </c>
      <c r="AD71" s="6">
        <f>17/14*MEDIA[NH4-N 
(mg L-1)]*10^MEDIA[[#This Row],[pHreactor]]/(EXP((6344/(273+MEDIA[[#This Row],[Temp. 
(°C)]])))+10^MEDIA[pHreactor])</f>
        <v>36.375515178946017</v>
      </c>
      <c r="AE71" s="6">
        <f>Influent[[#This Row],[NH4-N (mg L-1)]]*MEDIA[[#This Row],[Flow 
(m3 d-1)]]/(Information!$R$48*Information!$R$49)</f>
        <v>0.70464340534896652</v>
      </c>
      <c r="AF71" s="6">
        <f>(Influent[[#This Row],[NH4-N (mg L-1)]]-MEDIA[[#This Row],[NH4-N 
(mg L-1)]])*MEDIA[[#This Row],[Flow 
(m3 d-1)]]/(Information!$R$48*Information!$R$49)</f>
        <v>0.3516986859918988</v>
      </c>
      <c r="AG71" s="6">
        <f>Influent[[#This Row],[COD (mg L-1)]]*MEDIA[[#This Row],[Flow 
(m3 d-1)]]/(Information!$R$48*Information!$R$49)</f>
        <v>1.5604260429545269</v>
      </c>
      <c r="AH71" s="6">
        <f>(Influent[[#This Row],[COD (mg L-1)]]-MEDIA[[#This Row],[COD 
(mg L-1)]])*MEDIA[[#This Row],[Flow 
(m3 d-1)]]/(Information!$R$48*Information!$R$49)</f>
        <v>0.94029369686354114</v>
      </c>
      <c r="AI71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604.16999999999996</v>
      </c>
      <c r="AJ71" s="6">
        <f>IFERROR(IF(Influent[[#This Row],[COD (mg L-1)]]-MEDIA[[#This Row],[COD 
(mg L-1)]]&lt;0,0,Influent[[#This Row],[COD (mg L-1)]]-MEDIA[[#This Row],[COD 
(mg L-1)]]),0)</f>
        <v>1630</v>
      </c>
      <c r="AK71" s="6">
        <f>IFERROR(IF(Influent[[#This Row],[Alkalinity (mg CaCO3 L-1) ]]-MEDIA[[#This Row],[Alkalinity 
(mg CaCO3 L-1) ]]&lt;0,0,Influent[[#This Row],[Alkalinity (mg CaCO3 L-1) ]]-MEDIA[[#This Row],[Alkalinity 
(mg CaCO3 L-1) ]]),0)</f>
        <v>2175</v>
      </c>
      <c r="AL71" s="6">
        <f>Influent[[#This Row],[COD (mg L-1)]]/MEDIA[[#This Row],[HRT 
(h)]]*24/1000</f>
        <v>0.62417041718181077</v>
      </c>
      <c r="AM71" s="6">
        <f>IF(((MEDIA[[#This Row],[ΔC (mg L-1)]])*24/MEDIA[[#This Row],[HRT 
(h)]]/1000) &lt;0,0, (MEDIA[[#This Row],[ΔC (mg L-1)]])*24/MEDIA[[#This Row],[HRT 
(h)]]/1000)</f>
        <v>0.37611747874541646</v>
      </c>
      <c r="AN71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0.14067947439675954</v>
      </c>
      <c r="AO71" s="6">
        <f>Influent[[#This Row],[TN (mg L-1)]]/MEDIA[[#This Row],[HRT 
(h)]]*24/1000</f>
        <v>0.28190351152348175</v>
      </c>
      <c r="AP71" s="6">
        <f>MEDIA[[#This Row],[NRE 
(%)]]*MEDIA[[#This Row],[NLR 
(kg N m-3 d-1)]]</f>
        <v>0.13945651572353823</v>
      </c>
      <c r="AQ71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0.49911584117887842</v>
      </c>
      <c r="AR71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0.49469591552754355</v>
      </c>
      <c r="AS71" s="48"/>
      <c r="AT71" s="48"/>
      <c r="AU71" s="48"/>
      <c r="AV71" s="6"/>
      <c r="AY71"/>
    </row>
    <row r="72" spans="1:51" x14ac:dyDescent="0.3">
      <c r="A72" s="128">
        <v>43395</v>
      </c>
      <c r="B72" s="29">
        <v>69</v>
      </c>
      <c r="C72" s="42">
        <v>15.232037486652665</v>
      </c>
      <c r="D72" s="28">
        <f>MEDIA[[#This Row],[Flow 
(L h-1)]]/1000*24</f>
        <v>0.36556889967966394</v>
      </c>
      <c r="E72" s="42">
        <f>IF(IFERROR(Information!$R$47/MEDIA[[#This Row],[Flow 
(m3 d-1)]]*24,0)&lt;0,0,IFERROR(Information!$R$47/MEDIA[[#This Row],[Flow 
(m3 d-1)]]*24,0))</f>
        <v>78.781318720592736</v>
      </c>
      <c r="F72" s="42">
        <v>7.75656460672979</v>
      </c>
      <c r="G72" s="42">
        <v>0.47933009363573814</v>
      </c>
      <c r="H72" s="41">
        <v>30.898301408920631</v>
      </c>
      <c r="I72" s="130"/>
      <c r="J72" s="130"/>
      <c r="K72">
        <v>1055</v>
      </c>
      <c r="L72" s="29">
        <f>MEDIA[[#This Row],[COD 
(mg L-1)]]*Information!$AK$42</f>
        <v>749.05</v>
      </c>
      <c r="M72">
        <v>2338</v>
      </c>
      <c r="N72">
        <v>8.4</v>
      </c>
      <c r="O72">
        <v>63.3</v>
      </c>
      <c r="Q72">
        <v>8.35</v>
      </c>
      <c r="R72">
        <v>12.2</v>
      </c>
      <c r="S72" s="4">
        <f>MEDIA[[#This Row],[NH4-N 
(mg L-1)]]*1.288</f>
        <v>784.54656</v>
      </c>
      <c r="T72" s="6">
        <f>MEDIA[[#This Row],[NO2-N 
(mg L-1)]]*3.284</f>
        <v>28.406600000000001</v>
      </c>
      <c r="U72" s="6">
        <f>(MEDIA[[#This Row],[NO3-N 
(mg L-1)]])*4.426</f>
        <v>15.712299999999995</v>
      </c>
      <c r="V72" s="6">
        <v>609.12</v>
      </c>
      <c r="W72" s="6">
        <v>8.65</v>
      </c>
      <c r="X72" s="4">
        <f>IF(MEDIA[[#This Row],[TON 
(mg L-1)]]-MEDIA[[#This Row],[NO2-N 
(mg L-1)]]&lt;0,0.192,MEDIA[[#This Row],[TON 
(mg L-1)]]-MEDIA[[#This Row],[NO2-N 
(mg L-1)]])</f>
        <v>3.5499999999999989</v>
      </c>
      <c r="Y72" s="4">
        <f>SUM(MEDIA[[#This Row],[NH4-N 
(mg L-1)]],MEDIA[[#This Row],[NO3-N 
(mg L-1)]],MEDIA[[#This Row],[NO2-N 
(mg L-1)]])</f>
        <v>621.31999999999994</v>
      </c>
      <c r="Z72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5.5306287779647266E-3</v>
      </c>
      <c r="AA72" s="48">
        <f>IF(IFERROR(MEDIA[[#This Row],[NO2-N 
(mg L-1)]]/MEDIA[[#This Row],[NH4-N 
(mg L-1)]],0)&lt;0,0,IFERROR(MEDIA[[#This Row],[NO2-N 
(mg L-1)]]/MEDIA[[#This Row],[NH4-N 
(mg L-1)]],0))</f>
        <v>1.4200814289466773E-2</v>
      </c>
      <c r="AB72" s="48">
        <f>MEDIA[[#This Row],[NO2-N 
(mg L-1)]]/(MEDIA[[#This Row],[NO3-N 
(mg L-1)]]+MEDIA[[#This Row],[NO2-N 
(mg L-1)]])</f>
        <v>0.70901639344262302</v>
      </c>
      <c r="AC72" s="20">
        <f>46/14*MEDIA[[#This Row],[NO2-N 
(mg L-1)]]/(EXP(-2300/(MEDIA[[#This Row],[Temp. 
(°C)]]+273))*10^(MEDIA[[#This Row],[pHreactor]]))</f>
        <v>9.6374356742310729E-4</v>
      </c>
      <c r="AD72" s="6">
        <f>17/14*MEDIA[NH4-N 
(mg L-1)]*10^MEDIA[[#This Row],[pHreactor]]/(EXP((6344/(273+MEDIA[[#This Row],[Temp. 
(°C)]])))+10^MEDIA[pHreactor])</f>
        <v>34.57212141944521</v>
      </c>
      <c r="AE72" s="6">
        <f>Influent[[#This Row],[NH4-N (mg L-1)]]*MEDIA[[#This Row],[Flow 
(m3 d-1)]]/(Information!$R$48*Information!$R$49)</f>
        <v>0.95276394479012416</v>
      </c>
      <c r="AF72" s="6">
        <f>(Influent[[#This Row],[NH4-N (mg L-1)]]-MEDIA[[#This Row],[NH4-N 
(mg L-1)]])*MEDIA[[#This Row],[Flow 
(m3 d-1)]]/(Information!$R$48*Information!$R$49)</f>
        <v>0.4888570110966306</v>
      </c>
      <c r="AG72" s="6">
        <f>Influent[[#This Row],[COD (mg L-1)]]*MEDIA[[#This Row],[Flow 
(m3 d-1)]]/(Information!$R$48*Information!$R$49)</f>
        <v>1.7288362547350775</v>
      </c>
      <c r="AH72" s="6">
        <f>(Influent[[#This Row],[COD (mg L-1)]]-MEDIA[[#This Row],[COD 
(mg L-1)]])*MEDIA[[#This Row],[Flow 
(m3 d-1)]]/(Information!$R$48*Information!$R$49)</f>
        <v>0.92534627731414931</v>
      </c>
      <c r="AI72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629.68000000000006</v>
      </c>
      <c r="AJ72" s="6">
        <f>IFERROR(IF(Influent[[#This Row],[COD (mg L-1)]]-MEDIA[[#This Row],[COD 
(mg L-1)]]&lt;0,0,Influent[[#This Row],[COD (mg L-1)]]-MEDIA[[#This Row],[COD 
(mg L-1)]]),0)</f>
        <v>1215</v>
      </c>
      <c r="AK72" s="6">
        <f>IFERROR(IF(Influent[[#This Row],[Alkalinity (mg CaCO3 L-1) ]]-MEDIA[[#This Row],[Alkalinity 
(mg CaCO3 L-1) ]]&lt;0,0,Influent[[#This Row],[Alkalinity (mg CaCO3 L-1) ]]-MEDIA[[#This Row],[Alkalinity 
(mg CaCO3 L-1) ]]),0)</f>
        <v>2186</v>
      </c>
      <c r="AL72" s="6">
        <f>Influent[[#This Row],[COD (mg L-1)]]/MEDIA[[#This Row],[HRT 
(h)]]*24/1000</f>
        <v>0.69153450189403098</v>
      </c>
      <c r="AM72" s="6">
        <f>IF(((MEDIA[[#This Row],[ΔC (mg L-1)]])*24/MEDIA[[#This Row],[HRT 
(h)]]/1000) &lt;0,0, (MEDIA[[#This Row],[ΔC (mg L-1)]])*24/MEDIA[[#This Row],[HRT 
(h)]]/1000)</f>
        <v>0.37013851092565975</v>
      </c>
      <c r="AN72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0.19554280443865227</v>
      </c>
      <c r="AO72" s="6">
        <f>Influent[[#This Row],[TN (mg L-1)]]/MEDIA[[#This Row],[HRT 
(h)]]*24/1000</f>
        <v>0.38116650606599634</v>
      </c>
      <c r="AP72" s="6">
        <f>MEDIA[[#This Row],[NRE 
(%)]]*MEDIA[[#This Row],[NLR 
(kg N m-3 d-1)]]</f>
        <v>0.19188711544185566</v>
      </c>
      <c r="AQ72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0.51309352517985607</v>
      </c>
      <c r="AR72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0.50342071611253203</v>
      </c>
      <c r="AS72" s="48"/>
      <c r="AT72" s="48"/>
      <c r="AU72" s="48"/>
      <c r="AV72" s="6"/>
      <c r="AY72"/>
    </row>
    <row r="73" spans="1:51" x14ac:dyDescent="0.3">
      <c r="A73" s="128">
        <v>43396</v>
      </c>
      <c r="B73" s="29">
        <v>70</v>
      </c>
      <c r="C73" s="42">
        <v>2.2412248351266921</v>
      </c>
      <c r="D73" s="28">
        <f>MEDIA[[#This Row],[Flow 
(L h-1)]]/1000*24</f>
        <v>5.3789396043040616E-2</v>
      </c>
      <c r="E73" s="42">
        <f>IF(IFERROR(Information!$R$47/MEDIA[[#This Row],[Flow 
(m3 d-1)]]*24,0)&lt;0,0,IFERROR(Information!$R$47/MEDIA[[#This Row],[Flow 
(m3 d-1)]]*24,0))</f>
        <v>535.42151648170818</v>
      </c>
      <c r="F73" s="42">
        <v>7.8558365723524854</v>
      </c>
      <c r="G73" s="42">
        <v>0.87906325740642077</v>
      </c>
      <c r="H73" s="41">
        <v>29.496246962860116</v>
      </c>
      <c r="I73" s="130"/>
      <c r="J73" s="130"/>
      <c r="K73">
        <v>1345</v>
      </c>
      <c r="L73" s="29">
        <f>MEDIA[[#This Row],[COD 
(mg L-1)]]*Information!$AK$42</f>
        <v>954.94999999999993</v>
      </c>
      <c r="M73">
        <v>2787</v>
      </c>
      <c r="N73">
        <v>8.4</v>
      </c>
      <c r="O73">
        <v>68</v>
      </c>
      <c r="P73">
        <v>13</v>
      </c>
      <c r="Q73">
        <v>11.24</v>
      </c>
      <c r="R73">
        <v>17.600000000000001</v>
      </c>
      <c r="S73" s="4">
        <f>MEDIA[[#This Row],[NH4-N 
(mg L-1)]]*1.288</f>
        <v>971.30655999999999</v>
      </c>
      <c r="T73" s="6">
        <f>MEDIA[[#This Row],[NO2-N 
(mg L-1)]]*3.284</f>
        <v>78.343103999999997</v>
      </c>
      <c r="U73" s="6">
        <f>(MEDIA[[#This Row],[NO3-N 
(mg L-1)]])*4.426</f>
        <v>0.8497920000000001</v>
      </c>
      <c r="V73" s="6">
        <v>754.12</v>
      </c>
      <c r="W73" s="6">
        <v>23.856000000000002</v>
      </c>
      <c r="X73" s="4">
        <f>IF(MEDIA[[#This Row],[TON 
(mg L-1)]]-MEDIA[[#This Row],[NO2-N 
(mg L-1)]]&lt;0,0.192,MEDIA[[#This Row],[TON 
(mg L-1)]]-MEDIA[[#This Row],[NO2-N 
(mg L-1)]])</f>
        <v>0.192</v>
      </c>
      <c r="Y73" s="4">
        <f>SUM(MEDIA[[#This Row],[NH4-N 
(mg L-1)]],MEDIA[[#This Row],[NO3-N 
(mg L-1)]],MEDIA[[#This Row],[NO2-N 
(mg L-1)]])</f>
        <v>778.16800000000001</v>
      </c>
      <c r="Z73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3.9926800865080689E-4</v>
      </c>
      <c r="AA73" s="48">
        <f>IF(IFERROR(MEDIA[[#This Row],[NO2-N 
(mg L-1)]]/MEDIA[[#This Row],[NH4-N 
(mg L-1)]],0)&lt;0,0,IFERROR(MEDIA[[#This Row],[NO2-N 
(mg L-1)]]/MEDIA[[#This Row],[NH4-N 
(mg L-1)]],0))</f>
        <v>3.1634222670132078E-2</v>
      </c>
      <c r="AB73" s="48">
        <f>MEDIA[[#This Row],[NO2-N 
(mg L-1)]]/(MEDIA[[#This Row],[NO3-N 
(mg L-1)]]+MEDIA[[#This Row],[NO2-N 
(mg L-1)]])</f>
        <v>0.99201596806387227</v>
      </c>
      <c r="AC73" s="20">
        <f>46/14*MEDIA[[#This Row],[NO2-N 
(mg L-1)]]/(EXP(-2300/(MEDIA[[#This Row],[Temp. 
(°C)]]+273))*10^(MEDIA[[#This Row],[pHreactor]]))</f>
        <v>2.1903098938778139E-3</v>
      </c>
      <c r="AD73" s="6">
        <f>17/14*MEDIA[NH4-N 
(mg L-1)]*10^MEDIA[[#This Row],[pHreactor]]/(EXP((6344/(273+MEDIA[[#This Row],[Temp. 
(°C)]])))+10^MEDIA[pHreactor])</f>
        <v>48.513632486050334</v>
      </c>
      <c r="AE73" s="6">
        <f>Influent[[#This Row],[NH4-N (mg L-1)]]*MEDIA[[#This Row],[Flow 
(m3 d-1)]]/(Information!$R$48*Information!$R$49)</f>
        <v>0.13839563356907325</v>
      </c>
      <c r="AF73" s="6">
        <f>(Influent[[#This Row],[NH4-N (mg L-1)]]-MEDIA[[#This Row],[NH4-N 
(mg L-1)]])*MEDIA[[#This Row],[Flow 
(m3 d-1)]]/(Information!$R$48*Information!$R$49)</f>
        <v>5.3888009935786192E-2</v>
      </c>
      <c r="AG73" s="6">
        <f>Influent[[#This Row],[COD (mg L-1)]]*MEDIA[[#This Row],[Flow 
(m3 d-1)]]/(Information!$R$48*Information!$R$49)</f>
        <v>0.24597442565515448</v>
      </c>
      <c r="AH73" s="6">
        <f>(Influent[[#This Row],[COD (mg L-1)]]-MEDIA[[#This Row],[COD 
(mg L-1)]])*MEDIA[[#This Row],[Flow 
(m3 d-1)]]/(Information!$R$48*Information!$R$49)</f>
        <v>9.5252055492884416E-2</v>
      </c>
      <c r="AI73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456.83199999999999</v>
      </c>
      <c r="AJ73" s="6">
        <f>IFERROR(IF(Influent[[#This Row],[COD (mg L-1)]]-MEDIA[[#This Row],[COD 
(mg L-1)]]&lt;0,0,Influent[[#This Row],[COD (mg L-1)]]-MEDIA[[#This Row],[COD 
(mg L-1)]]),0)</f>
        <v>850</v>
      </c>
      <c r="AK73" s="6">
        <f>IFERROR(IF(Influent[[#This Row],[Alkalinity (mg CaCO3 L-1) ]]-MEDIA[[#This Row],[Alkalinity 
(mg CaCO3 L-1) ]]&lt;0,0,Influent[[#This Row],[Alkalinity (mg CaCO3 L-1) ]]-MEDIA[[#This Row],[Alkalinity 
(mg CaCO3 L-1) ]]),0)</f>
        <v>1737</v>
      </c>
      <c r="AL73" s="6">
        <f>Influent[[#This Row],[COD (mg L-1)]]/MEDIA[[#This Row],[HRT 
(h)]]*24/1000</f>
        <v>9.8389770262061804E-2</v>
      </c>
      <c r="AM73" s="6">
        <f>IF(((MEDIA[[#This Row],[ΔC (mg L-1)]])*24/MEDIA[[#This Row],[HRT 
(h)]]/1000) &lt;0,0, (MEDIA[[#This Row],[ΔC (mg L-1)]])*24/MEDIA[[#This Row],[HRT 
(h)]]/1000)</f>
        <v>3.8100822197153765E-2</v>
      </c>
      <c r="AN73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2.1555203974314475E-2</v>
      </c>
      <c r="AO73" s="6">
        <f>Influent[[#This Row],[TN (mg L-1)]]/MEDIA[[#This Row],[HRT 
(h)]]*24/1000</f>
        <v>5.5367218326969815E-2</v>
      </c>
      <c r="AP73" s="6">
        <f>MEDIA[[#This Row],[NRE 
(%)]]*MEDIA[[#This Row],[NLR 
(kg N m-3 d-1)]]</f>
        <v>2.0486229376952454E-2</v>
      </c>
      <c r="AQ73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0.38937651821862346</v>
      </c>
      <c r="AR73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0.37000647668393782</v>
      </c>
      <c r="AS73" s="48"/>
      <c r="AT73" s="48"/>
      <c r="AU73" s="48"/>
      <c r="AV73" s="6"/>
      <c r="AY73"/>
    </row>
    <row r="74" spans="1:51" x14ac:dyDescent="0.3">
      <c r="A74" s="128">
        <v>43397</v>
      </c>
      <c r="B74" s="29">
        <v>71</v>
      </c>
      <c r="C74" s="42">
        <v>20.334898905636578</v>
      </c>
      <c r="D74" s="28">
        <f>MEDIA[[#This Row],[Flow 
(L h-1)]]/1000*24</f>
        <v>0.48803757373527784</v>
      </c>
      <c r="E74" s="42">
        <f>IF(IFERROR(Information!$R$47/MEDIA[[#This Row],[Flow 
(m3 d-1)]]*24,0)&lt;0,0,IFERROR(Information!$R$47/MEDIA[[#This Row],[Flow 
(m3 d-1)]]*24,0))</f>
        <v>59.01184980405165</v>
      </c>
      <c r="F74" s="42">
        <v>7.949387756084163</v>
      </c>
      <c r="G74" s="42">
        <v>0.86478089172676265</v>
      </c>
      <c r="H74" s="41">
        <v>28.733163359594691</v>
      </c>
      <c r="I74" s="130"/>
      <c r="J74" s="130"/>
      <c r="K74">
        <v>1815</v>
      </c>
      <c r="L74" s="29">
        <f>MEDIA[[#This Row],[COD 
(mg L-1)]]*Information!$AK$42</f>
        <v>1288.6499999999999</v>
      </c>
      <c r="M74">
        <v>2964</v>
      </c>
      <c r="N74">
        <v>8.4</v>
      </c>
      <c r="O74">
        <v>690</v>
      </c>
      <c r="P74">
        <v>238</v>
      </c>
      <c r="Q74">
        <v>11.59</v>
      </c>
      <c r="R74">
        <v>8.8000000000000007</v>
      </c>
      <c r="S74" s="4">
        <f>MEDIA[[#This Row],[NH4-N 
(mg L-1)]]*1.288</f>
        <v>1006.4689599999999</v>
      </c>
      <c r="T74" s="6">
        <f>MEDIA[[#This Row],[NO2-N 
(mg L-1)]]*3.284</f>
        <v>25.083191999999997</v>
      </c>
      <c r="U74" s="6">
        <f>(MEDIA[[#This Row],[NO3-N 
(mg L-1)]])*4.426</f>
        <v>5.1430120000000041</v>
      </c>
      <c r="V74" s="6">
        <v>781.42</v>
      </c>
      <c r="W74" s="6">
        <v>7.6379999999999999</v>
      </c>
      <c r="X74" s="4">
        <f>IF(MEDIA[[#This Row],[TON 
(mg L-1)]]-MEDIA[[#This Row],[NO2-N 
(mg L-1)]]&lt;0,0.192,MEDIA[[#This Row],[TON 
(mg L-1)]]-MEDIA[[#This Row],[NO2-N 
(mg L-1)]])</f>
        <v>1.1620000000000008</v>
      </c>
      <c r="Y74" s="4">
        <f>SUM(MEDIA[[#This Row],[NH4-N 
(mg L-1)]],MEDIA[[#This Row],[NO3-N 
(mg L-1)]],MEDIA[[#This Row],[NO2-N 
(mg L-1)]])</f>
        <v>790.22</v>
      </c>
      <c r="Z74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2.5011838649963425E-3</v>
      </c>
      <c r="AA74" s="48">
        <f>IF(IFERROR(MEDIA[[#This Row],[NO2-N 
(mg L-1)]]/MEDIA[[#This Row],[NH4-N 
(mg L-1)]],0)&lt;0,0,IFERROR(MEDIA[[#This Row],[NO2-N 
(mg L-1)]]/MEDIA[[#This Row],[NH4-N 
(mg L-1)]],0))</f>
        <v>9.7745130659568479E-3</v>
      </c>
      <c r="AB74" s="48">
        <f>MEDIA[[#This Row],[NO2-N 
(mg L-1)]]/(MEDIA[[#This Row],[NO3-N 
(mg L-1)]]+MEDIA[[#This Row],[NO2-N 
(mg L-1)]])</f>
        <v>0.86795454545454542</v>
      </c>
      <c r="AC74" s="20">
        <f>46/14*MEDIA[[#This Row],[NO2-N 
(mg L-1)]]/(EXP(-2300/(MEDIA[[#This Row],[Temp. 
(°C)]]+273))*10^(MEDIA[[#This Row],[pHreactor]]))</f>
        <v>5.7635154537457982E-4</v>
      </c>
      <c r="AD74" s="6">
        <f>17/14*MEDIA[NH4-N 
(mg L-1)]*10^MEDIA[[#This Row],[pHreactor]]/(EXP((6344/(273+MEDIA[[#This Row],[Temp. 
(°C)]])))+10^MEDIA[pHreactor])</f>
        <v>58.585100788846667</v>
      </c>
      <c r="AE74" s="6">
        <f>Influent[[#This Row],[NH4-N (mg L-1)]]*MEDIA[[#This Row],[Flow 
(m3 d-1)]]/(Information!$R$48*Information!$R$49)</f>
        <v>1.2668642018211587</v>
      </c>
      <c r="AF74" s="6">
        <f>(Influent[[#This Row],[NH4-N (mg L-1)]]-MEDIA[[#This Row],[NH4-N 
(mg L-1)]])*MEDIA[[#This Row],[Flow 
(m3 d-1)]]/(Information!$R$48*Information!$R$49)</f>
        <v>0.47235936667903206</v>
      </c>
      <c r="AG74" s="6">
        <f>Influent[[#This Row],[COD (mg L-1)]]*MEDIA[[#This Row],[Flow 
(m3 d-1)]]/(Information!$R$48*Information!$R$49)</f>
        <v>2.0741596883749307</v>
      </c>
      <c r="AH74" s="6">
        <f>(Influent[[#This Row],[COD (mg L-1)]]-MEDIA[[#This Row],[COD 
(mg L-1)]])*MEDIA[[#This Row],[Flow 
(m3 d-1)]]/(Information!$R$48*Information!$R$49)</f>
        <v>0.22876761268841148</v>
      </c>
      <c r="AI74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455.78</v>
      </c>
      <c r="AJ74" s="6">
        <f>IFERROR(IF(Influent[[#This Row],[COD (mg L-1)]]-MEDIA[[#This Row],[COD 
(mg L-1)]]&lt;0,0,Influent[[#This Row],[COD (mg L-1)]]-MEDIA[[#This Row],[COD 
(mg L-1)]]),0)</f>
        <v>225</v>
      </c>
      <c r="AK74" s="6">
        <f>IFERROR(IF(Influent[[#This Row],[Alkalinity (mg CaCO3 L-1) ]]-MEDIA[[#This Row],[Alkalinity 
(mg CaCO3 L-1) ]]&lt;0,0,Influent[[#This Row],[Alkalinity (mg CaCO3 L-1) ]]-MEDIA[[#This Row],[Alkalinity 
(mg CaCO3 L-1) ]]),0)</f>
        <v>1419</v>
      </c>
      <c r="AL74" s="6">
        <f>Influent[[#This Row],[COD (mg L-1)]]/MEDIA[[#This Row],[HRT 
(h)]]*24/1000</f>
        <v>0.82966387534997244</v>
      </c>
      <c r="AM74" s="6">
        <f>IF(((MEDIA[[#This Row],[ΔC (mg L-1)]])*24/MEDIA[[#This Row],[HRT 
(h)]]/1000) &lt;0,0, (MEDIA[[#This Row],[ΔC (mg L-1)]])*24/MEDIA[[#This Row],[HRT 
(h)]]/1000)</f>
        <v>9.1507045075364599E-2</v>
      </c>
      <c r="AN74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0.18894374667161284</v>
      </c>
      <c r="AO74" s="6">
        <f>Influent[[#This Row],[TN (mg L-1)]]/MEDIA[[#This Row],[HRT 
(h)]]*24/1000</f>
        <v>0.51520499867320835</v>
      </c>
      <c r="AP74" s="6">
        <f>MEDIA[[#This Row],[NRE 
(%)]]*MEDIA[[#This Row],[NLR 
(kg N m-3 d-1)]]</f>
        <v>0.1938241224089656</v>
      </c>
      <c r="AQ74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0.37285714285714289</v>
      </c>
      <c r="AR74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0.37620776760341013</v>
      </c>
      <c r="AS74" s="48"/>
      <c r="AT74" s="48"/>
      <c r="AU74" s="48"/>
      <c r="AV74" s="6"/>
      <c r="AY74"/>
    </row>
    <row r="75" spans="1:51" x14ac:dyDescent="0.3">
      <c r="A75" s="128">
        <v>43398</v>
      </c>
      <c r="B75" s="29">
        <v>72</v>
      </c>
      <c r="C75" s="42"/>
      <c r="D75" s="28"/>
      <c r="E75" s="42"/>
      <c r="F75" s="42"/>
      <c r="G75" s="42"/>
      <c r="H75" s="41"/>
      <c r="I75" s="130"/>
      <c r="J75" s="130"/>
      <c r="S75" s="4"/>
      <c r="T75" s="6"/>
      <c r="U75" s="6"/>
      <c r="V75" s="6"/>
      <c r="W75" s="6"/>
      <c r="X75" s="4"/>
      <c r="Y75" s="4"/>
      <c r="Z75" s="48"/>
      <c r="AA75" s="48"/>
      <c r="AB75" s="48"/>
      <c r="AC75" s="20"/>
      <c r="AD75" s="6"/>
      <c r="AE75" s="6"/>
      <c r="AF75" s="6"/>
      <c r="AG75" s="6"/>
      <c r="AH75" s="6"/>
      <c r="AI75" s="48"/>
      <c r="AJ75" s="6"/>
      <c r="AK75" s="6"/>
      <c r="AL75" s="6"/>
      <c r="AM75" s="6"/>
      <c r="AN75" s="6"/>
      <c r="AO75" s="6"/>
      <c r="AP75" s="6"/>
      <c r="AQ75" s="26"/>
      <c r="AR75" s="26"/>
      <c r="AS75" s="48"/>
      <c r="AT75" s="48"/>
      <c r="AU75" s="48"/>
      <c r="AV75" s="6"/>
      <c r="AY75"/>
    </row>
    <row r="76" spans="1:51" x14ac:dyDescent="0.3">
      <c r="A76" s="128">
        <v>43399</v>
      </c>
      <c r="B76" s="29">
        <v>73</v>
      </c>
      <c r="C76" s="42"/>
      <c r="D76" s="28"/>
      <c r="E76" s="42"/>
      <c r="F76" s="42"/>
      <c r="G76" s="42"/>
      <c r="H76" s="41"/>
      <c r="I76" s="41">
        <f>stableMED[[#This Row],[MLVSS 
(mg L-1)]]/0.29</f>
        <v>572.41379310344837</v>
      </c>
      <c r="J76" s="130">
        <f>83*2</f>
        <v>166</v>
      </c>
      <c r="S76" s="4"/>
      <c r="T76" s="6"/>
      <c r="U76" s="6"/>
      <c r="V76" s="6"/>
      <c r="W76" s="6"/>
      <c r="X76" s="4"/>
      <c r="Y76" s="4"/>
      <c r="Z76" s="48"/>
      <c r="AA76" s="48"/>
      <c r="AB76" s="48"/>
      <c r="AC76" s="20"/>
      <c r="AD76" s="6"/>
      <c r="AE76" s="6"/>
      <c r="AF76" s="6"/>
      <c r="AG76" s="6"/>
      <c r="AH76" s="6"/>
      <c r="AI76" s="48"/>
      <c r="AJ76" s="6"/>
      <c r="AK76" s="6"/>
      <c r="AL76" s="6"/>
      <c r="AM76" s="6"/>
      <c r="AN76" s="6"/>
      <c r="AO76" s="6"/>
      <c r="AP76" s="6"/>
      <c r="AQ76" s="26"/>
      <c r="AR76" s="26"/>
      <c r="AS76" s="48">
        <f>80/30</f>
        <v>2.6666666666666665</v>
      </c>
      <c r="AT76" s="48">
        <v>0.95899999999999996</v>
      </c>
      <c r="AU76" s="48">
        <v>1.089</v>
      </c>
      <c r="AV76" s="6">
        <f>stableMED[[#This Row],[SAAcarrier
(g N g VSS-1d-1)]]+stableMED[[#This Row],[SAAsuspension
(g N g VSS-1d-1)]]</f>
        <v>2.048</v>
      </c>
      <c r="AY76"/>
    </row>
    <row r="77" spans="1:51" x14ac:dyDescent="0.3">
      <c r="A77" s="128">
        <v>43400</v>
      </c>
      <c r="B77" s="29">
        <v>74</v>
      </c>
      <c r="C77" s="42">
        <v>2.4084085377087736</v>
      </c>
      <c r="D77" s="28">
        <f>MEDIA[[#This Row],[Flow 
(L h-1)]]/1000*24</f>
        <v>5.7801804905010565E-2</v>
      </c>
      <c r="E77" s="42">
        <f>IF(IFERROR(Information!$R$47/MEDIA[[#This Row],[Flow 
(m3 d-1)]]*24,0)&lt;0,0,IFERROR(Information!$R$47/MEDIA[[#This Row],[Flow 
(m3 d-1)]]*24,0))</f>
        <v>498.25433733996533</v>
      </c>
      <c r="F77" s="42">
        <v>7.4721467845020344</v>
      </c>
      <c r="G77" s="42">
        <v>0.48723316550285856</v>
      </c>
      <c r="H77" s="41">
        <v>30.217921336795339</v>
      </c>
      <c r="I77" s="130"/>
      <c r="J77" s="130"/>
      <c r="K77">
        <v>1260</v>
      </c>
      <c r="L77" s="29">
        <f>MEDIA[[#This Row],[COD 
(mg L-1)]]*Information!$AK$42</f>
        <v>894.59999999999991</v>
      </c>
      <c r="M77">
        <v>2267</v>
      </c>
      <c r="N77">
        <v>8.4</v>
      </c>
      <c r="O77">
        <v>58</v>
      </c>
      <c r="P77">
        <v>13</v>
      </c>
      <c r="Q77">
        <v>8.4</v>
      </c>
      <c r="R77">
        <v>59.2</v>
      </c>
      <c r="S77" s="4">
        <f>MEDIA[[#This Row],[NH4-N 
(mg L-1)]]*1.288</f>
        <v>830.99183999999991</v>
      </c>
      <c r="T77" s="6">
        <f>MEDIA[[#This Row],[NO2-N 
(mg L-1)]]*3.284</f>
        <v>184.42615599999999</v>
      </c>
      <c r="U77" s="6">
        <f>(MEDIA[[#This Row],[NO3-N 
(mg L-1)]])*4.426</f>
        <v>13.459466000000019</v>
      </c>
      <c r="V77" s="6">
        <v>645.17999999999995</v>
      </c>
      <c r="W77" s="6">
        <v>56.158999999999999</v>
      </c>
      <c r="X77" s="4">
        <f>IF(MEDIA[[#This Row],[TON 
(mg L-1)]]-MEDIA[[#This Row],[NO2-N 
(mg L-1)]]&lt;0,0.192,MEDIA[[#This Row],[TON 
(mg L-1)]]-MEDIA[[#This Row],[NO2-N 
(mg L-1)]])</f>
        <v>3.0410000000000039</v>
      </c>
      <c r="Y77" s="4">
        <f>SUM(MEDIA[[#This Row],[NH4-N 
(mg L-1)]],MEDIA[[#This Row],[NO3-N 
(mg L-1)]],MEDIA[[#This Row],[NO2-N 
(mg L-1)]])</f>
        <v>704.38</v>
      </c>
      <c r="Z77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5.4771081733367014E-3</v>
      </c>
      <c r="AA77" s="48">
        <f>IF(IFERROR(MEDIA[[#This Row],[NO2-N 
(mg L-1)]]/MEDIA[[#This Row],[NH4-N 
(mg L-1)]],0)&lt;0,0,IFERROR(MEDIA[[#This Row],[NO2-N 
(mg L-1)]]/MEDIA[[#This Row],[NH4-N 
(mg L-1)]],0))</f>
        <v>8.7043925726153951E-2</v>
      </c>
      <c r="AB77" s="48">
        <f>MEDIA[[#This Row],[NO2-N 
(mg L-1)]]/(MEDIA[[#This Row],[NO3-N 
(mg L-1)]]+MEDIA[[#This Row],[NO2-N 
(mg L-1)]])</f>
        <v>0.94863175675675671</v>
      </c>
      <c r="AC77" s="20">
        <f>46/14*MEDIA[[#This Row],[NO2-N 
(mg L-1)]]/(EXP(-2300/(MEDIA[[#This Row],[Temp. 
(°C)]]+273))*10^(MEDIA[[#This Row],[pHreactor]]))</f>
        <v>1.225061491015075E-2</v>
      </c>
      <c r="AD77" s="6">
        <f>17/14*MEDIA[NH4-N 
(mg L-1)]*10^MEDIA[[#This Row],[pHreactor]]/(EXP((6344/(273+MEDIA[[#This Row],[Temp. 
(°C)]])))+10^MEDIA[pHreactor])</f>
        <v>18.590983735801522</v>
      </c>
      <c r="AE77" s="6">
        <f>Influent[[#This Row],[NH4-N (mg L-1)]]*MEDIA[[#This Row],[Flow 
(m3 d-1)]]/(Information!$R$48*Information!$R$49)</f>
        <v>0.14455268043328059</v>
      </c>
      <c r="AF77" s="6">
        <f>(Influent[[#This Row],[NH4-N (mg L-1)]]-MEDIA[[#This Row],[NH4-N 
(mg L-1)]])*MEDIA[[#This Row],[Flow 
(m3 d-1)]]/(Information!$R$48*Information!$R$49)</f>
        <v>6.6859829415333277E-2</v>
      </c>
      <c r="AG77" s="6">
        <f>Influent[[#This Row],[COD (mg L-1)]]*MEDIA[[#This Row],[Flow 
(m3 d-1)]]/(Information!$R$48*Information!$R$49)</f>
        <v>0.26853755195452828</v>
      </c>
      <c r="AH77" s="6">
        <f>(Influent[[#This Row],[COD (mg L-1)]]-MEDIA[[#This Row],[COD 
(mg L-1)]])*MEDIA[[#This Row],[Flow 
(m3 d-1)]]/(Information!$R$48*Information!$R$49)</f>
        <v>0.11680781407887551</v>
      </c>
      <c r="AI77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496.0200000000001</v>
      </c>
      <c r="AJ77" s="6">
        <f>IFERROR(IF(Influent[[#This Row],[COD (mg L-1)]]-MEDIA[[#This Row],[COD 
(mg L-1)]]&lt;0,0,Influent[[#This Row],[COD (mg L-1)]]-MEDIA[[#This Row],[COD 
(mg L-1)]]),0)</f>
        <v>970</v>
      </c>
      <c r="AK77" s="6">
        <f>IFERROR(IF(Influent[[#This Row],[Alkalinity (mg CaCO3 L-1) ]]-MEDIA[[#This Row],[Alkalinity 
(mg CaCO3 L-1) ]]&lt;0,0,Influent[[#This Row],[Alkalinity (mg CaCO3 L-1) ]]-MEDIA[[#This Row],[Alkalinity 
(mg CaCO3 L-1) ]]),0)</f>
        <v>2083</v>
      </c>
      <c r="AL77" s="6">
        <f>Influent[[#This Row],[COD (mg L-1)]]/MEDIA[[#This Row],[HRT 
(h)]]*24/1000</f>
        <v>0.10741502078181132</v>
      </c>
      <c r="AM77" s="6">
        <f>IF(((MEDIA[[#This Row],[ΔC (mg L-1)]])*24/MEDIA[[#This Row],[HRT 
(h)]]/1000) &lt;0,0, (MEDIA[[#This Row],[ΔC (mg L-1)]])*24/MEDIA[[#This Row],[HRT 
(h)]]/1000)</f>
        <v>4.6723125631550212E-2</v>
      </c>
      <c r="AN77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2.6743931766133315E-2</v>
      </c>
      <c r="AO77" s="6">
        <f>Influent[[#This Row],[TN (mg L-1)]]/MEDIA[[#This Row],[HRT 
(h)]]*24/1000</f>
        <v>5.7830705807463079E-2</v>
      </c>
      <c r="AP77" s="6">
        <f>MEDIA[[#This Row],[NRE 
(%)]]*MEDIA[[#This Row],[NLR 
(kg N m-3 d-1)]]</f>
        <v>2.3902009691636958E-2</v>
      </c>
      <c r="AQ77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0.46252915694768421</v>
      </c>
      <c r="AR77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0.41331001166083631</v>
      </c>
      <c r="AS77" s="48"/>
      <c r="AT77" s="48"/>
      <c r="AU77" s="48"/>
      <c r="AV77" s="6"/>
      <c r="AY77"/>
    </row>
    <row r="78" spans="1:51" x14ac:dyDescent="0.3">
      <c r="A78" s="128">
        <v>43401</v>
      </c>
      <c r="B78" s="29">
        <v>75</v>
      </c>
      <c r="C78" s="42">
        <v>2.7792867066669036</v>
      </c>
      <c r="D78" s="28">
        <f>MEDIA[[#This Row],[Flow 
(L h-1)]]/1000*24</f>
        <v>6.6702880960005678E-2</v>
      </c>
      <c r="E78" s="42">
        <f>IF(IFERROR(Information!$R$47/MEDIA[[#This Row],[Flow 
(m3 d-1)]]*24,0)&lt;0,0,IFERROR(Information!$R$47/MEDIA[[#This Row],[Flow 
(m3 d-1)]]*24,0))</f>
        <v>431.76545878532841</v>
      </c>
      <c r="F78" s="42">
        <v>7.2308909698560475</v>
      </c>
      <c r="G78" s="42">
        <v>0.40644047139564848</v>
      </c>
      <c r="H78" s="41">
        <v>30.799532478859508</v>
      </c>
      <c r="I78" s="130"/>
      <c r="J78" s="130"/>
      <c r="K78">
        <v>1240</v>
      </c>
      <c r="L78" s="29">
        <f>MEDIA[[#This Row],[COD 
(mg L-1)]]*Information!$AK$42</f>
        <v>880.4</v>
      </c>
      <c r="M78">
        <v>2229</v>
      </c>
      <c r="N78">
        <v>8.4</v>
      </c>
      <c r="O78">
        <v>44</v>
      </c>
      <c r="P78">
        <v>13</v>
      </c>
      <c r="Q78">
        <v>7.87</v>
      </c>
      <c r="R78">
        <v>56.9</v>
      </c>
      <c r="S78" s="4">
        <f>MEDIA[[#This Row],[NH4-N 
(mg L-1)]]*1.288</f>
        <v>822.32360000000006</v>
      </c>
      <c r="T78" s="6">
        <f>MEDIA[[#This Row],[NO2-N 
(mg L-1)]]*3.284</f>
        <v>177.198072</v>
      </c>
      <c r="U78" s="6">
        <f>(MEDIA[[#This Row],[NO3-N 
(mg L-1)]])*4.426</f>
        <v>13.021292000000001</v>
      </c>
      <c r="V78" s="6">
        <v>638.45000000000005</v>
      </c>
      <c r="W78" s="6">
        <v>53.957999999999998</v>
      </c>
      <c r="X78" s="4">
        <f>IF(MEDIA[[#This Row],[TON 
(mg L-1)]]-MEDIA[[#This Row],[NO2-N 
(mg L-1)]]&lt;0,0.192,MEDIA[[#This Row],[TON 
(mg L-1)]]-MEDIA[[#This Row],[NO2-N 
(mg L-1)]])</f>
        <v>2.9420000000000002</v>
      </c>
      <c r="Y78" s="4">
        <f>SUM(MEDIA[[#This Row],[NH4-N 
(mg L-1)]],MEDIA[[#This Row],[NO3-N 
(mg L-1)]],MEDIA[[#This Row],[NO2-N 
(mg L-1)]])</f>
        <v>695.35</v>
      </c>
      <c r="Z78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5.0737259636112796E-3</v>
      </c>
      <c r="AA78" s="48">
        <f>IF(IFERROR(MEDIA[[#This Row],[NO2-N 
(mg L-1)]]/MEDIA[[#This Row],[NH4-N 
(mg L-1)]],0)&lt;0,0,IFERROR(MEDIA[[#This Row],[NO2-N 
(mg L-1)]]/MEDIA[[#This Row],[NH4-N 
(mg L-1)]],0))</f>
        <v>8.4514057482966545E-2</v>
      </c>
      <c r="AB78" s="48">
        <f>MEDIA[[#This Row],[NO2-N 
(mg L-1)]]/(MEDIA[[#This Row],[NO3-N 
(mg L-1)]]+MEDIA[[#This Row],[NO2-N 
(mg L-1)]])</f>
        <v>0.94829525483304045</v>
      </c>
      <c r="AC78" s="20">
        <f>46/14*MEDIA[[#This Row],[NO2-N 
(mg L-1)]]/(EXP(-2300/(MEDIA[[#This Row],[Temp. 
(°C)]]+273))*10^(MEDIA[[#This Row],[pHreactor]]))</f>
        <v>2.0218245718308724E-2</v>
      </c>
      <c r="AD78" s="6">
        <f>17/14*MEDIA[NH4-N 
(mg L-1)]*10^MEDIA[[#This Row],[pHreactor]]/(EXP((6344/(273+MEDIA[[#This Row],[Temp. 
(°C)]])))+10^MEDIA[pHreactor])</f>
        <v>11.093254910527069</v>
      </c>
      <c r="AE78" s="6">
        <f>Influent[[#This Row],[NH4-N (mg L-1)]]*MEDIA[[#This Row],[Flow 
(m3 d-1)]]/(Information!$R$48*Information!$R$49)</f>
        <v>0.16930024973661439</v>
      </c>
      <c r="AF78" s="6">
        <f>(Influent[[#This Row],[NH4-N (mg L-1)]]-MEDIA[[#This Row],[NH4-N 
(mg L-1)]])*MEDIA[[#This Row],[Flow 
(m3 d-1)]]/(Information!$R$48*Information!$R$49)</f>
        <v>8.0578469843040193E-2</v>
      </c>
      <c r="AG78" s="6">
        <f>Influent[[#This Row],[COD (mg L-1)]]*MEDIA[[#This Row],[Flow 
(m3 d-1)]]/(Information!$R$48*Information!$R$49)</f>
        <v>0.32239725797336077</v>
      </c>
      <c r="AH78" s="6">
        <f>(Influent[[#This Row],[COD (mg L-1)]]-MEDIA[[#This Row],[COD 
(mg L-1)]])*MEDIA[[#This Row],[Flow 
(m3 d-1)]]/(Information!$R$48*Information!$R$49)</f>
        <v>0.1500814821600128</v>
      </c>
      <c r="AI78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522.94999999999993</v>
      </c>
      <c r="AJ78" s="6">
        <f>IFERROR(IF(Influent[[#This Row],[COD (mg L-1)]]-MEDIA[[#This Row],[COD 
(mg L-1)]]&lt;0,0,Influent[[#This Row],[COD (mg L-1)]]-MEDIA[[#This Row],[COD 
(mg L-1)]]),0)</f>
        <v>1080</v>
      </c>
      <c r="AK78" s="6">
        <f>IFERROR(IF(Influent[[#This Row],[Alkalinity (mg CaCO3 L-1) ]]-MEDIA[[#This Row],[Alkalinity 
(mg CaCO3 L-1) ]]&lt;0,0,Influent[[#This Row],[Alkalinity (mg CaCO3 L-1) ]]-MEDIA[[#This Row],[Alkalinity 
(mg CaCO3 L-1) ]]),0)</f>
        <v>2196</v>
      </c>
      <c r="AL78" s="6">
        <f>Influent[[#This Row],[COD (mg L-1)]]/MEDIA[[#This Row],[HRT 
(h)]]*24/1000</f>
        <v>0.1289589031893443</v>
      </c>
      <c r="AM78" s="6">
        <f>IF(((MEDIA[[#This Row],[ΔC (mg L-1)]])*24/MEDIA[[#This Row],[HRT 
(h)]]/1000) &lt;0,0, (MEDIA[[#This Row],[ΔC (mg L-1)]])*24/MEDIA[[#This Row],[HRT 
(h)]]/1000)</f>
        <v>6.0032592864005113E-2</v>
      </c>
      <c r="AN78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3.2231387937216069E-2</v>
      </c>
      <c r="AO78" s="6">
        <f>Influent[[#This Row],[TN (mg L-1)]]/MEDIA[[#This Row],[HRT 
(h)]]*24/1000</f>
        <v>6.8716974450593063E-2</v>
      </c>
      <c r="AP78" s="6">
        <f>MEDIA[[#This Row],[NRE 
(%)]]*MEDIA[[#This Row],[NLR 
(kg N m-3 d-1)]]</f>
        <v>3.0065434220976427E-2</v>
      </c>
      <c r="AQ78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0.47595009439382741</v>
      </c>
      <c r="AR78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0.43752558172643685</v>
      </c>
      <c r="AS78" s="48"/>
      <c r="AT78" s="48"/>
      <c r="AU78" s="48"/>
      <c r="AV78" s="6"/>
      <c r="AY78"/>
    </row>
    <row r="79" spans="1:51" x14ac:dyDescent="0.3">
      <c r="A79" s="128">
        <v>43402</v>
      </c>
      <c r="B79" s="29">
        <v>76</v>
      </c>
      <c r="C79" s="42"/>
      <c r="D79" s="28"/>
      <c r="E79" s="42"/>
      <c r="F79" s="42"/>
      <c r="G79" s="42"/>
      <c r="H79" s="41"/>
      <c r="I79" s="130"/>
      <c r="J79" s="130"/>
      <c r="S79" s="4"/>
      <c r="T79" s="6"/>
      <c r="U79" s="6"/>
      <c r="V79" s="6"/>
      <c r="W79" s="6"/>
      <c r="X79" s="4"/>
      <c r="Y79" s="4"/>
      <c r="Z79" s="48"/>
      <c r="AA79" s="48"/>
      <c r="AB79" s="48"/>
      <c r="AC79" s="20"/>
      <c r="AD79" s="6"/>
      <c r="AE79" s="6"/>
      <c r="AF79" s="6"/>
      <c r="AG79" s="6"/>
      <c r="AH79" s="6"/>
      <c r="AI79" s="48"/>
      <c r="AJ79" s="6"/>
      <c r="AK79" s="6"/>
      <c r="AL79" s="6"/>
      <c r="AM79" s="6"/>
      <c r="AN79" s="6"/>
      <c r="AO79" s="6"/>
      <c r="AP79" s="6"/>
      <c r="AQ79" s="26"/>
      <c r="AR79" s="26"/>
      <c r="AS79" s="48"/>
      <c r="AT79" s="48"/>
      <c r="AU79" s="48"/>
      <c r="AV79" s="6"/>
      <c r="AY79"/>
    </row>
    <row r="80" spans="1:51" x14ac:dyDescent="0.3">
      <c r="A80" s="128">
        <v>43403</v>
      </c>
      <c r="B80" s="29">
        <v>77</v>
      </c>
      <c r="C80" s="42"/>
      <c r="D80" s="28"/>
      <c r="E80" s="42"/>
      <c r="F80" s="42"/>
      <c r="G80" s="42"/>
      <c r="H80" s="41"/>
      <c r="I80" s="130">
        <v>46</v>
      </c>
      <c r="J80" s="130">
        <v>13</v>
      </c>
      <c r="S80" s="4"/>
      <c r="T80" s="6"/>
      <c r="U80" s="6"/>
      <c r="V80" s="6"/>
      <c r="W80" s="6"/>
      <c r="X80" s="4"/>
      <c r="Y80" s="4"/>
      <c r="Z80" s="48"/>
      <c r="AA80" s="48"/>
      <c r="AB80" s="48"/>
      <c r="AC80" s="20"/>
      <c r="AD80" s="6"/>
      <c r="AE80" s="6"/>
      <c r="AF80" s="6"/>
      <c r="AG80" s="6"/>
      <c r="AH80" s="6"/>
      <c r="AI80" s="48"/>
      <c r="AJ80" s="6"/>
      <c r="AK80" s="6"/>
      <c r="AL80" s="6"/>
      <c r="AM80" s="6"/>
      <c r="AN80" s="6"/>
      <c r="AO80" s="6"/>
      <c r="AP80" s="6"/>
      <c r="AQ80" s="26"/>
      <c r="AR80" s="26"/>
      <c r="AS80" s="48"/>
      <c r="AT80" s="48"/>
      <c r="AU80" s="48"/>
      <c r="AV80" s="6"/>
      <c r="AY80"/>
    </row>
    <row r="81" spans="1:51" x14ac:dyDescent="0.3">
      <c r="A81" s="128">
        <v>43404</v>
      </c>
      <c r="B81" s="29">
        <v>78</v>
      </c>
      <c r="C81" s="42">
        <v>2.5649839457187831</v>
      </c>
      <c r="D81" s="28">
        <f>MEDIA[[#This Row],[Flow 
(L h-1)]]/1000*24</f>
        <v>6.1559614697250797E-2</v>
      </c>
      <c r="E81" s="42">
        <f>IF(IFERROR(Information!$R$47/MEDIA[[#This Row],[Flow 
(m3 d-1)]]*24,0)&lt;0,0,IFERROR(Information!$R$47/MEDIA[[#This Row],[Flow 
(m3 d-1)]]*24,0))</f>
        <v>467.83918550559389</v>
      </c>
      <c r="F81" s="42">
        <v>7.5589069305547039</v>
      </c>
      <c r="G81" s="42">
        <v>0.65513970859346193</v>
      </c>
      <c r="H81" s="41">
        <v>27.706791260390595</v>
      </c>
      <c r="I81" s="130">
        <f>stableMED[[#This Row],[MLVSS 
(mg L-1)]]/0.4</f>
        <v>260</v>
      </c>
      <c r="J81" s="130">
        <f>52*2</f>
        <v>104</v>
      </c>
      <c r="K81">
        <v>3040</v>
      </c>
      <c r="L81" s="29">
        <f>MEDIA[[#This Row],[COD 
(mg L-1)]]*Information!$AK$42</f>
        <v>2158.4</v>
      </c>
      <c r="M81">
        <v>1986</v>
      </c>
      <c r="N81">
        <v>8.3000000000000007</v>
      </c>
      <c r="O81">
        <v>3112</v>
      </c>
      <c r="Q81">
        <v>7.44</v>
      </c>
      <c r="R81">
        <v>62.9</v>
      </c>
      <c r="S81" s="4">
        <f>MEDIA[[#This Row],[NH4-N 
(mg L-1)]]*1.288</f>
        <v>719.30936000000008</v>
      </c>
      <c r="T81" s="6">
        <f>MEDIA[[#This Row],[NO2-N 
(mg L-1)]]*3.284</f>
        <v>255.95824399999998</v>
      </c>
      <c r="U81" s="6">
        <f>(MEDIA[[#This Row],[NO3-N 
(mg L-1)]])*4.426</f>
        <v>0.8497920000000001</v>
      </c>
      <c r="V81" s="6">
        <v>558.47</v>
      </c>
      <c r="W81" s="6">
        <v>77.941000000000003</v>
      </c>
      <c r="X81" s="4">
        <f>IF(MEDIA[[#This Row],[TON 
(mg L-1)]]-MEDIA[[#This Row],[NO2-N 
(mg L-1)]]&lt;0,0.192,MEDIA[[#This Row],[TON 
(mg L-1)]]-MEDIA[[#This Row],[NO2-N 
(mg L-1)]])</f>
        <v>0.192</v>
      </c>
      <c r="Y81" s="4">
        <f>SUM(MEDIA[[#This Row],[NH4-N 
(mg L-1)]],MEDIA[[#This Row],[NO3-N 
(mg L-1)]],MEDIA[[#This Row],[NO2-N 
(mg L-1)]])</f>
        <v>636.60300000000007</v>
      </c>
      <c r="Z81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2.6271499527933995E-4</v>
      </c>
      <c r="AA81" s="48">
        <f>IF(IFERROR(MEDIA[[#This Row],[NO2-N 
(mg L-1)]]/MEDIA[[#This Row],[NH4-N 
(mg L-1)]],0)&lt;0,0,IFERROR(MEDIA[[#This Row],[NO2-N 
(mg L-1)]]/MEDIA[[#This Row],[NH4-N 
(mg L-1)]],0))</f>
        <v>0.1395616595340842</v>
      </c>
      <c r="AB81" s="48">
        <f>MEDIA[[#This Row],[NO2-N 
(mg L-1)]]/(MEDIA[[#This Row],[NO3-N 
(mg L-1)]]+MEDIA[[#This Row],[NO2-N 
(mg L-1)]])</f>
        <v>0.99754265163247291</v>
      </c>
      <c r="AC81" s="20">
        <f>46/14*MEDIA[[#This Row],[NO2-N 
(mg L-1)]]/(EXP(-2300/(MEDIA[[#This Row],[Temp. 
(°C)]]+273))*10^(MEDIA[[#This Row],[pHreactor]]))</f>
        <v>1.4833850074137962E-2</v>
      </c>
      <c r="AD81" s="6">
        <f>17/14*MEDIA[NH4-N 
(mg L-1)]*10^MEDIA[[#This Row],[pHreactor]]/(EXP((6344/(273+MEDIA[[#This Row],[Temp. 
(°C)]])))+10^MEDIA[pHreactor])</f>
        <v>16.490794785840947</v>
      </c>
      <c r="AE81" s="6">
        <f>Influent[[#This Row],[NH4-N (mg L-1)]]*MEDIA[[#This Row],[Flow 
(m3 d-1)]]/(Information!$R$48*Information!$R$49)</f>
        <v>0.16535169006076134</v>
      </c>
      <c r="AF81" s="6">
        <f>(Influent[[#This Row],[NH4-N (mg L-1)]]-MEDIA[[#This Row],[NH4-N 
(mg L-1)]])*MEDIA[[#This Row],[Flow 
(m3 d-1)]]/(Information!$R$48*Information!$R$49)</f>
        <v>9.37283608524829E-2</v>
      </c>
      <c r="AG81" s="6">
        <f>Influent[[#This Row],[COD (mg L-1)]]*MEDIA[[#This Row],[Flow 
(m3 d-1)]]/(Information!$R$48*Information!$R$49)</f>
        <v>0.31292804137769159</v>
      </c>
      <c r="AH81" s="6">
        <f>(Influent[[#This Row],[COD (mg L-1)]]-MEDIA[[#This Row],[COD 
(mg L-1)]])*MEDIA[[#This Row],[Flow 
(m3 d-1)]]/(Information!$R$48*Information!$R$49)</f>
        <v>-7.6949518371563511E-2</v>
      </c>
      <c r="AI81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652.69699999999989</v>
      </c>
      <c r="AJ81" s="6">
        <f>IFERROR(IF(Influent[[#This Row],[COD (mg L-1)]]-MEDIA[[#This Row],[COD 
(mg L-1)]]&lt;0,0,Influent[[#This Row],[COD (mg L-1)]]-MEDIA[[#This Row],[COD 
(mg L-1)]]),0)</f>
        <v>0</v>
      </c>
      <c r="AK81" s="6">
        <f>IFERROR(IF(Influent[[#This Row],[Alkalinity (mg CaCO3 L-1) ]]-MEDIA[[#This Row],[Alkalinity 
(mg CaCO3 L-1) ]]&lt;0,0,Influent[[#This Row],[Alkalinity (mg CaCO3 L-1) ]]-MEDIA[[#This Row],[Alkalinity 
(mg CaCO3 L-1) ]]),0)</f>
        <v>2733</v>
      </c>
      <c r="AL81" s="6">
        <f>Influent[[#This Row],[COD (mg L-1)]]/MEDIA[[#This Row],[HRT 
(h)]]*24/1000</f>
        <v>0.12517121655107663</v>
      </c>
      <c r="AM81" s="6"/>
      <c r="AN81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3.7491344340993167E-2</v>
      </c>
      <c r="AO81" s="6">
        <f>Influent[[#This Row],[TN (mg L-1)]]/MEDIA[[#This Row],[HRT 
(h)]]*24/1000</f>
        <v>6.615093596008742E-2</v>
      </c>
      <c r="AP81" s="6">
        <f>MEDIA[[#This Row],[NRE 
(%)]]*MEDIA[[#This Row],[NLR 
(kg N m-3 d-1)]]</f>
        <v>3.3493406464159124E-2</v>
      </c>
      <c r="AQ81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0.56684247265958265</v>
      </c>
      <c r="AR81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0.50631795269484292</v>
      </c>
      <c r="AS81" s="48">
        <f>82/30</f>
        <v>2.7333333333333334</v>
      </c>
      <c r="AT81" s="48">
        <v>0.60499999999999998</v>
      </c>
      <c r="AU81" s="48">
        <v>1.014</v>
      </c>
      <c r="AV81" s="6">
        <f>stableMED[[#This Row],[SAAcarrier
(g N g VSS-1d-1)]]+stableMED[[#This Row],[SAAsuspension
(g N g VSS-1d-1)]]</f>
        <v>1.619</v>
      </c>
      <c r="AY81"/>
    </row>
    <row r="82" spans="1:51" x14ac:dyDescent="0.3">
      <c r="A82" s="128">
        <v>43405</v>
      </c>
      <c r="B82" s="29">
        <v>79</v>
      </c>
      <c r="C82" s="42">
        <v>2.8267745587694195</v>
      </c>
      <c r="D82" s="28">
        <f>MEDIA[[#This Row],[Flow 
(L h-1)]]/1000*24</f>
        <v>6.7842589410466059E-2</v>
      </c>
      <c r="E82" s="42">
        <f>IF(IFERROR(Information!$R$47/MEDIA[[#This Row],[Flow 
(m3 d-1)]]*24,0)&lt;0,0,IFERROR(Information!$R$47/MEDIA[[#This Row],[Flow 
(m3 d-1)]]*24,0))</f>
        <v>424.51209852489842</v>
      </c>
      <c r="F82" s="42">
        <v>7.1745878500642153</v>
      </c>
      <c r="G82" s="42">
        <v>3.0341903840303837</v>
      </c>
      <c r="H82" s="41">
        <v>25.653600126701441</v>
      </c>
      <c r="I82" s="130"/>
      <c r="J82" s="130"/>
      <c r="K82">
        <v>1165</v>
      </c>
      <c r="L82" s="29">
        <f>MEDIA[[#This Row],[COD 
(mg L-1)]]*Information!$AK$42</f>
        <v>827.15</v>
      </c>
      <c r="M82">
        <v>1905</v>
      </c>
      <c r="N82">
        <v>8.4</v>
      </c>
      <c r="O82">
        <v>144</v>
      </c>
      <c r="Q82">
        <v>5.22</v>
      </c>
      <c r="R82">
        <v>52.3</v>
      </c>
      <c r="S82" s="4">
        <f>MEDIA[[#This Row],[NH4-N 
(mg L-1)]]*1.288</f>
        <v>1094.8901600000002</v>
      </c>
      <c r="T82" s="6">
        <f>MEDIA[[#This Row],[NO2-N 
(mg L-1)]]*3.284</f>
        <v>149.62560799999997</v>
      </c>
      <c r="U82" s="6">
        <f>(MEDIA[[#This Row],[NO3-N 
(mg L-1)]])*4.426</f>
        <v>29.822388</v>
      </c>
      <c r="V82" s="6">
        <v>850.07</v>
      </c>
      <c r="W82" s="6">
        <v>45.561999999999998</v>
      </c>
      <c r="X82" s="4">
        <f>IF(MEDIA[[#This Row],[TON 
(mg L-1)]]-MEDIA[[#This Row],[NO2-N 
(mg L-1)]]&lt;0,0.192,MEDIA[[#This Row],[TON 
(mg L-1)]]-MEDIA[[#This Row],[NO2-N 
(mg L-1)]])</f>
        <v>6.7379999999999995</v>
      </c>
      <c r="Y82" s="4">
        <f>SUM(MEDIA[[#This Row],[NH4-N 
(mg L-1)]],MEDIA[[#This Row],[NO3-N 
(mg L-1)]],MEDIA[[#This Row],[NO2-N 
(mg L-1)]])</f>
        <v>902.37</v>
      </c>
      <c r="Z82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1.1984206033010815E-2</v>
      </c>
      <c r="AA82" s="48">
        <f>IF(IFERROR(MEDIA[[#This Row],[NO2-N 
(mg L-1)]]/MEDIA[[#This Row],[NH4-N 
(mg L-1)]],0)&lt;0,0,IFERROR(MEDIA[[#This Row],[NO2-N 
(mg L-1)]]/MEDIA[[#This Row],[NH4-N 
(mg L-1)]],0))</f>
        <v>5.3597938993259375E-2</v>
      </c>
      <c r="AB82" s="48">
        <f>MEDIA[[#This Row],[NO2-N 
(mg L-1)]]/(MEDIA[[#This Row],[NO3-N 
(mg L-1)]]+MEDIA[[#This Row],[NO2-N 
(mg L-1)]])</f>
        <v>0.87116634799235182</v>
      </c>
      <c r="AC82" s="20">
        <f>46/14*MEDIA[[#This Row],[NO2-N 
(mg L-1)]]/(EXP(-2300/(MEDIA[[#This Row],[Temp. 
(°C)]]+273))*10^(MEDIA[[#This Row],[pHreactor]]))</f>
        <v>2.2143502937820626E-2</v>
      </c>
      <c r="AD82" s="6">
        <f>17/14*MEDIA[NH4-N 
(mg L-1)]*10^MEDIA[[#This Row],[pHreactor]]/(EXP((6344/(273+MEDIA[[#This Row],[Temp. 
(°C)]])))+10^MEDIA[pHreactor])</f>
        <v>9.1040020624199105</v>
      </c>
      <c r="AE82" s="6">
        <f>Influent[[#This Row],[NH4-N (mg L-1)]]*MEDIA[[#This Row],[Flow 
(m3 d-1)]]/(Information!$R$48*Information!$R$49)</f>
        <v>0.19961409885478193</v>
      </c>
      <c r="AF82" s="6">
        <f>(Influent[[#This Row],[NH4-N (mg L-1)]]-MEDIA[[#This Row],[NH4-N 
(mg L-1)]])*MEDIA[[#This Row],[Flow 
(m3 d-1)]]/(Information!$R$48*Information!$R$49)</f>
        <v>7.9466286396125893E-2</v>
      </c>
      <c r="AG82" s="6">
        <f>Influent[[#This Row],[COD (mg L-1)]]*MEDIA[[#This Row],[Flow 
(m3 d-1)]]/(Information!$R$48*Information!$R$49)</f>
        <v>0.41694924741848932</v>
      </c>
      <c r="AH82" s="6">
        <f>(Influent[[#This Row],[COD (mg L-1)]]-MEDIA[[#This Row],[COD 
(mg L-1)]])*MEDIA[[#This Row],[Flow 
(m3 d-1)]]/(Information!$R$48*Information!$R$49)</f>
        <v>0.25228962937017063</v>
      </c>
      <c r="AI82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509.93999999999983</v>
      </c>
      <c r="AJ82" s="6">
        <f>IFERROR(IF(Influent[[#This Row],[COD (mg L-1)]]-MEDIA[[#This Row],[COD 
(mg L-1)]]&lt;0,0,Influent[[#This Row],[COD (mg L-1)]]-MEDIA[[#This Row],[COD 
(mg L-1)]]),0)</f>
        <v>1785</v>
      </c>
      <c r="AK82" s="6">
        <f>IFERROR(IF(Influent[[#This Row],[Alkalinity (mg CaCO3 L-1) ]]-MEDIA[[#This Row],[Alkalinity 
(mg CaCO3 L-1) ]]&lt;0,0,Influent[[#This Row],[Alkalinity (mg CaCO3 L-1) ]]-MEDIA[[#This Row],[Alkalinity 
(mg CaCO3 L-1) ]]),0)</f>
        <v>2988</v>
      </c>
      <c r="AL82" s="6">
        <f>Influent[[#This Row],[COD (mg L-1)]]/MEDIA[[#This Row],[HRT 
(h)]]*24/1000</f>
        <v>0.16677969896739575</v>
      </c>
      <c r="AM82" s="6">
        <f>IF(((MEDIA[[#This Row],[ΔC (mg L-1)]])*24/MEDIA[[#This Row],[HRT 
(h)]]/1000) &lt;0,0, (MEDIA[[#This Row],[ΔC (mg L-1)]])*24/MEDIA[[#This Row],[HRT 
(h)]]/1000)</f>
        <v>0.10091585174806826</v>
      </c>
      <c r="AN82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3.1786514558450357E-2</v>
      </c>
      <c r="AO82" s="6">
        <f>Influent[[#This Row],[TN (mg L-1)]]/MEDIA[[#This Row],[HRT 
(h)]]*24/1000</f>
        <v>7.9856946640147836E-2</v>
      </c>
      <c r="AP82" s="6">
        <f>MEDIA[[#This Row],[NRE 
(%)]]*MEDIA[[#This Row],[NLR 
(kg N m-3 d-1)]]</f>
        <v>2.8841015468212626E-2</v>
      </c>
      <c r="AQ82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0.3980995673754345</v>
      </c>
      <c r="AR82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0.36115850507253044</v>
      </c>
      <c r="AS82" s="48"/>
      <c r="AT82" s="48"/>
      <c r="AU82" s="48"/>
      <c r="AV82" s="6"/>
      <c r="AY82"/>
    </row>
    <row r="83" spans="1:51" x14ac:dyDescent="0.3">
      <c r="A83" s="128">
        <v>43406</v>
      </c>
      <c r="B83" s="29">
        <v>80</v>
      </c>
      <c r="C83" s="42">
        <v>21.925123654898155</v>
      </c>
      <c r="D83" s="28">
        <f>MEDIA[[#This Row],[Flow 
(L h-1)]]/1000*24</f>
        <v>0.5262029677175557</v>
      </c>
      <c r="E83" s="42">
        <f>IF(IFERROR(Information!$R$47/MEDIA[[#This Row],[Flow 
(m3 d-1)]]*24,0)&lt;0,0,IFERROR(Information!$R$47/MEDIA[[#This Row],[Flow 
(m3 d-1)]]*24,0))</f>
        <v>54.731732367307103</v>
      </c>
      <c r="F83" s="42">
        <v>6.8846060035544028</v>
      </c>
      <c r="G83" s="42">
        <v>0.73704616367785891</v>
      </c>
      <c r="H83" s="41">
        <v>29.841574110450203</v>
      </c>
      <c r="I83" s="130"/>
      <c r="J83" s="130"/>
      <c r="K83">
        <v>1290</v>
      </c>
      <c r="L83" s="29">
        <f>MEDIA[[#This Row],[COD 
(mg L-1)]]*Information!$AK$42</f>
        <v>915.9</v>
      </c>
      <c r="M83">
        <v>2181</v>
      </c>
      <c r="N83">
        <v>8.3000000000000007</v>
      </c>
      <c r="O83">
        <v>96</v>
      </c>
      <c r="Q83">
        <v>7.3</v>
      </c>
      <c r="R83">
        <v>59.1</v>
      </c>
      <c r="S83" s="4">
        <f>MEDIA[[#This Row],[NH4-N 
(mg L-1)]]*1.288</f>
        <v>1181.0316</v>
      </c>
      <c r="T83" s="6">
        <f>MEDIA[[#This Row],[NO2-N 
(mg L-1)]]*3.284</f>
        <v>196.567104</v>
      </c>
      <c r="U83" s="6">
        <f>(MEDIA[[#This Row],[NO3-N 
(mg L-1)]])*4.426</f>
        <v>0.8497920000000001</v>
      </c>
      <c r="V83" s="6">
        <v>916.95</v>
      </c>
      <c r="W83" s="6">
        <v>59.856000000000002</v>
      </c>
      <c r="X83" s="4">
        <f>IF(MEDIA[[#This Row],[TON 
(mg L-1)]]-MEDIA[[#This Row],[NO2-N 
(mg L-1)]]&lt;0,0.192,MEDIA[[#This Row],[TON 
(mg L-1)]]-MEDIA[[#This Row],[NO2-N 
(mg L-1)]])</f>
        <v>0.192</v>
      </c>
      <c r="Y83" s="4">
        <f>SUM(MEDIA[[#This Row],[NH4-N 
(mg L-1)]],MEDIA[[#This Row],[NO3-N 
(mg L-1)]],MEDIA[[#This Row],[NO2-N 
(mg L-1)]])</f>
        <v>976.99800000000005</v>
      </c>
      <c r="Z83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3.6519258202567762E-4</v>
      </c>
      <c r="AA83" s="48">
        <f>IF(IFERROR(MEDIA[[#This Row],[NO2-N 
(mg L-1)]]/MEDIA[[#This Row],[NH4-N 
(mg L-1)]],0)&lt;0,0,IFERROR(MEDIA[[#This Row],[NO2-N 
(mg L-1)]]/MEDIA[[#This Row],[NH4-N 
(mg L-1)]],0))</f>
        <v>6.5277277932275474E-2</v>
      </c>
      <c r="AB83" s="48">
        <f>MEDIA[[#This Row],[NO2-N 
(mg L-1)]]/(MEDIA[[#This Row],[NO3-N 
(mg L-1)]]+MEDIA[[#This Row],[NO2-N 
(mg L-1)]])</f>
        <v>0.99680255795363704</v>
      </c>
      <c r="AC83" s="20">
        <f>46/14*MEDIA[[#This Row],[NO2-N 
(mg L-1)]]/(EXP(-2300/(MEDIA[[#This Row],[Temp. 
(°C)]]+273))*10^(MEDIA[[#This Row],[pHreactor]]))</f>
        <v>5.0989509102392687E-2</v>
      </c>
      <c r="AD83" s="6">
        <f>17/14*MEDIA[NH4-N 
(mg L-1)]*10^MEDIA[[#This Row],[pHreactor]]/(EXP((6344/(273+MEDIA[[#This Row],[Temp. 
(°C)]])))+10^MEDIA[pHreactor])</f>
        <v>6.7750722405657742</v>
      </c>
      <c r="AE83" s="6">
        <f>Influent[[#This Row],[NH4-N (mg L-1)]]*MEDIA[[#This Row],[Flow 
(m3 d-1)]]/(Information!$R$48*Information!$R$49)</f>
        <v>1.5815687948460784</v>
      </c>
      <c r="AF83" s="6">
        <f>(Influent[[#This Row],[NH4-N (mg L-1)]]-MEDIA[[#This Row],[NH4-N 
(mg L-1)]])*MEDIA[[#This Row],[Flow 
(m3 d-1)]]/(Information!$R$48*Information!$R$49)</f>
        <v>0.57635668807813523</v>
      </c>
      <c r="AG83" s="6">
        <f>Influent[[#This Row],[COD (mg L-1)]]*MEDIA[[#This Row],[Flow 
(m3 d-1)]]/(Information!$R$48*Information!$R$49)</f>
        <v>3.2394370200112022</v>
      </c>
      <c r="AH83" s="6">
        <f>(Influent[[#This Row],[COD (mg L-1)]]-MEDIA[[#This Row],[COD 
(mg L-1)]])*MEDIA[[#This Row],[Flow 
(m3 d-1)]]/(Information!$R$48*Information!$R$49)</f>
        <v>1.8252665442702714</v>
      </c>
      <c r="AI83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465.702</v>
      </c>
      <c r="AJ83" s="6">
        <f>IFERROR(IF(Influent[[#This Row],[COD (mg L-1)]]-MEDIA[[#This Row],[COD 
(mg L-1)]]&lt;0,0,Influent[[#This Row],[COD (mg L-1)]]-MEDIA[[#This Row],[COD 
(mg L-1)]]),0)</f>
        <v>1665</v>
      </c>
      <c r="AK83" s="6">
        <f>IFERROR(IF(Influent[[#This Row],[Alkalinity (mg CaCO3 L-1) ]]-MEDIA[[#This Row],[Alkalinity 
(mg CaCO3 L-1) ]]&lt;0,0,Influent[[#This Row],[Alkalinity (mg CaCO3 L-1) ]]-MEDIA[[#This Row],[Alkalinity 
(mg CaCO3 L-1) ]]),0)</f>
        <v>2672</v>
      </c>
      <c r="AL83" s="6">
        <f>Influent[[#This Row],[COD (mg L-1)]]/MEDIA[[#This Row],[HRT 
(h)]]*24/1000</f>
        <v>1.2957748080044811</v>
      </c>
      <c r="AM83" s="6">
        <f>IF(((MEDIA[[#This Row],[ΔC (mg L-1)]])*24/MEDIA[[#This Row],[HRT 
(h)]]/1000) &lt;0,0, (MEDIA[[#This Row],[ΔC (mg L-1)]])*24/MEDIA[[#This Row],[HRT 
(h)]]/1000)</f>
        <v>0.73010661770810859</v>
      </c>
      <c r="AN83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0.2305426752312541</v>
      </c>
      <c r="AO83" s="6">
        <f>Influent[[#This Row],[TN (mg L-1)]]/MEDIA[[#This Row],[HRT 
(h)]]*24/1000</f>
        <v>0.6327152184330509</v>
      </c>
      <c r="AP83" s="6">
        <f>MEDIA[[#This Row],[NRE 
(%)]]*MEDIA[[#This Row],[NLR 
(kg N m-3 d-1)]]</f>
        <v>0.20429917922128718</v>
      </c>
      <c r="AQ83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0.36442087752131419</v>
      </c>
      <c r="AR83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0.32289278536281102</v>
      </c>
      <c r="AS83" s="48"/>
      <c r="AT83" s="48"/>
      <c r="AU83" s="48"/>
      <c r="AV83" s="6"/>
      <c r="AY83"/>
    </row>
    <row r="84" spans="1:51" x14ac:dyDescent="0.3">
      <c r="A84" s="128">
        <v>43407</v>
      </c>
      <c r="B84" s="29">
        <v>81</v>
      </c>
      <c r="C84" s="42">
        <v>35.527486116511255</v>
      </c>
      <c r="D84" s="28">
        <f>MEDIA[[#This Row],[Flow 
(L h-1)]]/1000*24</f>
        <v>0.85265966679627014</v>
      </c>
      <c r="E84" s="42">
        <f>IF(IFERROR(Information!$R$47/MEDIA[[#This Row],[Flow 
(m3 d-1)]]*24,0)&lt;0,0,IFERROR(Information!$R$47/MEDIA[[#This Row],[Flow 
(m3 d-1)]]*24,0))</f>
        <v>33.77666508867636</v>
      </c>
      <c r="F84" s="42">
        <v>7.4738849428369534</v>
      </c>
      <c r="G84" s="42">
        <v>0.43361289468450043</v>
      </c>
      <c r="H84" s="41">
        <v>30.901050032033393</v>
      </c>
      <c r="I84" s="130"/>
      <c r="J84" s="130"/>
      <c r="K84">
        <v>1490</v>
      </c>
      <c r="L84" s="29">
        <f>MEDIA[[#This Row],[COD 
(mg L-1)]]*Information!$AK$42</f>
        <v>1057.8999999999999</v>
      </c>
      <c r="M84">
        <v>3089</v>
      </c>
      <c r="N84">
        <v>8.5</v>
      </c>
      <c r="O84">
        <v>126</v>
      </c>
      <c r="Q84">
        <v>7.89</v>
      </c>
      <c r="R84">
        <v>9.1999999999999993</v>
      </c>
      <c r="S84" s="4">
        <f>MEDIA[[#This Row],[NH4-N 
(mg L-1)]]*1.288</f>
        <v>1051.5747200000001</v>
      </c>
      <c r="T84" s="6">
        <f>MEDIA[[#This Row],[NO2-N 
(mg L-1)]]*3.284</f>
        <v>1.3792799999999998</v>
      </c>
      <c r="U84" s="6">
        <f>(MEDIA[[#This Row],[NO3-N 
(mg L-1)]])*4.426</f>
        <v>38.860279999999996</v>
      </c>
      <c r="V84" s="6">
        <v>816.44</v>
      </c>
      <c r="W84" s="6">
        <v>0.42</v>
      </c>
      <c r="X84" s="4">
        <f>IF(MEDIA[[#This Row],[TON 
(mg L-1)]]-MEDIA[[#This Row],[NO2-N 
(mg L-1)]]&lt;0,0.192,MEDIA[[#This Row],[TON 
(mg L-1)]]-MEDIA[[#This Row],[NO2-N 
(mg L-1)]])</f>
        <v>8.7799999999999994</v>
      </c>
      <c r="Y84" s="4">
        <f>SUM(MEDIA[[#This Row],[NH4-N 
(mg L-1)]],MEDIA[[#This Row],[NO3-N 
(mg L-1)]],MEDIA[[#This Row],[NO2-N 
(mg L-1)]])</f>
        <v>825.64</v>
      </c>
      <c r="Z84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1.4864727592862224E-2</v>
      </c>
      <c r="AA84" s="48">
        <f>IF(IFERROR(MEDIA[[#This Row],[NO2-N 
(mg L-1)]]/MEDIA[[#This Row],[NH4-N 
(mg L-1)]],0)&lt;0,0,IFERROR(MEDIA[[#This Row],[NO2-N 
(mg L-1)]]/MEDIA[[#This Row],[NH4-N 
(mg L-1)]],0))</f>
        <v>5.1442849443927288E-4</v>
      </c>
      <c r="AB84" s="48">
        <f>MEDIA[[#This Row],[NO2-N 
(mg L-1)]]/(MEDIA[[#This Row],[NO3-N 
(mg L-1)]]+MEDIA[[#This Row],[NO2-N 
(mg L-1)]])</f>
        <v>4.5652173913043478E-2</v>
      </c>
      <c r="AC84" s="20">
        <f>46/14*MEDIA[[#This Row],[NO2-N 
(mg L-1)]]/(EXP(-2300/(MEDIA[[#This Row],[Temp. 
(°C)]]+273))*10^(MEDIA[[#This Row],[pHreactor]]))</f>
        <v>8.9710775532330514E-5</v>
      </c>
      <c r="AD84" s="6">
        <f>17/14*MEDIA[NH4-N 
(mg L-1)]*10^MEDIA[[#This Row],[pHreactor]]/(EXP((6344/(273+MEDIA[[#This Row],[Temp. 
(°C)]])))+10^MEDIA[pHreactor])</f>
        <v>24.726901348223219</v>
      </c>
      <c r="AE84" s="6">
        <f>Influent[[#This Row],[NH4-N (mg L-1)]]*MEDIA[[#This Row],[Flow 
(m3 d-1)]]/(Information!$R$48*Information!$R$49)</f>
        <v>2.499536285727149</v>
      </c>
      <c r="AF84" s="6">
        <f>(Influent[[#This Row],[NH4-N (mg L-1)]]-MEDIA[[#This Row],[NH4-N 
(mg L-1)]])*MEDIA[[#This Row],[Flow 
(m3 d-1)]]/(Information!$R$48*Information!$R$49)</f>
        <v>1.0492332474789265</v>
      </c>
      <c r="AG84" s="6">
        <f>Influent[[#This Row],[COD (mg L-1)]]*MEDIA[[#This Row],[Flow 
(m3 d-1)]]/(Information!$R$48*Information!$R$49)</f>
        <v>5.3380047890058169</v>
      </c>
      <c r="AH84" s="6">
        <f>(Influent[[#This Row],[COD (mg L-1)]]-MEDIA[[#This Row],[COD 
(mg L-1)]])*MEDIA[[#This Row],[Flow 
(m3 d-1)]]/(Information!$R$48*Information!$R$49)</f>
        <v>2.6912070733257276</v>
      </c>
      <c r="AI84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581.45999999999992</v>
      </c>
      <c r="AJ84" s="6">
        <f>IFERROR(IF(Influent[[#This Row],[COD (mg L-1)]]-MEDIA[[#This Row],[COD 
(mg L-1)]]&lt;0,0,Influent[[#This Row],[COD (mg L-1)]]-MEDIA[[#This Row],[COD 
(mg L-1)]]),0)</f>
        <v>1515</v>
      </c>
      <c r="AK84" s="6">
        <f>IFERROR(IF(Influent[[#This Row],[Alkalinity (mg CaCO3 L-1) ]]-MEDIA[[#This Row],[Alkalinity 
(mg CaCO3 L-1) ]]&lt;0,0,Influent[[#This Row],[Alkalinity (mg CaCO3 L-1) ]]-MEDIA[[#This Row],[Alkalinity 
(mg CaCO3 L-1) ]]),0)</f>
        <v>1786</v>
      </c>
      <c r="AL84" s="6">
        <f>Influent[[#This Row],[COD (mg L-1)]]/MEDIA[[#This Row],[HRT 
(h)]]*24/1000</f>
        <v>2.1352019156023272</v>
      </c>
      <c r="AM84" s="6">
        <f>IF(((MEDIA[[#This Row],[ΔC (mg L-1)]])*24/MEDIA[[#This Row],[HRT 
(h)]]/1000) &lt;0,0, (MEDIA[[#This Row],[ΔC (mg L-1)]])*24/MEDIA[[#This Row],[HRT 
(h)]]/1000)</f>
        <v>1.0764828293302913</v>
      </c>
      <c r="AN84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0.41969329899157071</v>
      </c>
      <c r="AO84" s="6">
        <f>Influent[[#This Row],[TN (mg L-1)]]/MEDIA[[#This Row],[HRT 
(h)]]*24/1000</f>
        <v>0.99995662423532594</v>
      </c>
      <c r="AP84" s="6">
        <f>MEDIA[[#This Row],[NRE 
(%)]]*MEDIA[[#This Row],[NLR 
(kg N m-3 d-1)]]</f>
        <v>0.41329835149059879</v>
      </c>
      <c r="AQ84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0.4197711605429606</v>
      </c>
      <c r="AR84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0.41331627940026999</v>
      </c>
      <c r="AS84" s="48"/>
      <c r="AT84" s="48"/>
      <c r="AU84" s="48"/>
      <c r="AV84" s="6"/>
      <c r="AY84"/>
    </row>
    <row r="85" spans="1:51" x14ac:dyDescent="0.3">
      <c r="A85" s="128">
        <v>43408</v>
      </c>
      <c r="B85" s="29">
        <v>82</v>
      </c>
      <c r="C85" s="42">
        <v>6.8305059025495343</v>
      </c>
      <c r="D85" s="28">
        <f>MEDIA[[#This Row],[Flow 
(L h-1)]]/1000*24</f>
        <v>0.1639321416611888</v>
      </c>
      <c r="E85" s="42">
        <f>IF(IFERROR(Information!$R$47/MEDIA[[#This Row],[Flow 
(m3 d-1)]]*24,0)&lt;0,0,IFERROR(Information!$R$47/MEDIA[[#This Row],[Flow 
(m3 d-1)]]*24,0))</f>
        <v>175.68244828718935</v>
      </c>
      <c r="F85" s="42">
        <v>7.7156385377395988</v>
      </c>
      <c r="G85" s="42">
        <v>0.51758373778278488</v>
      </c>
      <c r="H85" s="41">
        <v>30.869536382297145</v>
      </c>
      <c r="I85" s="130"/>
      <c r="J85" s="130"/>
      <c r="K85">
        <v>1490</v>
      </c>
      <c r="L85" s="29">
        <f>MEDIA[[#This Row],[COD 
(mg L-1)]]*Information!$AK$42</f>
        <v>1057.8999999999999</v>
      </c>
      <c r="M85">
        <v>2901</v>
      </c>
      <c r="N85">
        <v>8.5</v>
      </c>
      <c r="O85">
        <v>50</v>
      </c>
      <c r="Q85">
        <v>6.58</v>
      </c>
      <c r="R85">
        <v>9.6</v>
      </c>
      <c r="S85" s="4">
        <f>MEDIA[[#This Row],[NH4-N 
(mg L-1)]]*1.288</f>
        <v>1051.5747200000001</v>
      </c>
      <c r="T85" s="6">
        <f>MEDIA[[#This Row],[NO2-N 
(mg L-1)]]*3.284</f>
        <v>21.552891999999996</v>
      </c>
      <c r="U85" s="6">
        <f>(MEDIA[[#This Row],[NO3-N 
(mg L-1)]])*4.426</f>
        <v>13.441762000000001</v>
      </c>
      <c r="V85" s="6">
        <v>816.44</v>
      </c>
      <c r="W85" s="6">
        <v>6.5629999999999997</v>
      </c>
      <c r="X85" s="4">
        <f>IF(MEDIA[[#This Row],[TON 
(mg L-1)]]-MEDIA[[#This Row],[NO2-N 
(mg L-1)]]&lt;0,0.192,MEDIA[[#This Row],[TON 
(mg L-1)]]-MEDIA[[#This Row],[NO2-N 
(mg L-1)]])</f>
        <v>3.0369999999999999</v>
      </c>
      <c r="Y85" s="4">
        <f>SUM(MEDIA[[#This Row],[NH4-N 
(mg L-1)]],MEDIA[[#This Row],[NO3-N 
(mg L-1)]],MEDIA[[#This Row],[NO2-N 
(mg L-1)]])</f>
        <v>826.04000000000008</v>
      </c>
      <c r="Z85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5.1135693960364373E-3</v>
      </c>
      <c r="AA85" s="48">
        <f>IF(IFERROR(MEDIA[[#This Row],[NO2-N 
(mg L-1)]]/MEDIA[[#This Row],[NH4-N 
(mg L-1)]],0)&lt;0,0,IFERROR(MEDIA[[#This Row],[NO2-N 
(mg L-1)]]/MEDIA[[#This Row],[NH4-N 
(mg L-1)]],0))</f>
        <v>8.0385576404879717E-3</v>
      </c>
      <c r="AB85" s="48">
        <f>MEDIA[[#This Row],[NO2-N 
(mg L-1)]]/(MEDIA[[#This Row],[NO3-N 
(mg L-1)]]+MEDIA[[#This Row],[NO2-N 
(mg L-1)]])</f>
        <v>0.68364583333333329</v>
      </c>
      <c r="AC85" s="20">
        <f>46/14*MEDIA[[#This Row],[NO2-N 
(mg L-1)]]/(EXP(-2300/(MEDIA[[#This Row],[Temp. 
(°C)]]+273))*10^(MEDIA[[#This Row],[pHreactor]]))</f>
        <v>8.0405360262094543E-4</v>
      </c>
      <c r="AD85" s="6">
        <f>17/14*MEDIA[NH4-N 
(mg L-1)]*10^MEDIA[[#This Row],[pHreactor]]/(EXP((6344/(273+MEDIA[[#This Row],[Temp. 
(°C)]])))+10^MEDIA[pHreactor])</f>
        <v>42.269704217428533</v>
      </c>
      <c r="AE85" s="6">
        <f>Influent[[#This Row],[NH4-N (mg L-1)]]*MEDIA[[#This Row],[Flow 
(m3 d-1)]]/(Information!$R$48*Information!$R$49)</f>
        <v>0.48167019998303667</v>
      </c>
      <c r="AF85" s="6">
        <f>(Influent[[#This Row],[NH4-N (mg L-1)]]-MEDIA[[#This Row],[NH4-N 
(mg L-1)]])*MEDIA[[#This Row],[Flow 
(m3 d-1)]]/(Information!$R$48*Information!$R$49)</f>
        <v>0.20283528802915962</v>
      </c>
      <c r="AG85" s="6">
        <f>Influent[[#This Row],[COD (mg L-1)]]*MEDIA[[#This Row],[Flow 
(m3 d-1)]]/(Information!$R$48*Information!$R$49)</f>
        <v>1.0228682589067926</v>
      </c>
      <c r="AH85" s="6">
        <f>(Influent[[#This Row],[COD (mg L-1)]]-MEDIA[[#This Row],[COD 
(mg L-1)]])*MEDIA[[#This Row],[Flow 
(m3 d-1)]]/(Information!$R$48*Information!$R$49)</f>
        <v>0.51399556916685241</v>
      </c>
      <c r="AI85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584.30999999999983</v>
      </c>
      <c r="AJ85" s="6">
        <f>IFERROR(IF(Influent[[#This Row],[COD (mg L-1)]]-MEDIA[[#This Row],[COD 
(mg L-1)]]&lt;0,0,Influent[[#This Row],[COD (mg L-1)]]-MEDIA[[#This Row],[COD 
(mg L-1)]]),0)</f>
        <v>1505</v>
      </c>
      <c r="AK85" s="6">
        <f>IFERROR(IF(Influent[[#This Row],[Alkalinity (mg CaCO3 L-1) ]]-MEDIA[[#This Row],[Alkalinity 
(mg CaCO3 L-1) ]]&lt;0,0,Influent[[#This Row],[Alkalinity (mg CaCO3 L-1) ]]-MEDIA[[#This Row],[Alkalinity 
(mg CaCO3 L-1) ]]),0)</f>
        <v>1957</v>
      </c>
      <c r="AL85" s="6">
        <f>Influent[[#This Row],[COD (mg L-1)]]/MEDIA[[#This Row],[HRT 
(h)]]*24/1000</f>
        <v>0.40914730356271706</v>
      </c>
      <c r="AM85" s="6">
        <f>IF(((MEDIA[[#This Row],[ΔC (mg L-1)]])*24/MEDIA[[#This Row],[HRT 
(h)]]/1000) &lt;0,0, (MEDIA[[#This Row],[ΔC (mg L-1)]])*24/MEDIA[[#This Row],[HRT 
(h)]]/1000)</f>
        <v>0.20559822766674096</v>
      </c>
      <c r="AN85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8.113411521166386E-2</v>
      </c>
      <c r="AO85" s="6">
        <f>Influent[[#This Row],[TN (mg L-1)]]/MEDIA[[#This Row],[HRT 
(h)]]*24/1000</f>
        <v>0.19269540201682486</v>
      </c>
      <c r="AP85" s="6">
        <f>MEDIA[[#This Row],[NRE 
(%)]]*MEDIA[[#This Row],[NLR 
(kg N m-3 d-1)]]</f>
        <v>7.9849980101984533E-2</v>
      </c>
      <c r="AQ85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0.42110823554436833</v>
      </c>
      <c r="AR85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0.41438445996242596</v>
      </c>
      <c r="AS85" s="48"/>
      <c r="AT85" s="48"/>
      <c r="AU85" s="48"/>
      <c r="AV85" s="6"/>
      <c r="AY85"/>
    </row>
    <row r="86" spans="1:51" x14ac:dyDescent="0.3">
      <c r="A86" s="128">
        <v>43409</v>
      </c>
      <c r="B86" s="29">
        <v>83</v>
      </c>
      <c r="C86" s="42">
        <v>1.0524774384722035</v>
      </c>
      <c r="D86" s="28">
        <f>MEDIA[[#This Row],[Flow 
(L h-1)]]/1000*24</f>
        <v>2.5259458523332882E-2</v>
      </c>
      <c r="E86" s="42">
        <f>IF(IFERROR(Information!$R$47/MEDIA[[#This Row],[Flow 
(m3 d-1)]]*24,0)&lt;0,0,IFERROR(Information!$R$47/MEDIA[[#This Row],[Flow 
(m3 d-1)]]*24,0))</f>
        <v>1140.1669585829252</v>
      </c>
      <c r="F86" s="42">
        <v>7.834439008528058</v>
      </c>
      <c r="G86" s="42">
        <v>0.79096667806810905</v>
      </c>
      <c r="H86" s="41">
        <v>29.124351353829041</v>
      </c>
      <c r="I86" s="130">
        <v>48</v>
      </c>
      <c r="J86" s="130">
        <v>13</v>
      </c>
      <c r="K86">
        <v>1440</v>
      </c>
      <c r="L86" s="29">
        <f>MEDIA[[#This Row],[COD 
(mg L-1)]]*Information!$AK$42</f>
        <v>1022.4</v>
      </c>
      <c r="M86">
        <v>2913</v>
      </c>
      <c r="N86">
        <v>8.4</v>
      </c>
      <c r="Q86">
        <v>6.57</v>
      </c>
      <c r="R86">
        <v>8.6</v>
      </c>
      <c r="S86" s="4">
        <f>MEDIA[[#This Row],[NH4-N 
(mg L-1)]]*1.288</f>
        <v>1040.61384</v>
      </c>
      <c r="T86" s="6">
        <f>MEDIA[[#This Row],[NO2-N 
(mg L-1)]]*3.284</f>
        <v>19.378883999999999</v>
      </c>
      <c r="U86" s="6">
        <f>(MEDIA[[#This Row],[NO3-N 
(mg L-1)]])*4.426</f>
        <v>11.945774</v>
      </c>
      <c r="V86" s="6">
        <v>807.93</v>
      </c>
      <c r="W86" s="6">
        <v>5.9009999999999998</v>
      </c>
      <c r="X86" s="4">
        <f>IF(MEDIA[[#This Row],[TON 
(mg L-1)]]-MEDIA[[#This Row],[NO2-N 
(mg L-1)]]&lt;0,0.192,MEDIA[[#This Row],[TON 
(mg L-1)]]-MEDIA[[#This Row],[NO2-N 
(mg L-1)]])</f>
        <v>2.6989999999999998</v>
      </c>
      <c r="Y86" s="4">
        <f>SUM(MEDIA[[#This Row],[NH4-N 
(mg L-1)]],MEDIA[[#This Row],[NO3-N 
(mg L-1)]],MEDIA[[#This Row],[NO2-N 
(mg L-1)]])</f>
        <v>816.52999999999986</v>
      </c>
      <c r="Z86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5.7307259485742173E-3</v>
      </c>
      <c r="AA86" s="48">
        <f>IF(IFERROR(MEDIA[[#This Row],[NO2-N 
(mg L-1)]]/MEDIA[[#This Row],[NH4-N 
(mg L-1)]],0)&lt;0,0,IFERROR(MEDIA[[#This Row],[NO2-N 
(mg L-1)]]/MEDIA[[#This Row],[NH4-N 
(mg L-1)]],0))</f>
        <v>7.3038505811147004E-3</v>
      </c>
      <c r="AB86" s="48">
        <f>MEDIA[[#This Row],[NO2-N 
(mg L-1)]]/(MEDIA[[#This Row],[NO3-N 
(mg L-1)]]+MEDIA[[#This Row],[NO2-N 
(mg L-1)]])</f>
        <v>0.68616279069767439</v>
      </c>
      <c r="AC86" s="20">
        <f>46/14*MEDIA[[#This Row],[NO2-N 
(mg L-1)]]/(EXP(-2300/(MEDIA[[#This Row],[Temp. 
(°C)]]+273))*10^(MEDIA[[#This Row],[pHreactor]]))</f>
        <v>5.7450763901879646E-4</v>
      </c>
      <c r="AD86" s="6">
        <f>17/14*MEDIA[NH4-N 
(mg L-1)]*10^MEDIA[[#This Row],[pHreactor]]/(EXP((6344/(273+MEDIA[[#This Row],[Temp. 
(°C)]])))+10^MEDIA[pHreactor])</f>
        <v>48.401135544672606</v>
      </c>
      <c r="AE86" s="6">
        <f>Influent[[#This Row],[NH4-N (mg L-1)]]*MEDIA[[#This Row],[Flow 
(m3 d-1)]]/(Information!$R$48*Information!$R$49)</f>
        <v>6.7300669803105062E-2</v>
      </c>
      <c r="AF86" s="6">
        <f>(Influent[[#This Row],[NH4-N (mg L-1)]]-MEDIA[[#This Row],[NH4-N 
(mg L-1)]])*MEDIA[[#This Row],[Flow 
(m3 d-1)]]/(Information!$R$48*Information!$R$49)</f>
        <v>2.478426495986269E-2</v>
      </c>
      <c r="AG86" s="6">
        <f>Influent[[#This Row],[COD (mg L-1)]]*MEDIA[[#This Row],[Flow 
(m3 d-1)]]/(Information!$R$48*Information!$R$49)</f>
        <v>0.13471711212444204</v>
      </c>
      <c r="AH86" s="6">
        <f>(Influent[[#This Row],[COD (mg L-1)]]-MEDIA[[#This Row],[COD 
(mg L-1)]])*MEDIA[[#This Row],[Flow 
(m3 d-1)]]/(Information!$R$48*Information!$R$49)</f>
        <v>5.8938736554443392E-2</v>
      </c>
      <c r="AI86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462.37000000000023</v>
      </c>
      <c r="AJ86" s="6">
        <f>IFERROR(IF(Influent[[#This Row],[COD (mg L-1)]]-MEDIA[[#This Row],[COD 
(mg L-1)]]&lt;0,0,Influent[[#This Row],[COD (mg L-1)]]-MEDIA[[#This Row],[COD 
(mg L-1)]]),0)</f>
        <v>1120</v>
      </c>
      <c r="AK86" s="6">
        <f>IFERROR(IF(Influent[[#This Row],[Alkalinity (mg CaCO3 L-1) ]]-MEDIA[[#This Row],[Alkalinity 
(mg CaCO3 L-1) ]]&lt;0,0,Influent[[#This Row],[Alkalinity (mg CaCO3 L-1) ]]-MEDIA[[#This Row],[Alkalinity 
(mg CaCO3 L-1) ]]),0)</f>
        <v>1609</v>
      </c>
      <c r="AL86" s="6">
        <f>Influent[[#This Row],[COD (mg L-1)]]/MEDIA[[#This Row],[HRT 
(h)]]*24/1000</f>
        <v>5.3886844849776815E-2</v>
      </c>
      <c r="AM86" s="6">
        <f>IF(((MEDIA[[#This Row],[ΔC (mg L-1)]])*24/MEDIA[[#This Row],[HRT 
(h)]]/1000) &lt;0,0, (MEDIA[[#This Row],[ΔC (mg L-1)]])*24/MEDIA[[#This Row],[HRT 
(h)]]/1000)</f>
        <v>2.3575494621777358E-2</v>
      </c>
      <c r="AN86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9.9137059839450765E-3</v>
      </c>
      <c r="AO86" s="6">
        <f>Influent[[#This Row],[TN (mg L-1)]]/MEDIA[[#This Row],[HRT 
(h)]]*24/1000</f>
        <v>2.6924477830995913E-2</v>
      </c>
      <c r="AP86" s="6">
        <f>MEDIA[[#This Row],[NRE 
(%)]]*MEDIA[[#This Row],[NLR 
(kg N m-3 d-1)]]</f>
        <v>9.7368897742817484E-3</v>
      </c>
      <c r="AQ86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0.36826178747361021</v>
      </c>
      <c r="AR86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0.3616370885779065</v>
      </c>
      <c r="AS86" s="48"/>
      <c r="AT86" s="48"/>
      <c r="AU86" s="48"/>
      <c r="AV86" s="6"/>
      <c r="AY86"/>
    </row>
    <row r="87" spans="1:51" x14ac:dyDescent="0.3">
      <c r="A87" s="128">
        <v>43410</v>
      </c>
      <c r="B87" s="29">
        <v>84</v>
      </c>
      <c r="C87" s="42">
        <v>2.2177520799620289</v>
      </c>
      <c r="D87" s="28">
        <f>MEDIA[[#This Row],[Flow 
(L h-1)]]/1000*24</f>
        <v>5.3226049919088698E-2</v>
      </c>
      <c r="E87" s="42">
        <f>IF(IFERROR(Information!$R$47/MEDIA[[#This Row],[Flow 
(m3 d-1)]]*24,0)&lt;0,0,IFERROR(Information!$R$47/MEDIA[[#This Row],[Flow 
(m3 d-1)]]*24,0))</f>
        <v>541.0884340239445</v>
      </c>
      <c r="F87" s="42">
        <v>7.8958946000946266</v>
      </c>
      <c r="G87" s="42">
        <v>0.89767268284281188</v>
      </c>
      <c r="H87" s="41">
        <v>29.152223672439803</v>
      </c>
      <c r="I87" s="130"/>
      <c r="J87" s="130"/>
      <c r="K87">
        <v>1350</v>
      </c>
      <c r="L87" s="29">
        <f>MEDIA[[#This Row],[COD 
(mg L-1)]]*Information!$AK$42</f>
        <v>958.5</v>
      </c>
      <c r="M87">
        <v>2747</v>
      </c>
      <c r="N87">
        <v>8.5</v>
      </c>
      <c r="O87">
        <v>180</v>
      </c>
      <c r="Q87">
        <v>6.69</v>
      </c>
      <c r="R87">
        <v>19.399999999999999</v>
      </c>
      <c r="S87" s="4"/>
      <c r="T87" s="6"/>
      <c r="U87" s="6"/>
      <c r="V87" s="6">
        <v>766.36</v>
      </c>
      <c r="W87" s="6">
        <v>13.57</v>
      </c>
      <c r="X87" s="4">
        <f>IF(MEDIA[[#This Row],[TON 
(mg L-1)]]-MEDIA[[#This Row],[NO2-N 
(mg L-1)]]&lt;0,0.192,MEDIA[[#This Row],[TON 
(mg L-1)]]-MEDIA[[#This Row],[NO2-N 
(mg L-1)]])</f>
        <v>5.8299999999999983</v>
      </c>
      <c r="Y87" s="4">
        <f>SUM(MEDIA[[#This Row],[NH4-N 
(mg L-1)]],MEDIA[[#This Row],[NO3-N 
(mg L-1)]],MEDIA[[#This Row],[NO2-N 
(mg L-1)]])</f>
        <v>785.7600000000001</v>
      </c>
      <c r="Z87" s="48">
        <f>IF(IFERROR(MEDIA[[#This Row],[NO3-N 
(mg L-1)]]/(Influent[[#This Row],[NH4-N (mg L-1)]]-MEDIA[[#This Row],[NH4-N 
(mg L-1)]]),0)&lt;0,0,IFERROR(MEDIA[[#This Row],[NO3-N 
(mg L-1)]]/(Influent[[#This Row],[NH4-N (mg L-1)]]-MEDIA[[#This Row],[NH4-N 
(mg L-1)]]),0))</f>
        <v>1.2593424633861837E-2</v>
      </c>
      <c r="AA87" s="48">
        <f>IF(IFERROR(MEDIA[[#This Row],[NO2-N 
(mg L-1)]]/MEDIA[[#This Row],[NH4-N 
(mg L-1)]],0)&lt;0,0,IFERROR(MEDIA[[#This Row],[NO2-N 
(mg L-1)]]/MEDIA[[#This Row],[NH4-N 
(mg L-1)]],0))</f>
        <v>1.7707082833133252E-2</v>
      </c>
      <c r="AB87" s="48">
        <f>MEDIA[[#This Row],[NO2-N 
(mg L-1)]]/(MEDIA[[#This Row],[NO3-N 
(mg L-1)]]+MEDIA[[#This Row],[NO2-N 
(mg L-1)]])</f>
        <v>0.6994845360824743</v>
      </c>
      <c r="AC87" s="20">
        <f>46/14*MEDIA[[#This Row],[NO2-N 
(mg L-1)]]/(EXP(-2300/(MEDIA[[#This Row],[Temp. 
(°C)]]+273))*10^(MEDIA[[#This Row],[pHreactor]]))</f>
        <v>1.1460127977641764E-3</v>
      </c>
      <c r="AD87" s="6">
        <f>17/14*MEDIA[NH4-N 
(mg L-1)]*10^MEDIA[[#This Row],[pHreactor]]/(EXP((6344/(273+MEDIA[[#This Row],[Temp. 
(°C)]])))+10^MEDIA[pHreactor])</f>
        <v>52.591934905715725</v>
      </c>
      <c r="AE87" s="6">
        <f>Influent[[#This Row],[NH4-N (mg L-1)]]*MEDIA[[#This Row],[Flow 
(m3 d-1)]]/(Information!$R$48*Information!$R$49)</f>
        <v>0.13631413159486611</v>
      </c>
      <c r="AF87" s="6">
        <f>(Influent[[#This Row],[NH4-N (mg L-1)]]-MEDIA[[#This Row],[NH4-N 
(mg L-1)]])*MEDIA[[#This Row],[Flow 
(m3 d-1)]]/(Information!$R$48*Information!$R$49)</f>
        <v>5.1334307394881082E-2</v>
      </c>
      <c r="AG87" s="6">
        <f>Influent[[#This Row],[COD (mg L-1)]]*MEDIA[[#This Row],[Flow 
(m3 d-1)]]/(Information!$R$48*Information!$R$49)</f>
        <v>0.27500125791529162</v>
      </c>
      <c r="AH87" s="6">
        <f>(Influent[[#This Row],[COD (mg L-1)]]-MEDIA[[#This Row],[COD 
(mg L-1)]])*MEDIA[[#This Row],[Flow 
(m3 d-1)]]/(Information!$R$48*Information!$R$49)</f>
        <v>0.12530299251785465</v>
      </c>
      <c r="AI87" s="48">
        <f>IF(IFERROR(Influent[[#This Row],[NH4-N (mg L-1)]]-(MEDIA[[#This Row],[NH4-N 
(mg L-1)]]+MEDIA[[#This Row],[NO2-N 
(mg L-1)]]+MEDIA[[#This Row],[NO3-N 
(mg L-1)]]),0)&lt;0,0,IFERROR(Influent[[#This Row],[NH4-N (mg L-1)]]-(MEDIA[[#This Row],[NH4-N 
(mg L-1)]]+MEDIA[[#This Row],[NO2-N 
(mg L-1)]]+MEDIA[[#This Row],[NO3-N 
(mg L-1)]]),0))</f>
        <v>443.53999999999985</v>
      </c>
      <c r="AJ87" s="6">
        <f>IFERROR(IF(Influent[[#This Row],[COD (mg L-1)]]-MEDIA[[#This Row],[COD 
(mg L-1)]]&lt;0,0,Influent[[#This Row],[COD (mg L-1)]]-MEDIA[[#This Row],[COD 
(mg L-1)]]),0)</f>
        <v>1130</v>
      </c>
      <c r="AK87" s="6">
        <f>IFERROR(IF(Influent[[#This Row],[Alkalinity (mg CaCO3 L-1) ]]-MEDIA[[#This Row],[Alkalinity 
(mg CaCO3 L-1) ]]&lt;0,0,Influent[[#This Row],[Alkalinity (mg CaCO3 L-1) ]]-MEDIA[[#This Row],[Alkalinity 
(mg CaCO3 L-1) ]]),0)</f>
        <v>1679</v>
      </c>
      <c r="AL87" s="6">
        <f>Influent[[#This Row],[COD (mg L-1)]]/MEDIA[[#This Row],[HRT 
(h)]]*24/1000</f>
        <v>0.11000050316611663</v>
      </c>
      <c r="AM87" s="6">
        <f>IF(((MEDIA[[#This Row],[ΔC (mg L-1)]])*24/MEDIA[[#This Row],[HRT 
(h)]]/1000) &lt;0,0, (MEDIA[[#This Row],[ΔC (mg L-1)]])*24/MEDIA[[#This Row],[HRT 
(h)]]/1000)</f>
        <v>5.0121197007141849E-2</v>
      </c>
      <c r="AN87" s="6">
        <f>IF(IFERROR((Influent[[#This Row],[NH4-N (mg L-1)]]-MEDIA[[#This Row],[NH4-N 
(mg L-1)]])/MEDIA[[#This Row],[HRT 
(h)]]*24/1000,0)&lt;0,0,IFERROR((Influent[[#This Row],[NH4-N (mg L-1)]]-MEDIA[[#This Row],[NH4-N 
(mg L-1)]])/MEDIA[[#This Row],[HRT 
(h)]]*24/1000,0))</f>
        <v>2.053372295795243E-2</v>
      </c>
      <c r="AO87" s="6">
        <f>Influent[[#This Row],[TN (mg L-1)]]/MEDIA[[#This Row],[HRT 
(h)]]*24/1000</f>
        <v>5.4534523646266292E-2</v>
      </c>
      <c r="AP87" s="6">
        <f>MEDIA[[#This Row],[NRE 
(%)]]*MEDIA[[#This Row],[NLR 
(kg N m-3 d-1)]]</f>
        <v>1.9682106159247009E-2</v>
      </c>
      <c r="AQ87" s="26">
        <f>IFERROR(IF((Influent[[#This Row],[NH4-N (mg L-1)]]-MEDIA[[#This Row],[NH4-N 
(mg L-1)]])/Influent[[#This Row],[NH4-N (mg L-1)]]&lt;0,0,(Influent[[#This Row],[NH4-N (mg L-1)]]-MEDIA[[#This Row],[NH4-N 
(mg L-1)]])/Influent[[#This Row],[NH4-N (mg L-1)]]),0)</f>
        <v>0.37658830228585372</v>
      </c>
      <c r="AR87" s="26">
        <f>IF(IFERROR((Influent[[#This Row],[TN (mg L-1)]]-MEDIA[[#This Row],[TN 
(mg L-1)]])/Influent[[#This Row],[TN (mg L-1)]],0)&lt;0,0,IFERROR((Influent[[#This Row],[TN (mg L-1)]]-MEDIA[[#This Row],[TN 
(mg L-1)]])/Influent[[#This Row],[TN (mg L-1)]],0))</f>
        <v>0.36091093940626262</v>
      </c>
      <c r="AS87" s="48"/>
      <c r="AT87" s="48"/>
      <c r="AU87" s="48"/>
      <c r="AV87" s="6"/>
      <c r="AY87"/>
    </row>
    <row r="88" spans="1:51" x14ac:dyDescent="0.3">
      <c r="A88" s="128"/>
      <c r="B88" s="29"/>
      <c r="C88" s="42"/>
      <c r="D88" s="28"/>
      <c r="E88" s="42"/>
      <c r="F88" s="42"/>
      <c r="G88" s="42"/>
      <c r="H88" s="41"/>
      <c r="I88" s="130"/>
      <c r="J88" s="130"/>
      <c r="S88" s="4"/>
      <c r="T88" s="6"/>
      <c r="U88" s="6"/>
      <c r="V88" s="6"/>
      <c r="W88" s="6"/>
      <c r="X88" s="4"/>
      <c r="Y88" s="4"/>
      <c r="Z88" s="89"/>
      <c r="AA88" s="48"/>
      <c r="AB88" s="48"/>
      <c r="AF88" s="20"/>
      <c r="AG88" s="6"/>
      <c r="AH88" s="6"/>
      <c r="AI88" s="6"/>
      <c r="AJ88" s="6"/>
      <c r="AK88" s="6"/>
      <c r="AL88" s="48"/>
      <c r="AM88" s="6"/>
      <c r="AN88" s="6"/>
      <c r="AO88" s="6"/>
      <c r="AP88" s="6"/>
      <c r="AQ88" s="6"/>
      <c r="AR88" s="6"/>
      <c r="AS88" s="6"/>
      <c r="AT88" s="6"/>
      <c r="AU88" s="6"/>
      <c r="AV88" s="26"/>
      <c r="AW88" s="26"/>
      <c r="AX88" s="6"/>
      <c r="AY88" s="6"/>
    </row>
    <row r="89" spans="1:51" x14ac:dyDescent="0.3">
      <c r="A89" s="128"/>
      <c r="B89" s="29"/>
      <c r="C89" s="42"/>
      <c r="D89" s="28"/>
      <c r="E89" s="42"/>
      <c r="F89" s="42"/>
      <c r="G89" s="42"/>
      <c r="H89" s="41"/>
      <c r="I89" s="130"/>
      <c r="J89" s="130"/>
      <c r="S89" s="4"/>
      <c r="T89" s="6"/>
      <c r="U89" s="6"/>
      <c r="V89" s="6"/>
      <c r="W89" s="6"/>
      <c r="X89" s="4"/>
      <c r="Y89" s="4"/>
      <c r="Z89" s="89"/>
      <c r="AA89" s="48"/>
      <c r="AB89" s="48"/>
      <c r="AF89" s="20"/>
      <c r="AG89" s="6"/>
      <c r="AH89" s="6"/>
      <c r="AI89" s="6"/>
      <c r="AJ89" s="6"/>
      <c r="AK89" s="6"/>
      <c r="AL89" s="48"/>
      <c r="AM89" s="6"/>
      <c r="AN89" s="6"/>
      <c r="AO89" s="6"/>
      <c r="AP89" s="6"/>
      <c r="AQ89" s="6"/>
      <c r="AR89" s="6"/>
      <c r="AS89" s="6"/>
      <c r="AT89" s="6"/>
      <c r="AU89" s="6"/>
      <c r="AV89" s="26"/>
      <c r="AW89" s="26"/>
      <c r="AX89" s="6"/>
      <c r="AY89" s="6"/>
    </row>
    <row r="90" spans="1:51" x14ac:dyDescent="0.3">
      <c r="A90" s="128"/>
      <c r="B90" s="29"/>
      <c r="C90" s="42"/>
      <c r="D90" s="28"/>
      <c r="E90" s="42"/>
      <c r="F90" s="42"/>
      <c r="G90" s="42"/>
      <c r="H90" s="41"/>
      <c r="I90" s="130"/>
      <c r="J90" s="130"/>
      <c r="S90" s="4"/>
      <c r="T90" s="6"/>
      <c r="U90" s="6"/>
      <c r="V90" s="6"/>
      <c r="W90" s="6"/>
      <c r="X90" s="4"/>
      <c r="Y90" s="4"/>
      <c r="Z90" s="237"/>
      <c r="AA90" s="237"/>
      <c r="AB90" s="48"/>
      <c r="AF90" s="20"/>
      <c r="AG90" s="6"/>
      <c r="AH90" s="6"/>
      <c r="AI90" s="6"/>
      <c r="AJ90" s="6"/>
      <c r="AK90" s="6"/>
      <c r="AL90" s="48"/>
      <c r="AM90" s="6"/>
      <c r="AN90" s="6"/>
      <c r="AO90" s="6"/>
      <c r="AP90" s="6"/>
      <c r="AQ90" s="6"/>
      <c r="AR90" s="6"/>
      <c r="AS90" s="6"/>
      <c r="AT90" s="6"/>
      <c r="AU90" s="6"/>
      <c r="AV90" s="26"/>
      <c r="AW90" s="26"/>
      <c r="AX90" s="6"/>
      <c r="AY90" s="6"/>
    </row>
  </sheetData>
  <mergeCells count="2">
    <mergeCell ref="C2:H2"/>
    <mergeCell ref="K2:Y2"/>
  </mergeCells>
  <conditionalFormatting sqref="AJ1">
    <cfRule type="aboveAverage" dxfId="14" priority="18" stdDev="2"/>
  </conditionalFormatting>
  <conditionalFormatting sqref="AJ1">
    <cfRule type="aboveAverage" dxfId="13" priority="17" aboveAverage="0" stdDev="2"/>
  </conditionalFormatting>
  <conditionalFormatting sqref="AC1">
    <cfRule type="aboveAverage" dxfId="12" priority="16" stdDev="2"/>
  </conditionalFormatting>
  <conditionalFormatting sqref="AC1">
    <cfRule type="aboveAverage" dxfId="11" priority="15" aboveAverage="0" stdDev="2"/>
  </conditionalFormatting>
  <conditionalFormatting sqref="A4:H87 K4:AR87">
    <cfRule type="cellIs" dxfId="10" priority="14" operator="lessThanOrEqual">
      <formula>0</formula>
    </cfRule>
  </conditionalFormatting>
  <conditionalFormatting sqref="AV33 AS33 AS4:AV32 AS34:AV87">
    <cfRule type="cellIs" dxfId="9" priority="13" operator="lessThanOrEqual">
      <formula>0</formula>
    </cfRule>
  </conditionalFormatting>
  <conditionalFormatting sqref="I4:J32 I55:J87 J54 I34:J53">
    <cfRule type="cellIs" dxfId="8" priority="12" operator="lessThanOrEqual">
      <formula>0</formula>
    </cfRule>
  </conditionalFormatting>
  <conditionalFormatting sqref="Z4:Z87">
    <cfRule type="cellIs" dxfId="7" priority="11" operator="greaterThan">
      <formula>0.075</formula>
    </cfRule>
  </conditionalFormatting>
  <conditionalFormatting sqref="AA4:AA87">
    <cfRule type="cellIs" dxfId="6" priority="10" operator="greaterThanOrEqual">
      <formula>0.53</formula>
    </cfRule>
  </conditionalFormatting>
  <conditionalFormatting sqref="AC6:AC87">
    <cfRule type="cellIs" dxfId="5" priority="9" operator="greaterThanOrEqual">
      <formula>0.011</formula>
    </cfRule>
  </conditionalFormatting>
  <conditionalFormatting sqref="AD3:AD87">
    <cfRule type="cellIs" priority="6" operator="lessThan">
      <formula>20</formula>
    </cfRule>
    <cfRule type="colorScale" priority="7">
      <colorScale>
        <cfvo type="num" val="20"/>
        <cfvo type="num" val="50"/>
        <color theme="7" tint="0.79998168889431442"/>
        <color theme="5" tint="-0.249977111117893"/>
      </colorScale>
    </cfRule>
  </conditionalFormatting>
  <conditionalFormatting sqref="G4:G87">
    <cfRule type="cellIs" dxfId="4" priority="5" operator="greaterThan">
      <formula>0.8</formula>
    </cfRule>
  </conditionalFormatting>
  <conditionalFormatting sqref="F4:F87">
    <cfRule type="cellIs" dxfId="3" priority="3" operator="lessThan">
      <formula>6.7</formula>
    </cfRule>
    <cfRule type="cellIs" dxfId="2" priority="4" operator="greaterThan">
      <formula>7.5</formula>
    </cfRule>
  </conditionalFormatting>
  <conditionalFormatting sqref="V4:V87">
    <cfRule type="cellIs" dxfId="1" priority="2" operator="greaterThan">
      <formula>200</formula>
    </cfRule>
  </conditionalFormatting>
  <conditionalFormatting sqref="W4:W87">
    <cfRule type="cellIs" dxfId="0" priority="1" operator="greaterThan">
      <formula>50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79998168889431442"/>
  </sheetPr>
  <dimension ref="A1:AQ93"/>
  <sheetViews>
    <sheetView zoomScale="70" zoomScaleNormal="70" workbookViewId="0">
      <pane xSplit="2" ySplit="3" topLeftCell="C4" activePane="bottomRight" state="frozen"/>
      <selection activeCell="F26" sqref="F26"/>
      <selection pane="topRight" activeCell="F26" sqref="F26"/>
      <selection pane="bottomLeft" activeCell="F26" sqref="F26"/>
      <selection pane="bottomRight" activeCell="Q21" sqref="Q21"/>
    </sheetView>
  </sheetViews>
  <sheetFormatPr defaultRowHeight="14.4" x14ac:dyDescent="0.3"/>
  <cols>
    <col min="1" max="1" width="14.6640625" customWidth="1"/>
    <col min="2" max="2" width="11.88671875" customWidth="1"/>
    <col min="3" max="3" width="8.44140625" customWidth="1"/>
    <col min="4" max="4" width="9.5546875" customWidth="1"/>
    <col min="5" max="5" width="9.109375" customWidth="1"/>
    <col min="6" max="6" width="10.6640625" customWidth="1"/>
    <col min="7" max="7" width="11.6640625" customWidth="1"/>
    <col min="8" max="8" width="10.109375" customWidth="1"/>
    <col min="9" max="9" width="9.109375" customWidth="1"/>
    <col min="10" max="11" width="9.109375" style="29" customWidth="1"/>
    <col min="12" max="12" width="8.109375" customWidth="1"/>
    <col min="13" max="13" width="8.109375" style="29" customWidth="1"/>
    <col min="14" max="14" width="14.88671875" customWidth="1"/>
    <col min="15" max="15" width="7.44140625" customWidth="1"/>
    <col min="16" max="16" width="9.44140625" customWidth="1"/>
    <col min="17" max="17" width="7.6640625" customWidth="1"/>
    <col min="18" max="18" width="9" customWidth="1"/>
    <col min="19" max="19" width="12.44140625" customWidth="1"/>
    <col min="20" max="20" width="8.5546875" hidden="1" customWidth="1"/>
    <col min="21" max="21" width="8.109375" hidden="1" customWidth="1"/>
    <col min="22" max="22" width="7.88671875" hidden="1" customWidth="1"/>
    <col min="23" max="23" width="9.33203125" customWidth="1"/>
    <col min="25" max="25" width="8.44140625" customWidth="1"/>
    <col min="26" max="26" width="10.33203125" customWidth="1"/>
    <col min="29" max="29" width="8.88671875" style="29"/>
    <col min="30" max="30" width="11.44140625" customWidth="1"/>
    <col min="32" max="32" width="0" hidden="1" customWidth="1"/>
    <col min="33" max="33" width="14.88671875" style="29" hidden="1" customWidth="1"/>
    <col min="34" max="34" width="11.109375" style="29" hidden="1" customWidth="1"/>
    <col min="35" max="35" width="15.5546875" customWidth="1"/>
    <col min="36" max="36" width="17.109375" style="29" customWidth="1"/>
    <col min="37" max="37" width="17.5546875" customWidth="1"/>
    <col min="38" max="38" width="13.33203125" customWidth="1"/>
    <col min="39" max="39" width="13.21875" style="29" customWidth="1"/>
    <col min="40" max="40" width="9.88671875" style="29" customWidth="1"/>
    <col min="41" max="41" width="10.44140625" style="29" customWidth="1"/>
    <col min="42" max="42" width="15.44140625" style="29" customWidth="1"/>
    <col min="43" max="43" width="60.5546875" customWidth="1"/>
  </cols>
  <sheetData>
    <row r="1" spans="1:43" ht="20.399999999999999" thickBot="1" x14ac:dyDescent="0.45">
      <c r="A1" s="1" t="s">
        <v>315</v>
      </c>
      <c r="B1" s="1"/>
      <c r="C1" s="29"/>
      <c r="D1" s="29"/>
      <c r="E1" s="29"/>
      <c r="F1" s="5"/>
      <c r="G1" s="5"/>
      <c r="H1" s="5"/>
      <c r="I1" s="5"/>
      <c r="J1" s="5"/>
      <c r="K1" s="5"/>
      <c r="L1" s="5"/>
      <c r="M1" s="5"/>
      <c r="O1" s="5"/>
      <c r="P1" s="5"/>
      <c r="Q1" s="46"/>
      <c r="T1" s="46"/>
      <c r="U1" s="46"/>
      <c r="V1" s="46"/>
      <c r="W1" s="144"/>
      <c r="X1" s="144"/>
      <c r="Y1" s="144"/>
      <c r="AD1" s="29"/>
      <c r="AE1" s="29"/>
      <c r="AF1" s="29"/>
      <c r="AH1"/>
      <c r="AI1" s="29"/>
      <c r="AK1" s="29"/>
      <c r="AL1" s="29"/>
      <c r="AN1"/>
      <c r="AO1"/>
    </row>
    <row r="2" spans="1:43" ht="15" thickTop="1" x14ac:dyDescent="0.3">
      <c r="C2" s="333" t="s">
        <v>24</v>
      </c>
      <c r="D2" s="333"/>
      <c r="E2" s="333"/>
      <c r="F2" s="336"/>
      <c r="G2" s="336"/>
      <c r="H2" s="336"/>
      <c r="I2" s="336"/>
      <c r="J2" s="132"/>
      <c r="K2" s="132"/>
      <c r="L2" s="296" t="s">
        <v>145</v>
      </c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D2" s="29"/>
      <c r="AE2" s="29"/>
      <c r="AF2" s="29"/>
      <c r="AH2"/>
      <c r="AI2" s="29"/>
      <c r="AK2" s="29"/>
      <c r="AL2" s="29"/>
      <c r="AN2"/>
      <c r="AO2"/>
    </row>
    <row r="3" spans="1:43" ht="99.6" customHeight="1" x14ac:dyDescent="0.3">
      <c r="A3" s="2" t="s">
        <v>1</v>
      </c>
      <c r="B3" s="2" t="s">
        <v>2</v>
      </c>
      <c r="C3" s="24" t="s">
        <v>351</v>
      </c>
      <c r="D3" s="25" t="s">
        <v>354</v>
      </c>
      <c r="E3" s="25" t="s">
        <v>356</v>
      </c>
      <c r="F3" s="25" t="s">
        <v>158</v>
      </c>
      <c r="G3" s="25" t="s">
        <v>371</v>
      </c>
      <c r="H3" s="25" t="s">
        <v>372</v>
      </c>
      <c r="I3" s="25" t="s">
        <v>373</v>
      </c>
      <c r="J3" s="24" t="s">
        <v>357</v>
      </c>
      <c r="K3" s="24" t="s">
        <v>358</v>
      </c>
      <c r="L3" s="78" t="s">
        <v>359</v>
      </c>
      <c r="M3" s="78" t="s">
        <v>342</v>
      </c>
      <c r="N3" s="78" t="s">
        <v>374</v>
      </c>
      <c r="O3" s="78" t="s">
        <v>152</v>
      </c>
      <c r="P3" s="78" t="s">
        <v>375</v>
      </c>
      <c r="Q3" s="78" t="s">
        <v>376</v>
      </c>
      <c r="R3" s="78" t="s">
        <v>360</v>
      </c>
      <c r="S3" s="78" t="s">
        <v>361</v>
      </c>
      <c r="T3" s="78" t="s">
        <v>140</v>
      </c>
      <c r="U3" s="78" t="s">
        <v>128</v>
      </c>
      <c r="V3" s="78" t="s">
        <v>159</v>
      </c>
      <c r="W3" s="78" t="s">
        <v>362</v>
      </c>
      <c r="X3" s="78" t="s">
        <v>377</v>
      </c>
      <c r="Y3" s="78" t="s">
        <v>364</v>
      </c>
      <c r="Z3" s="78" t="s">
        <v>365</v>
      </c>
      <c r="AA3" s="2" t="s">
        <v>150</v>
      </c>
      <c r="AB3" s="2" t="s">
        <v>164</v>
      </c>
      <c r="AC3" s="2" t="s">
        <v>366</v>
      </c>
      <c r="AD3" s="2" t="s">
        <v>367</v>
      </c>
      <c r="AE3" s="2" t="s">
        <v>368</v>
      </c>
      <c r="AF3" s="47" t="s">
        <v>162</v>
      </c>
      <c r="AG3" s="2" t="s">
        <v>160</v>
      </c>
      <c r="AH3" s="2" t="s">
        <v>165</v>
      </c>
      <c r="AI3" s="2" t="s">
        <v>378</v>
      </c>
      <c r="AJ3" s="2" t="s">
        <v>344</v>
      </c>
      <c r="AK3" s="2" t="s">
        <v>345</v>
      </c>
      <c r="AL3" s="2" t="s">
        <v>346</v>
      </c>
      <c r="AM3" s="2" t="s">
        <v>347</v>
      </c>
      <c r="AN3" s="2" t="s">
        <v>369</v>
      </c>
      <c r="AO3" s="2" t="s">
        <v>370</v>
      </c>
      <c r="AP3" s="2" t="s">
        <v>379</v>
      </c>
      <c r="AQ3" s="78" t="s">
        <v>30</v>
      </c>
    </row>
    <row r="4" spans="1:43" x14ac:dyDescent="0.3">
      <c r="A4" s="128">
        <v>43327</v>
      </c>
      <c r="B4">
        <v>1</v>
      </c>
      <c r="C4" s="28">
        <f>Information!$R$54/GSBR[[#This Row],[HRT 
(h)]]*24</f>
        <v>9.9287529238108879E-2</v>
      </c>
      <c r="D4" s="42">
        <v>48.344439999999999</v>
      </c>
      <c r="E4" s="42">
        <v>25.477589999999999</v>
      </c>
      <c r="F4" s="42">
        <v>7.9762310000000003</v>
      </c>
      <c r="G4" s="42">
        <v>0.39491530000000002</v>
      </c>
      <c r="H4" s="42">
        <v>3.0461019999999999</v>
      </c>
      <c r="I4" s="42">
        <v>-0.40814210000000001</v>
      </c>
      <c r="J4" s="27"/>
      <c r="K4" s="27"/>
      <c r="L4" s="29">
        <v>457</v>
      </c>
      <c r="M4" s="29">
        <f>GSBR[[#This Row],[COD 
(mg L-1)]]*Information!$AK$43</f>
        <v>365.6</v>
      </c>
      <c r="N4" s="29">
        <v>630</v>
      </c>
      <c r="O4" s="29">
        <v>8.1999999999999993</v>
      </c>
      <c r="P4" s="29">
        <v>68</v>
      </c>
      <c r="Q4" s="29">
        <v>32</v>
      </c>
      <c r="R4" s="29">
        <v>0.1</v>
      </c>
      <c r="S4" s="6">
        <v>20.3</v>
      </c>
      <c r="T4" s="6">
        <f>GSBR[[#This Row],[NH4-N 
(mg L-1)]]*1.288</f>
        <v>89.670560000000009</v>
      </c>
      <c r="U4" s="6">
        <f>GSBR[[#This Row],[NO2-N 
(mg L-1)]]*3.284</f>
        <v>2.6272E-2</v>
      </c>
      <c r="V4" s="6">
        <f>(GSBR[[#This Row],[NO3-N 
(mg L-1)]])*4.426</f>
        <v>89.812392000000017</v>
      </c>
      <c r="W4" s="6">
        <v>69.62</v>
      </c>
      <c r="X4" s="29">
        <v>8.0000000000000002E-3</v>
      </c>
      <c r="Y4" s="6">
        <f>IF((GSBR[[#This Row],[TON 
(mg L-1)]]-GSBR[[#This Row],[NO2-N 
(mg L-1)]])&lt;0,0.2,(GSBR[[#This Row],[TON 
(mg L-1)]]-GSBR[[#This Row],[NO2-N 
(mg L-1)]]))</f>
        <v>20.292000000000002</v>
      </c>
      <c r="Z4" s="29">
        <f>SUM(GSBR[[#This Row],[NO3-N 
(mg L-1)]],GSBR[[#This Row],[NO2-N 
(mg L-1)]],GSBR[[#This Row],[NH4-N 
(mg L-1)]])</f>
        <v>89.92</v>
      </c>
      <c r="AA4" s="21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2.5639988880746003E-2</v>
      </c>
      <c r="AB4" s="6">
        <f>IF(IFERROR(GSBR[[#This Row],[NO2-N 
(mg L-1)]]/GSBR[[#This Row],[NH4-N 
(mg L-1)]],0)&lt;0,0,IFERROR(GSBR[[#This Row],[NO2-N 
(mg L-1)]]/GSBR[[#This Row],[NH4-N 
(mg L-1)]],0))</f>
        <v>1.1490950876185004E-4</v>
      </c>
      <c r="AC4" s="6">
        <f>GSBR[[#This Row],[NO2-N 
(mg L-1)]]/(GSBR[[#This Row],[NO2-N 
(mg L-1)]]+GSBR[[#This Row],[NO3-N 
(mg L-1)]])</f>
        <v>3.9408866995073889E-4</v>
      </c>
      <c r="AD4" s="20">
        <f>46/14*GSBR[[#This Row],[NO2-N 
(mg L-1)]]/(EXP(-2300/(GSBR[[#This Row],[Temp. 
(°C)]]+273))*10^(GSBR[[#This Row],[pHreactor]]))</f>
        <v>6.1668398397370141E-7</v>
      </c>
      <c r="AE4" s="19">
        <f>17/14*(GSBR[[#This Row],[NH4+ (mg L-1)]]*10^GSBR[[#This Row],[pHreactor]])/(EXP(6344/(273+GSBR[[#This Row],[Temp. 
(°C)]]))+10^GSBR[pHreactor])</f>
        <v>5.7405803708575984</v>
      </c>
      <c r="AF4" s="1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771.12</v>
      </c>
      <c r="AG4" s="19">
        <f>IFERROR(IF(Influent[[#This Row],[COD (mg L-1)]]-MEDIA[[#This Row],[COD 
(mg L-1)]]&lt;0,0,Influent[[#This Row],[COD (mg L-1)]]-MEDIA[[#This Row],[COD 
(mg L-1)]]),0)</f>
        <v>0</v>
      </c>
      <c r="AH4" s="29">
        <f>IF(IFERROR(Influent[[#This Row],[Alkalinity (mg CaCO3 L-1) ]]-GSBR[[#This Row],[Alkalinity 
(mg CaCO3 L-1) ]],0)&lt;0,0,IFERROR(Influent[[#This Row],[Alkalinity (mg CaCO3 L-1) ]]-GSBR[[#This Row],[Alkalinity 
(mg CaCO3 L-1) ]],0))</f>
        <v>2379</v>
      </c>
      <c r="AI4" s="20">
        <f>Influent[[#This Row],[COD (mg L-1)]]/GSBR[[#This Row],[HRT 
(h)]]*24/1000</f>
        <v>0</v>
      </c>
      <c r="AJ4" s="6">
        <f>IFERROR(IF(((GSBR[[#This Row],[ΔC (mg L-1)]])/GSBR[[#This Row],[HRT 
(h)]]*24/1000) &lt;0,0, (GSBR[[#This Row],[ΔC (mg L-1)]])/GSBR[[#This Row],[HRT 
(h)]]*24/1000),0)</f>
        <v>0</v>
      </c>
      <c r="AK4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0.39289068194812055</v>
      </c>
      <c r="AL4" s="6">
        <f>Influent[[#This Row],[TN (mg L-1)]]/GSBR[[#This Row],[HRT 
(h)]]*24/1000</f>
        <v>0.42843015660125555</v>
      </c>
      <c r="AM4" s="6">
        <f>GSBR[[#This Row],[NLR 
(kg N m-3 d-1)]]*GSBR[[#This Row],[NRE 
(%)]]</f>
        <v>0.38379048345580186</v>
      </c>
      <c r="AN4" s="21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0.91914429062529035</v>
      </c>
      <c r="AO4" s="21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0.89580641685080931</v>
      </c>
      <c r="AP4" s="6"/>
      <c r="AQ4" s="29"/>
    </row>
    <row r="5" spans="1:43" x14ac:dyDescent="0.3">
      <c r="A5" s="128">
        <v>43328</v>
      </c>
      <c r="B5" s="29">
        <v>2</v>
      </c>
      <c r="C5" s="28"/>
      <c r="D5" s="42"/>
      <c r="E5" s="42"/>
      <c r="F5" s="42"/>
      <c r="G5" s="42"/>
      <c r="H5" s="42"/>
      <c r="I5" s="42"/>
      <c r="J5" s="27"/>
      <c r="K5" s="27"/>
      <c r="L5" s="29"/>
      <c r="N5" s="29"/>
      <c r="O5" s="29"/>
      <c r="P5" s="29"/>
      <c r="Q5" s="29"/>
      <c r="R5" s="29"/>
      <c r="S5" s="6"/>
      <c r="T5" s="4">
        <f>GSBR[[#This Row],[NH4-N 
(mg L-1)]]*1.288</f>
        <v>0</v>
      </c>
      <c r="U5" s="20">
        <f>GSBR[[#This Row],[NO2-N 
(mg L-1)]]*3.284</f>
        <v>0</v>
      </c>
      <c r="V5" s="6">
        <f>(GSBR[[#This Row],[NO3-N 
(mg L-1)]])*4.426</f>
        <v>0</v>
      </c>
      <c r="W5" s="6"/>
      <c r="X5" s="29"/>
      <c r="Y5" s="6"/>
      <c r="Z5" s="4"/>
      <c r="AA5" s="26"/>
      <c r="AB5" s="48"/>
      <c r="AC5" s="48"/>
      <c r="AD5" s="20"/>
      <c r="AE5" s="19"/>
      <c r="AF5" s="129"/>
      <c r="AG5" s="19"/>
      <c r="AH5" s="4"/>
      <c r="AI5" s="20"/>
      <c r="AJ5" s="6"/>
      <c r="AK5" s="6"/>
      <c r="AL5" s="6"/>
      <c r="AM5" s="6"/>
      <c r="AN5" s="26"/>
      <c r="AO5" s="26"/>
      <c r="AP5" s="4"/>
      <c r="AQ5" s="4"/>
    </row>
    <row r="6" spans="1:43" x14ac:dyDescent="0.3">
      <c r="A6" s="128">
        <v>43329</v>
      </c>
      <c r="B6" s="29">
        <v>3</v>
      </c>
      <c r="C6" s="28"/>
      <c r="D6" s="42"/>
      <c r="E6" s="42"/>
      <c r="F6" s="42"/>
      <c r="G6" s="42"/>
      <c r="H6" s="42"/>
      <c r="I6" s="42"/>
      <c r="J6" s="27"/>
      <c r="K6" s="27"/>
      <c r="L6" s="29"/>
      <c r="N6" s="29"/>
      <c r="O6" s="29"/>
      <c r="P6" s="29"/>
      <c r="Q6" s="29"/>
      <c r="R6" s="29"/>
      <c r="S6" s="6"/>
      <c r="T6" s="4">
        <f>GSBR[[#This Row],[NH4-N 
(mg L-1)]]*1.288</f>
        <v>0</v>
      </c>
      <c r="U6" s="20">
        <f>GSBR[[#This Row],[NO2-N 
(mg L-1)]]*3.284</f>
        <v>0</v>
      </c>
      <c r="V6" s="6">
        <f>(GSBR[[#This Row],[NO3-N 
(mg L-1)]])*4.426</f>
        <v>0</v>
      </c>
      <c r="W6" s="6"/>
      <c r="X6" s="29"/>
      <c r="Y6" s="6"/>
      <c r="Z6" s="4"/>
      <c r="AA6" s="26"/>
      <c r="AB6" s="48"/>
      <c r="AC6" s="48"/>
      <c r="AD6" s="20"/>
      <c r="AE6" s="19"/>
      <c r="AF6" s="129"/>
      <c r="AG6" s="19"/>
      <c r="AH6" s="4"/>
      <c r="AI6" s="20"/>
      <c r="AJ6" s="6"/>
      <c r="AK6" s="6"/>
      <c r="AL6" s="6"/>
      <c r="AM6" s="6"/>
      <c r="AN6" s="26"/>
      <c r="AO6" s="26"/>
      <c r="AP6" s="4"/>
      <c r="AQ6" s="4"/>
    </row>
    <row r="7" spans="1:43" x14ac:dyDescent="0.3">
      <c r="A7" s="128">
        <v>43330</v>
      </c>
      <c r="B7" s="29">
        <v>4</v>
      </c>
      <c r="C7" s="28"/>
      <c r="D7" s="42"/>
      <c r="E7" s="42"/>
      <c r="F7" s="42"/>
      <c r="G7" s="42"/>
      <c r="H7" s="42"/>
      <c r="I7" s="42"/>
      <c r="J7" s="27"/>
      <c r="K7" s="27"/>
      <c r="L7" s="29"/>
      <c r="N7" s="29"/>
      <c r="O7" s="29"/>
      <c r="P7" s="29"/>
      <c r="Q7" s="29"/>
      <c r="R7" s="29"/>
      <c r="S7" s="6"/>
      <c r="T7" s="4">
        <f>GSBR[[#This Row],[NH4-N 
(mg L-1)]]*1.288</f>
        <v>0</v>
      </c>
      <c r="U7" s="20">
        <f>GSBR[[#This Row],[NO2-N 
(mg L-1)]]*3.284</f>
        <v>0</v>
      </c>
      <c r="V7" s="6">
        <f>(GSBR[[#This Row],[NO3-N 
(mg L-1)]])*4.426</f>
        <v>0</v>
      </c>
      <c r="W7" s="6"/>
      <c r="X7" s="29"/>
      <c r="Y7" s="6"/>
      <c r="Z7" s="4"/>
      <c r="AA7" s="26"/>
      <c r="AB7" s="48"/>
      <c r="AC7" s="48"/>
      <c r="AD7" s="20"/>
      <c r="AE7" s="19"/>
      <c r="AF7" s="129"/>
      <c r="AG7" s="19"/>
      <c r="AH7" s="4"/>
      <c r="AI7" s="20"/>
      <c r="AJ7" s="6"/>
      <c r="AK7" s="6"/>
      <c r="AL7" s="6"/>
      <c r="AM7" s="6"/>
      <c r="AN7" s="26"/>
      <c r="AO7" s="26"/>
      <c r="AP7" s="4"/>
      <c r="AQ7" s="4"/>
    </row>
    <row r="8" spans="1:43" x14ac:dyDescent="0.3">
      <c r="A8" s="128">
        <v>43331</v>
      </c>
      <c r="B8" s="29">
        <v>5</v>
      </c>
      <c r="C8" s="28"/>
      <c r="D8" s="42"/>
      <c r="E8" s="42"/>
      <c r="F8" s="42"/>
      <c r="G8" s="42"/>
      <c r="H8" s="42"/>
      <c r="I8" s="42"/>
      <c r="J8" s="27"/>
      <c r="K8" s="27"/>
      <c r="L8" s="29"/>
      <c r="N8" s="29"/>
      <c r="O8" s="29"/>
      <c r="P8" s="29"/>
      <c r="Q8" s="29"/>
      <c r="R8" s="29"/>
      <c r="S8" s="6"/>
      <c r="T8" s="4">
        <f>GSBR[[#This Row],[NH4-N 
(mg L-1)]]*1.288</f>
        <v>0</v>
      </c>
      <c r="U8" s="20">
        <f>GSBR[[#This Row],[NO2-N 
(mg L-1)]]*3.284</f>
        <v>0</v>
      </c>
      <c r="V8" s="6">
        <f>(GSBR[[#This Row],[NO3-N 
(mg L-1)]])*4.426</f>
        <v>0</v>
      </c>
      <c r="W8" s="6"/>
      <c r="X8" s="29"/>
      <c r="Y8" s="6"/>
      <c r="Z8" s="4"/>
      <c r="AA8" s="26"/>
      <c r="AB8" s="48"/>
      <c r="AC8" s="48"/>
      <c r="AD8" s="20"/>
      <c r="AE8" s="19"/>
      <c r="AF8" s="129"/>
      <c r="AG8" s="19"/>
      <c r="AH8" s="4"/>
      <c r="AI8" s="20"/>
      <c r="AJ8" s="6"/>
      <c r="AK8" s="6"/>
      <c r="AL8" s="6"/>
      <c r="AM8" s="6"/>
      <c r="AN8" s="26"/>
      <c r="AO8" s="26"/>
      <c r="AP8" s="4"/>
      <c r="AQ8" s="4"/>
    </row>
    <row r="9" spans="1:43" x14ac:dyDescent="0.3">
      <c r="A9" s="128">
        <v>43332</v>
      </c>
      <c r="B9" s="29">
        <v>6</v>
      </c>
      <c r="C9" s="28"/>
      <c r="D9" s="42"/>
      <c r="E9" s="42"/>
      <c r="F9" s="42"/>
      <c r="G9" s="42"/>
      <c r="H9" s="42"/>
      <c r="I9" s="42"/>
      <c r="J9" s="27"/>
      <c r="K9" s="27"/>
      <c r="L9" s="29"/>
      <c r="N9" s="29"/>
      <c r="O9" s="29"/>
      <c r="P9" s="29"/>
      <c r="Q9" s="29"/>
      <c r="R9" s="29"/>
      <c r="S9" s="6"/>
      <c r="T9" s="4">
        <f>GSBR[[#This Row],[NH4-N 
(mg L-1)]]*1.288</f>
        <v>0</v>
      </c>
      <c r="U9" s="20">
        <f>GSBR[[#This Row],[NO2-N 
(mg L-1)]]*3.284</f>
        <v>0</v>
      </c>
      <c r="V9" s="6">
        <f>(GSBR[[#This Row],[NO3-N 
(mg L-1)]])*4.426</f>
        <v>0</v>
      </c>
      <c r="W9" s="6"/>
      <c r="X9" s="29"/>
      <c r="Y9" s="6"/>
      <c r="Z9" s="4"/>
      <c r="AA9" s="26"/>
      <c r="AB9" s="48"/>
      <c r="AC9" s="48"/>
      <c r="AD9" s="20"/>
      <c r="AE9" s="19"/>
      <c r="AF9" s="129"/>
      <c r="AG9" s="19"/>
      <c r="AH9" s="4"/>
      <c r="AI9" s="20"/>
      <c r="AJ9" s="6"/>
      <c r="AK9" s="6"/>
      <c r="AL9" s="6"/>
      <c r="AM9" s="6"/>
      <c r="AN9" s="26"/>
      <c r="AO9" s="26"/>
      <c r="AP9" s="4"/>
      <c r="AQ9" s="4"/>
    </row>
    <row r="10" spans="1:43" x14ac:dyDescent="0.3">
      <c r="A10" s="128">
        <v>43333</v>
      </c>
      <c r="B10" s="29">
        <v>7</v>
      </c>
      <c r="C10" s="28"/>
      <c r="D10" s="42"/>
      <c r="E10" s="42"/>
      <c r="F10" s="42"/>
      <c r="G10" s="42"/>
      <c r="H10" s="42"/>
      <c r="I10" s="42"/>
      <c r="J10" s="27"/>
      <c r="K10" s="27"/>
      <c r="L10" s="29"/>
      <c r="N10" s="29"/>
      <c r="O10" s="29"/>
      <c r="P10" s="29"/>
      <c r="Q10" s="29"/>
      <c r="R10" s="29"/>
      <c r="S10" s="6"/>
      <c r="T10" s="4">
        <f>GSBR[[#This Row],[NH4-N 
(mg L-1)]]*1.288</f>
        <v>0</v>
      </c>
      <c r="U10" s="20">
        <f>GSBR[[#This Row],[NO2-N 
(mg L-1)]]*3.284</f>
        <v>0</v>
      </c>
      <c r="V10" s="6">
        <f>(GSBR[[#This Row],[NO3-N 
(mg L-1)]])*4.426</f>
        <v>0</v>
      </c>
      <c r="W10" s="6"/>
      <c r="X10" s="29"/>
      <c r="Y10" s="6"/>
      <c r="Z10" s="4"/>
      <c r="AA10" s="26"/>
      <c r="AB10" s="48"/>
      <c r="AC10" s="48"/>
      <c r="AD10" s="20"/>
      <c r="AE10" s="19"/>
      <c r="AF10" s="129"/>
      <c r="AG10" s="19"/>
      <c r="AH10" s="4"/>
      <c r="AI10" s="20"/>
      <c r="AJ10" s="6"/>
      <c r="AK10" s="6"/>
      <c r="AL10" s="6"/>
      <c r="AM10" s="6"/>
      <c r="AN10" s="26"/>
      <c r="AO10" s="26"/>
      <c r="AP10" s="4"/>
      <c r="AQ10" s="4"/>
    </row>
    <row r="11" spans="1:43" x14ac:dyDescent="0.3">
      <c r="A11" s="128">
        <v>43334</v>
      </c>
      <c r="B11" s="29">
        <v>8</v>
      </c>
      <c r="C11" s="28"/>
      <c r="D11" s="42"/>
      <c r="E11" s="42"/>
      <c r="F11" s="42"/>
      <c r="G11" s="42"/>
      <c r="H11" s="42"/>
      <c r="I11" s="42"/>
      <c r="J11" s="27"/>
      <c r="K11" s="161"/>
      <c r="L11" s="29"/>
      <c r="N11" s="29"/>
      <c r="O11" s="29"/>
      <c r="P11" s="29"/>
      <c r="Q11" s="29"/>
      <c r="R11" s="29"/>
      <c r="S11" s="6"/>
      <c r="T11" s="4">
        <f>GSBR[[#This Row],[NH4-N 
(mg L-1)]]*1.288</f>
        <v>0</v>
      </c>
      <c r="U11" s="20">
        <f>GSBR[[#This Row],[NO2-N 
(mg L-1)]]*3.284</f>
        <v>0</v>
      </c>
      <c r="V11" s="6">
        <f>(GSBR[[#This Row],[NO3-N 
(mg L-1)]])*4.426</f>
        <v>0</v>
      </c>
      <c r="W11" s="6"/>
      <c r="X11" s="29"/>
      <c r="Y11" s="6"/>
      <c r="Z11" s="4"/>
      <c r="AA11" s="26"/>
      <c r="AB11" s="48"/>
      <c r="AC11" s="48"/>
      <c r="AD11" s="20"/>
      <c r="AE11" s="19"/>
      <c r="AF11" s="129"/>
      <c r="AG11" s="19"/>
      <c r="AH11" s="4"/>
      <c r="AI11" s="20"/>
      <c r="AJ11" s="6"/>
      <c r="AK11" s="6"/>
      <c r="AL11" s="6"/>
      <c r="AM11" s="6"/>
      <c r="AN11" s="26"/>
      <c r="AO11" s="26"/>
      <c r="AP11" s="4"/>
      <c r="AQ11" s="4"/>
    </row>
    <row r="12" spans="1:43" x14ac:dyDescent="0.3">
      <c r="A12" s="128">
        <v>43335</v>
      </c>
      <c r="B12" s="29">
        <v>9</v>
      </c>
      <c r="C12" s="28"/>
      <c r="D12" s="42"/>
      <c r="E12" s="42"/>
      <c r="F12" s="42"/>
      <c r="G12" s="42"/>
      <c r="H12" s="42"/>
      <c r="I12" s="42"/>
      <c r="J12" s="27"/>
      <c r="K12" s="27"/>
      <c r="L12" s="29"/>
      <c r="N12" s="29"/>
      <c r="O12" s="29"/>
      <c r="P12" s="29"/>
      <c r="Q12" s="29"/>
      <c r="R12" s="29"/>
      <c r="S12" s="6"/>
      <c r="T12" s="4">
        <f>GSBR[[#This Row],[NH4-N 
(mg L-1)]]*1.288</f>
        <v>0</v>
      </c>
      <c r="U12" s="20">
        <f>GSBR[[#This Row],[NO2-N 
(mg L-1)]]*3.284</f>
        <v>0</v>
      </c>
      <c r="V12" s="6">
        <f>(GSBR[[#This Row],[NO3-N 
(mg L-1)]])*4.426</f>
        <v>0</v>
      </c>
      <c r="W12" s="6"/>
      <c r="X12" s="29"/>
      <c r="Y12" s="6"/>
      <c r="Z12" s="4"/>
      <c r="AA12" s="26"/>
      <c r="AB12" s="48"/>
      <c r="AC12" s="48"/>
      <c r="AD12" s="20"/>
      <c r="AE12" s="19"/>
      <c r="AF12" s="129"/>
      <c r="AG12" s="19"/>
      <c r="AH12" s="4"/>
      <c r="AI12" s="20"/>
      <c r="AJ12" s="6"/>
      <c r="AK12" s="6"/>
      <c r="AL12" s="6"/>
      <c r="AM12" s="6"/>
      <c r="AN12" s="26"/>
      <c r="AO12" s="26"/>
      <c r="AP12" s="4"/>
      <c r="AQ12" s="4"/>
    </row>
    <row r="13" spans="1:43" x14ac:dyDescent="0.3">
      <c r="A13" s="128">
        <v>43336</v>
      </c>
      <c r="B13" s="29">
        <v>10</v>
      </c>
      <c r="C13" s="28"/>
      <c r="D13" s="42"/>
      <c r="E13" s="42"/>
      <c r="F13" s="42"/>
      <c r="G13" s="42"/>
      <c r="H13" s="42"/>
      <c r="I13" s="42"/>
      <c r="J13" s="27"/>
      <c r="K13" s="27"/>
      <c r="L13" s="29"/>
      <c r="N13" s="29"/>
      <c r="O13" s="29"/>
      <c r="P13" s="29"/>
      <c r="Q13" s="29"/>
      <c r="R13" s="29"/>
      <c r="S13" s="6"/>
      <c r="T13" s="4">
        <f>GSBR[[#This Row],[NH4-N 
(mg L-1)]]*1.288</f>
        <v>0</v>
      </c>
      <c r="U13" s="20">
        <f>GSBR[[#This Row],[NO2-N 
(mg L-1)]]*3.284</f>
        <v>0</v>
      </c>
      <c r="V13" s="6">
        <f>(GSBR[[#This Row],[NO3-N 
(mg L-1)]])*4.426</f>
        <v>0</v>
      </c>
      <c r="W13" s="6"/>
      <c r="X13" s="29"/>
      <c r="Y13" s="6"/>
      <c r="Z13" s="4"/>
      <c r="AA13" s="26"/>
      <c r="AB13" s="48"/>
      <c r="AC13" s="48"/>
      <c r="AD13" s="20"/>
      <c r="AE13" s="19"/>
      <c r="AF13" s="129"/>
      <c r="AG13" s="19"/>
      <c r="AH13" s="4"/>
      <c r="AI13" s="20"/>
      <c r="AJ13" s="6"/>
      <c r="AK13" s="6"/>
      <c r="AL13" s="6"/>
      <c r="AM13" s="6"/>
      <c r="AN13" s="26"/>
      <c r="AO13" s="26"/>
      <c r="AP13" s="4"/>
      <c r="AQ13" s="4"/>
    </row>
    <row r="14" spans="1:43" x14ac:dyDescent="0.3">
      <c r="A14" s="128">
        <v>43337</v>
      </c>
      <c r="B14" s="29">
        <v>11</v>
      </c>
      <c r="C14" s="28"/>
      <c r="D14" s="42"/>
      <c r="E14" s="42"/>
      <c r="F14" s="42"/>
      <c r="G14" s="42"/>
      <c r="H14" s="42"/>
      <c r="I14" s="42"/>
      <c r="J14" s="27"/>
      <c r="K14" s="27"/>
      <c r="L14" s="29"/>
      <c r="N14" s="29"/>
      <c r="O14" s="29"/>
      <c r="P14" s="29"/>
      <c r="Q14" s="29"/>
      <c r="R14" s="29"/>
      <c r="S14" s="6"/>
      <c r="T14" s="4">
        <f>GSBR[[#This Row],[NH4-N 
(mg L-1)]]*1.288</f>
        <v>0</v>
      </c>
      <c r="U14" s="20">
        <f>GSBR[[#This Row],[NO2-N 
(mg L-1)]]*3.284</f>
        <v>0</v>
      </c>
      <c r="V14" s="6">
        <f>(GSBR[[#This Row],[NO3-N 
(mg L-1)]])*4.426</f>
        <v>0</v>
      </c>
      <c r="W14" s="6"/>
      <c r="X14" s="29"/>
      <c r="Y14" s="6"/>
      <c r="Z14" s="4"/>
      <c r="AA14" s="26"/>
      <c r="AB14" s="48"/>
      <c r="AC14" s="48"/>
      <c r="AD14" s="20"/>
      <c r="AE14" s="19"/>
      <c r="AF14" s="129"/>
      <c r="AG14" s="19"/>
      <c r="AH14" s="4"/>
      <c r="AI14" s="20"/>
      <c r="AJ14" s="6"/>
      <c r="AK14" s="6"/>
      <c r="AL14" s="6"/>
      <c r="AM14" s="6"/>
      <c r="AN14" s="26"/>
      <c r="AO14" s="26"/>
      <c r="AP14" s="4"/>
      <c r="AQ14" s="4"/>
    </row>
    <row r="15" spans="1:43" x14ac:dyDescent="0.3">
      <c r="A15" s="128">
        <v>43338</v>
      </c>
      <c r="B15" s="29">
        <v>12</v>
      </c>
      <c r="C15" s="28"/>
      <c r="D15" s="42"/>
      <c r="E15" s="42"/>
      <c r="F15" s="42"/>
      <c r="G15" s="42"/>
      <c r="H15" s="42"/>
      <c r="I15" s="42"/>
      <c r="J15" s="27"/>
      <c r="K15" s="27"/>
      <c r="L15" s="29"/>
      <c r="N15" s="29"/>
      <c r="O15" s="29"/>
      <c r="P15" s="29"/>
      <c r="Q15" s="29"/>
      <c r="R15" s="29"/>
      <c r="S15" s="6"/>
      <c r="T15" s="4">
        <f>GSBR[[#This Row],[NH4-N 
(mg L-1)]]*1.288</f>
        <v>0</v>
      </c>
      <c r="U15" s="20">
        <f>GSBR[[#This Row],[NO2-N 
(mg L-1)]]*3.284</f>
        <v>0</v>
      </c>
      <c r="V15" s="6">
        <f>(GSBR[[#This Row],[NO3-N 
(mg L-1)]])*4.426</f>
        <v>0</v>
      </c>
      <c r="W15" s="6"/>
      <c r="X15" s="29"/>
      <c r="Y15" s="6"/>
      <c r="Z15" s="4"/>
      <c r="AA15" s="26"/>
      <c r="AB15" s="48"/>
      <c r="AC15" s="48"/>
      <c r="AD15" s="20"/>
      <c r="AE15" s="19"/>
      <c r="AF15" s="129"/>
      <c r="AG15" s="19"/>
      <c r="AH15" s="4"/>
      <c r="AI15" s="20"/>
      <c r="AJ15" s="6"/>
      <c r="AK15" s="6"/>
      <c r="AL15" s="6"/>
      <c r="AM15" s="6"/>
      <c r="AN15" s="26"/>
      <c r="AO15" s="26"/>
      <c r="AP15" s="4"/>
      <c r="AQ15" s="4"/>
    </row>
    <row r="16" spans="1:43" x14ac:dyDescent="0.3">
      <c r="A16" s="128">
        <v>43339</v>
      </c>
      <c r="B16" s="29">
        <v>13</v>
      </c>
      <c r="C16" s="28"/>
      <c r="D16" s="42"/>
      <c r="E16" s="42"/>
      <c r="F16" s="42"/>
      <c r="G16" s="42"/>
      <c r="H16" s="42"/>
      <c r="I16" s="42"/>
      <c r="J16" s="27"/>
      <c r="K16" s="27"/>
      <c r="L16" s="29"/>
      <c r="N16" s="29"/>
      <c r="O16" s="29"/>
      <c r="P16" s="29"/>
      <c r="Q16" s="29"/>
      <c r="R16" s="29"/>
      <c r="S16" s="6"/>
      <c r="T16" s="4">
        <f>GSBR[[#This Row],[NH4-N 
(mg L-1)]]*1.288</f>
        <v>0</v>
      </c>
      <c r="U16" s="20">
        <f>GSBR[[#This Row],[NO2-N 
(mg L-1)]]*3.284</f>
        <v>0</v>
      </c>
      <c r="V16" s="6">
        <f>(GSBR[[#This Row],[NO3-N 
(mg L-1)]])*4.426</f>
        <v>0</v>
      </c>
      <c r="W16" s="6"/>
      <c r="X16" s="29"/>
      <c r="Y16" s="6"/>
      <c r="Z16" s="4"/>
      <c r="AA16" s="26"/>
      <c r="AB16" s="48"/>
      <c r="AC16" s="48"/>
      <c r="AD16" s="20"/>
      <c r="AE16" s="19"/>
      <c r="AF16" s="129"/>
      <c r="AG16" s="19"/>
      <c r="AH16" s="4"/>
      <c r="AI16" s="20"/>
      <c r="AJ16" s="6"/>
      <c r="AK16" s="6"/>
      <c r="AL16" s="6"/>
      <c r="AM16" s="6"/>
      <c r="AN16" s="26"/>
      <c r="AO16" s="26"/>
      <c r="AP16" s="4"/>
      <c r="AQ16" s="4"/>
    </row>
    <row r="17" spans="1:43" x14ac:dyDescent="0.3">
      <c r="A17" s="128">
        <v>43340</v>
      </c>
      <c r="B17" s="29">
        <v>14</v>
      </c>
      <c r="C17" s="28"/>
      <c r="D17" s="42"/>
      <c r="E17" s="42"/>
      <c r="F17" s="42"/>
      <c r="G17" s="42"/>
      <c r="H17" s="42"/>
      <c r="I17" s="42"/>
      <c r="J17" s="27"/>
      <c r="K17" s="27"/>
      <c r="T17" s="4"/>
      <c r="U17" s="20"/>
      <c r="V17" s="6"/>
      <c r="W17" s="6"/>
      <c r="Y17" s="6"/>
      <c r="Z17" s="4"/>
      <c r="AA17" s="23"/>
      <c r="AB17" s="48"/>
      <c r="AC17" s="48"/>
      <c r="AD17" s="20"/>
      <c r="AE17" s="19"/>
      <c r="AF17" s="129"/>
      <c r="AG17" s="19"/>
      <c r="AH17" s="4"/>
      <c r="AI17" s="20"/>
      <c r="AJ17" s="6"/>
      <c r="AK17" s="6"/>
      <c r="AL17" s="6"/>
      <c r="AM17" s="6"/>
      <c r="AN17" s="26"/>
      <c r="AO17" s="26"/>
      <c r="AP17" s="4"/>
      <c r="AQ17" s="4"/>
    </row>
    <row r="18" spans="1:43" x14ac:dyDescent="0.3">
      <c r="A18" s="128">
        <v>43341</v>
      </c>
      <c r="B18" s="29">
        <v>15</v>
      </c>
      <c r="C18" s="28">
        <f>Information!$R$54/GSBR[[#This Row],[HRT 
(h)]]*24</f>
        <v>9.9287529238108879E-2</v>
      </c>
      <c r="D18" s="42">
        <v>48.344439999999999</v>
      </c>
      <c r="E18" s="42">
        <v>17.549936249999998</v>
      </c>
      <c r="F18" s="42">
        <v>7.6424874999999997</v>
      </c>
      <c r="G18" s="42">
        <v>0.16673729125</v>
      </c>
      <c r="H18" s="42">
        <v>2.4037076874999999</v>
      </c>
      <c r="I18" s="42">
        <v>154.42815625</v>
      </c>
      <c r="J18" s="27"/>
      <c r="K18" s="27"/>
      <c r="L18" s="29">
        <v>1430</v>
      </c>
      <c r="M18" s="29">
        <f>GSBR[[#This Row],[COD 
(mg L-1)]]*Information!$AK$43</f>
        <v>1144</v>
      </c>
      <c r="N18" s="29">
        <v>322</v>
      </c>
      <c r="O18" s="29">
        <v>7.8</v>
      </c>
      <c r="P18" s="29">
        <v>190</v>
      </c>
      <c r="Q18" s="29"/>
      <c r="R18" s="29">
        <v>1.42</v>
      </c>
      <c r="S18" s="29">
        <v>174.5</v>
      </c>
      <c r="T18" s="4">
        <f>GSBR[[#This Row],[NH4-N 
(mg L-1)]]*1.288</f>
        <v>173.84136000000001</v>
      </c>
      <c r="U18" s="20">
        <f>GSBR[[#This Row],[NO2-N 
(mg L-1)]]*3.284</f>
        <v>546.16203999999993</v>
      </c>
      <c r="V18" s="6">
        <f>(GSBR[[#This Row],[NO3-N 
(mg L-1)]])*4.426</f>
        <v>36.24893999999999</v>
      </c>
      <c r="W18" s="6">
        <v>134.97</v>
      </c>
      <c r="X18" s="29">
        <v>166.31</v>
      </c>
      <c r="Y18" s="6">
        <f>IF((GSBR[[#This Row],[TON 
(mg L-1)]]-GSBR[[#This Row],[NO2-N 
(mg L-1)]])&lt;0,0.2,(GSBR[[#This Row],[TON 
(mg L-1)]]-GSBR[[#This Row],[NO2-N 
(mg L-1)]]))</f>
        <v>8.1899999999999977</v>
      </c>
      <c r="Z18" s="4">
        <f>SUM(GSBR[[#This Row],[NO3-N 
(mg L-1)]],GSBR[[#This Row],[NO2-N 
(mg L-1)]],GSBR[[#This Row],[NH4-N 
(mg L-1)]])</f>
        <v>309.47000000000003</v>
      </c>
      <c r="AA18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7.4337632632314613E-3</v>
      </c>
      <c r="AB18" s="48">
        <f>IF(IFERROR(GSBR[[#This Row],[NO2-N 
(mg L-1)]]/GSBR[[#This Row],[NH4-N 
(mg L-1)]],0)&lt;0,0,IFERROR(GSBR[[#This Row],[NO2-N 
(mg L-1)]]/GSBR[[#This Row],[NH4-N 
(mg L-1)]],0))</f>
        <v>1.2321997480921687</v>
      </c>
      <c r="AC18" s="48">
        <f>GSBR[[#This Row],[NO2-N 
(mg L-1)]]/(GSBR[[#This Row],[NO2-N 
(mg L-1)]]+GSBR[[#This Row],[NO3-N 
(mg L-1)]])</f>
        <v>0.95306590257879653</v>
      </c>
      <c r="AD18" s="20">
        <f>46/14*GSBR[[#This Row],[NO2-N 
(mg L-1)]]/(EXP(-2300/(GSBR[[#This Row],[Temp. 
(°C)]]+273))*10^(GSBR[[#This Row],[pHreactor]]))</f>
        <v>3.4115033333224076E-2</v>
      </c>
      <c r="AE18" s="19">
        <f>17/14*(GSBR[[#This Row],[NH4+ (mg L-1)]]*10^GSBR[[#This Row],[pHreactor]])/(EXP(6344/(273+GSBR[[#This Row],[Temp. 
(°C)]]))+10^GSBR[pHreactor])</f>
        <v>3.0070890295241743</v>
      </c>
      <c r="AF18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927.23</v>
      </c>
      <c r="AG18" s="19">
        <f>IFERROR(IF(Influent[[#This Row],[COD (mg L-1)]]-MEDIA[[#This Row],[COD 
(mg L-1)]]&lt;0,0,Influent[[#This Row],[COD (mg L-1)]]-MEDIA[[#This Row],[COD 
(mg L-1)]]),0)</f>
        <v>0</v>
      </c>
      <c r="AH18" s="4">
        <f>IF(IFERROR(Influent[[#This Row],[Alkalinity (mg CaCO3 L-1) ]]-GSBR[[#This Row],[Alkalinity 
(mg CaCO3 L-1) ]],0)&lt;0,0,IFERROR(Influent[[#This Row],[Alkalinity (mg CaCO3 L-1) ]]-GSBR[[#This Row],[Alkalinity 
(mg CaCO3 L-1) ]],0))</f>
        <v>4322</v>
      </c>
      <c r="AI18" s="20">
        <f>Influent[[#This Row],[COD (mg L-1)]]/GSBR[[#This Row],[HRT 
(h)]]*24/1000</f>
        <v>0</v>
      </c>
      <c r="AJ18" s="6">
        <f>IFERROR(IF(((GSBR[[#This Row],[ΔC (mg L-1)]])/GSBR[[#This Row],[HRT 
(h)]]*24/1000) &lt;0,0, (GSBR[[#This Row],[ΔC (mg L-1)]])/GSBR[[#This Row],[HRT 
(h)]]*24/1000),0)</f>
        <v>0</v>
      </c>
      <c r="AK18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0.54694024793750851</v>
      </c>
      <c r="AL18" s="6">
        <f>Influent[[#This Row],[TN (mg L-1)]]/GSBR[[#This Row],[HRT 
(h)]]*24/1000</f>
        <v>0.61404372457308443</v>
      </c>
      <c r="AM18" s="6">
        <f>GSBR[[#This Row],[NLR 
(kg N m-3 d-1)]]*GSBR[[#This Row],[NRE 
(%)]]</f>
        <v>0.46041116620649664</v>
      </c>
      <c r="AN18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0.89086277997897634</v>
      </c>
      <c r="AO18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0.74980192416525182</v>
      </c>
      <c r="AP18" s="4"/>
      <c r="AQ18" s="4"/>
    </row>
    <row r="19" spans="1:43" x14ac:dyDescent="0.3">
      <c r="A19" s="128">
        <v>43342</v>
      </c>
      <c r="B19" s="29">
        <v>16</v>
      </c>
      <c r="C19" s="28">
        <f>Information!$R$54/GSBR[[#This Row],[HRT 
(h)]]*24</f>
        <v>4.0336134453781515E-2</v>
      </c>
      <c r="D19" s="42">
        <v>119</v>
      </c>
      <c r="E19" s="42">
        <v>18.962759375000001</v>
      </c>
      <c r="F19" s="42">
        <v>7.8322795625000001</v>
      </c>
      <c r="G19" s="42">
        <v>0.3784957625</v>
      </c>
      <c r="H19" s="42">
        <v>3.7269916875</v>
      </c>
      <c r="I19" s="42">
        <v>-108.30461875</v>
      </c>
      <c r="J19" s="27"/>
      <c r="K19" s="27"/>
      <c r="L19" s="29">
        <v>1470</v>
      </c>
      <c r="M19" s="29">
        <f>GSBR[[#This Row],[COD 
(mg L-1)]]*Information!$AK$43</f>
        <v>1176</v>
      </c>
      <c r="N19" s="29">
        <v>544</v>
      </c>
      <c r="O19" s="29">
        <v>8.1</v>
      </c>
      <c r="P19" s="29">
        <v>128</v>
      </c>
      <c r="Q19" s="29"/>
      <c r="R19" s="29">
        <v>1.52</v>
      </c>
      <c r="S19" s="29">
        <v>153.5</v>
      </c>
      <c r="T19" s="4">
        <f>GSBR[[#This Row],[NH4-N 
(mg L-1)]]*1.288</f>
        <v>260.58816000000002</v>
      </c>
      <c r="U19" s="20">
        <f>GSBR[[#This Row],[NO2-N 
(mg L-1)]]*3.284</f>
        <v>511.38447999999994</v>
      </c>
      <c r="V19" s="6">
        <f>(GSBR[[#This Row],[NO3-N 
(mg L-1)]])*4.426</f>
        <v>0.8852000000000001</v>
      </c>
      <c r="W19" s="6">
        <v>202.32</v>
      </c>
      <c r="X19" s="29">
        <v>155.72</v>
      </c>
      <c r="Y19" s="6">
        <f>IF((GSBR[[#This Row],[TON 
(mg L-1)]]-GSBR[[#This Row],[NO2-N 
(mg L-1)]])&lt;0,0.2,(GSBR[[#This Row],[TON 
(mg L-1)]]-GSBR[[#This Row],[NO2-N 
(mg L-1)]]))</f>
        <v>0.2</v>
      </c>
      <c r="Z19" s="4">
        <f>SUM(GSBR[[#This Row],[NO3-N 
(mg L-1)]],GSBR[[#This Row],[NO2-N 
(mg L-1)]],GSBR[[#This Row],[NH4-N 
(mg L-1)]])</f>
        <v>358.24</v>
      </c>
      <c r="AA19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1.7679089173325792E-4</v>
      </c>
      <c r="AB19" s="48">
        <f>IF(IFERROR(GSBR[[#This Row],[NO2-N 
(mg L-1)]]/GSBR[[#This Row],[NH4-N 
(mg L-1)]],0)&lt;0,0,IFERROR(GSBR[[#This Row],[NO2-N 
(mg L-1)]]/GSBR[[#This Row],[NH4-N 
(mg L-1)]],0))</f>
        <v>0.76967180703835514</v>
      </c>
      <c r="AC19" s="48">
        <f>GSBR[[#This Row],[NO2-N 
(mg L-1)]]/(GSBR[[#This Row],[NO2-N 
(mg L-1)]]+GSBR[[#This Row],[NO3-N 
(mg L-1)]])</f>
        <v>0.99871729091841976</v>
      </c>
      <c r="AD19" s="20">
        <f>46/14*GSBR[[#This Row],[NO2-N 
(mg L-1)]]/(EXP(-2300/(GSBR[[#This Row],[Temp. 
(°C)]]+273))*10^(GSBR[[#This Row],[pHreactor]]))</f>
        <v>1.9858372927736172E-2</v>
      </c>
      <c r="AE19" s="19">
        <f>17/14*(GSBR[[#This Row],[NH4+ (mg L-1)]]*10^GSBR[[#This Row],[pHreactor]])/(EXP(6344/(273+GSBR[[#This Row],[Temp. 
(°C)]]))+10^GSBR[pHreactor])</f>
        <v>7.6769954355391317</v>
      </c>
      <c r="AF19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975.3599999999999</v>
      </c>
      <c r="AG19" s="19">
        <f>IFERROR(IF(Influent[[#This Row],[COD (mg L-1)]]-MEDIA[[#This Row],[COD 
(mg L-1)]]&lt;0,0,Influent[[#This Row],[COD (mg L-1)]]-MEDIA[[#This Row],[COD 
(mg L-1)]]),0)</f>
        <v>2488</v>
      </c>
      <c r="AH19" s="4">
        <f>IF(IFERROR(Influent[[#This Row],[Alkalinity (mg CaCO3 L-1) ]]-GSBR[[#This Row],[Alkalinity 
(mg CaCO3 L-1) ]],0)&lt;0,0,IFERROR(Influent[[#This Row],[Alkalinity (mg CaCO3 L-1) ]]-GSBR[[#This Row],[Alkalinity 
(mg CaCO3 L-1) ]],0))</f>
        <v>4468</v>
      </c>
      <c r="AI19" s="20">
        <f>Influent[[#This Row],[COD (mg L-1)]]/GSBR[[#This Row],[HRT 
(h)]]*24/1000</f>
        <v>0.67563025210084038</v>
      </c>
      <c r="AJ19" s="6">
        <f>IFERROR(IF(((GSBR[[#This Row],[ΔC (mg L-1)]])/GSBR[[#This Row],[HRT 
(h)]]*24/1000) &lt;0,0, (GSBR[[#This Row],[ΔC (mg L-1)]])/GSBR[[#This Row],[HRT 
(h)]]*24/1000),0)</f>
        <v>0.501781512605042</v>
      </c>
      <c r="AK19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0.22815731092436975</v>
      </c>
      <c r="AL19" s="6">
        <f>Influent[[#This Row],[TN (mg L-1)]]/GSBR[[#This Row],[HRT 
(h)]]*24/1000</f>
        <v>0.26900168067226887</v>
      </c>
      <c r="AM19" s="6">
        <f>GSBR[[#This Row],[NLR 
(kg N m-3 d-1)]]*GSBR[[#This Row],[NRE 
(%)]]</f>
        <v>0.19675159663865543</v>
      </c>
      <c r="AN19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0.84829034193161368</v>
      </c>
      <c r="AO19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0.73141400509821564</v>
      </c>
      <c r="AP19" s="4"/>
      <c r="AQ19" s="4"/>
    </row>
    <row r="20" spans="1:43" x14ac:dyDescent="0.3">
      <c r="A20" s="128">
        <v>43343</v>
      </c>
      <c r="B20" s="29">
        <v>17</v>
      </c>
      <c r="C20" s="28"/>
      <c r="D20" s="42"/>
      <c r="E20" s="42"/>
      <c r="F20" s="42"/>
      <c r="G20" s="42"/>
      <c r="H20" s="42"/>
      <c r="I20" s="42"/>
      <c r="J20" s="27"/>
      <c r="K20" s="27"/>
      <c r="L20" s="29"/>
      <c r="N20" s="29"/>
      <c r="O20" s="29"/>
      <c r="P20" s="29"/>
      <c r="Q20" s="29"/>
      <c r="R20" s="29"/>
      <c r="S20" s="6"/>
      <c r="T20" s="4">
        <f>GSBR[[#This Row],[NH4-N 
(mg L-1)]]*1.288</f>
        <v>0</v>
      </c>
      <c r="U20" s="20">
        <f>GSBR[[#This Row],[NO2-N 
(mg L-1)]]*3.284</f>
        <v>0</v>
      </c>
      <c r="V20" s="6">
        <f>(GSBR[[#This Row],[NO3-N 
(mg L-1)]])*4.426</f>
        <v>0</v>
      </c>
      <c r="W20" s="6"/>
      <c r="X20" s="29"/>
      <c r="Y20" s="6"/>
      <c r="Z20" s="4"/>
      <c r="AA20" s="26"/>
      <c r="AB20" s="48"/>
      <c r="AC20" s="48"/>
      <c r="AD20" s="20"/>
      <c r="AE20" s="19"/>
      <c r="AF20" s="129"/>
      <c r="AG20" s="19"/>
      <c r="AH20" s="4"/>
      <c r="AI20" s="20"/>
      <c r="AJ20" s="6"/>
      <c r="AK20" s="6"/>
      <c r="AL20" s="6"/>
      <c r="AM20" s="6"/>
      <c r="AN20" s="26"/>
      <c r="AO20" s="26"/>
      <c r="AP20" s="4"/>
      <c r="AQ20" s="4"/>
    </row>
    <row r="21" spans="1:43" x14ac:dyDescent="0.3">
      <c r="A21" s="128">
        <v>43344</v>
      </c>
      <c r="B21" s="29">
        <v>18</v>
      </c>
      <c r="C21" s="28"/>
      <c r="D21" s="42"/>
      <c r="E21" s="42"/>
      <c r="F21" s="42"/>
      <c r="G21" s="42"/>
      <c r="H21" s="42"/>
      <c r="I21" s="42"/>
      <c r="J21" s="27"/>
      <c r="K21" s="27"/>
      <c r="L21" s="29"/>
      <c r="N21" s="29"/>
      <c r="O21" s="29"/>
      <c r="P21" s="29"/>
      <c r="Q21" s="29"/>
      <c r="R21" s="29"/>
      <c r="S21" s="6"/>
      <c r="T21" s="4">
        <f>GSBR[[#This Row],[NH4-N 
(mg L-1)]]*1.288</f>
        <v>0</v>
      </c>
      <c r="U21" s="20">
        <f>GSBR[[#This Row],[NO2-N 
(mg L-1)]]*3.284</f>
        <v>0</v>
      </c>
      <c r="V21" s="6">
        <f>(GSBR[[#This Row],[NO3-N 
(mg L-1)]])*4.426</f>
        <v>0</v>
      </c>
      <c r="W21" s="6"/>
      <c r="X21" s="29"/>
      <c r="Y21" s="6"/>
      <c r="Z21" s="4"/>
      <c r="AA21" s="26"/>
      <c r="AB21" s="48"/>
      <c r="AC21" s="48"/>
      <c r="AD21" s="20"/>
      <c r="AE21" s="19"/>
      <c r="AF21" s="129"/>
      <c r="AG21" s="19"/>
      <c r="AH21" s="4"/>
      <c r="AI21" s="20"/>
      <c r="AJ21" s="6"/>
      <c r="AK21" s="6"/>
      <c r="AL21" s="6"/>
      <c r="AM21" s="6"/>
      <c r="AN21" s="26"/>
      <c r="AO21" s="26"/>
      <c r="AP21" s="4"/>
      <c r="AQ21" s="4"/>
    </row>
    <row r="22" spans="1:43" x14ac:dyDescent="0.3">
      <c r="A22" s="128">
        <v>43345</v>
      </c>
      <c r="B22" s="29">
        <v>19</v>
      </c>
      <c r="C22" s="28"/>
      <c r="D22" s="42"/>
      <c r="E22" s="42"/>
      <c r="F22" s="42"/>
      <c r="G22" s="42"/>
      <c r="H22" s="42"/>
      <c r="I22" s="42"/>
      <c r="J22" s="27"/>
      <c r="K22" s="27"/>
      <c r="L22" s="29"/>
      <c r="N22" s="29"/>
      <c r="O22" s="29"/>
      <c r="P22" s="29"/>
      <c r="Q22" s="29"/>
      <c r="R22" s="29"/>
      <c r="S22" s="6"/>
      <c r="T22" s="4">
        <f>GSBR[[#This Row],[NH4-N 
(mg L-1)]]*1.288</f>
        <v>0</v>
      </c>
      <c r="U22" s="20">
        <f>GSBR[[#This Row],[NO2-N 
(mg L-1)]]*3.284</f>
        <v>0</v>
      </c>
      <c r="V22" s="6">
        <f>(GSBR[[#This Row],[NO3-N 
(mg L-1)]])*4.426</f>
        <v>0</v>
      </c>
      <c r="W22" s="6"/>
      <c r="X22" s="29"/>
      <c r="Y22" s="6"/>
      <c r="Z22" s="4"/>
      <c r="AA22" s="26"/>
      <c r="AB22" s="48"/>
      <c r="AC22" s="48"/>
      <c r="AD22" s="20"/>
      <c r="AE22" s="19"/>
      <c r="AF22" s="129"/>
      <c r="AG22" s="19"/>
      <c r="AH22" s="4"/>
      <c r="AI22" s="20"/>
      <c r="AJ22" s="6"/>
      <c r="AK22" s="6"/>
      <c r="AL22" s="6"/>
      <c r="AM22" s="6"/>
      <c r="AN22" s="26"/>
      <c r="AO22" s="26"/>
      <c r="AP22" s="4"/>
      <c r="AQ22" s="4"/>
    </row>
    <row r="23" spans="1:43" x14ac:dyDescent="0.3">
      <c r="A23" s="128">
        <v>43346</v>
      </c>
      <c r="B23" s="29">
        <v>20</v>
      </c>
      <c r="C23" s="28"/>
      <c r="D23" s="42"/>
      <c r="E23" s="42"/>
      <c r="F23" s="42"/>
      <c r="G23" s="42"/>
      <c r="H23" s="42"/>
      <c r="I23" s="42"/>
      <c r="J23" s="27"/>
      <c r="K23" s="27"/>
      <c r="L23" s="29"/>
      <c r="N23" s="29"/>
      <c r="O23" s="29"/>
      <c r="P23" s="29"/>
      <c r="Q23" s="29"/>
      <c r="R23" s="29"/>
      <c r="S23" s="6"/>
      <c r="T23" s="4">
        <f>GSBR[[#This Row],[NH4-N 
(mg L-1)]]*1.288</f>
        <v>0</v>
      </c>
      <c r="U23" s="20">
        <f>GSBR[[#This Row],[NO2-N 
(mg L-1)]]*3.284</f>
        <v>0</v>
      </c>
      <c r="V23" s="6">
        <f>(GSBR[[#This Row],[NO3-N 
(mg L-1)]])*4.426</f>
        <v>0</v>
      </c>
      <c r="W23" s="6"/>
      <c r="X23" s="29"/>
      <c r="Y23" s="6"/>
      <c r="Z23" s="4"/>
      <c r="AA23" s="26"/>
      <c r="AB23" s="48"/>
      <c r="AC23" s="48"/>
      <c r="AD23" s="20"/>
      <c r="AE23" s="19"/>
      <c r="AF23" s="129"/>
      <c r="AG23" s="19"/>
      <c r="AH23" s="4"/>
      <c r="AI23" s="20"/>
      <c r="AJ23" s="6"/>
      <c r="AK23" s="6"/>
      <c r="AL23" s="6"/>
      <c r="AM23" s="6"/>
      <c r="AN23" s="26"/>
      <c r="AO23" s="26"/>
      <c r="AP23" s="4"/>
      <c r="AQ23" s="4"/>
    </row>
    <row r="24" spans="1:43" x14ac:dyDescent="0.3">
      <c r="A24" s="128">
        <v>43347</v>
      </c>
      <c r="B24" s="29">
        <v>21</v>
      </c>
      <c r="C24" s="28"/>
      <c r="D24" s="42"/>
      <c r="E24" s="42"/>
      <c r="F24" s="42"/>
      <c r="G24" s="42"/>
      <c r="H24" s="42"/>
      <c r="I24" s="42"/>
      <c r="J24" s="27"/>
      <c r="K24" s="27"/>
      <c r="L24" s="29"/>
      <c r="N24" s="29"/>
      <c r="O24" s="29"/>
      <c r="P24" s="29"/>
      <c r="Q24" s="29"/>
      <c r="R24" s="29"/>
      <c r="S24" s="6"/>
      <c r="T24" s="4">
        <f>GSBR[[#This Row],[NH4-N 
(mg L-1)]]*1.288</f>
        <v>0</v>
      </c>
      <c r="U24" s="20">
        <f>GSBR[[#This Row],[NO2-N 
(mg L-1)]]*3.284</f>
        <v>0</v>
      </c>
      <c r="V24" s="6">
        <f>(GSBR[[#This Row],[NO3-N 
(mg L-1)]])*4.426</f>
        <v>0</v>
      </c>
      <c r="W24" s="6"/>
      <c r="X24" s="29"/>
      <c r="Y24" s="6"/>
      <c r="Z24" s="4"/>
      <c r="AA24" s="26"/>
      <c r="AB24" s="48"/>
      <c r="AC24" s="48"/>
      <c r="AD24" s="20"/>
      <c r="AE24" s="19"/>
      <c r="AF24" s="129"/>
      <c r="AG24" s="19"/>
      <c r="AH24" s="4"/>
      <c r="AI24" s="20"/>
      <c r="AJ24" s="6"/>
      <c r="AK24" s="6"/>
      <c r="AL24" s="6"/>
      <c r="AM24" s="6"/>
      <c r="AN24" s="26"/>
      <c r="AO24" s="26"/>
      <c r="AP24" s="4"/>
      <c r="AQ24" s="4"/>
    </row>
    <row r="25" spans="1:43" x14ac:dyDescent="0.3">
      <c r="A25" s="128">
        <v>43348</v>
      </c>
      <c r="B25" s="29">
        <v>22</v>
      </c>
      <c r="C25" s="28"/>
      <c r="D25" s="42"/>
      <c r="E25" s="42"/>
      <c r="F25" s="42"/>
      <c r="G25" s="42"/>
      <c r="H25" s="42"/>
      <c r="I25" s="42"/>
      <c r="J25" s="27"/>
      <c r="K25" s="27"/>
      <c r="L25" s="29"/>
      <c r="N25" s="29"/>
      <c r="O25" s="29"/>
      <c r="P25" s="29"/>
      <c r="Q25" s="29"/>
      <c r="R25" s="29"/>
      <c r="S25" s="6"/>
      <c r="T25" s="4">
        <f>GSBR[[#This Row],[NH4-N 
(mg L-1)]]*1.288</f>
        <v>0</v>
      </c>
      <c r="U25" s="20">
        <f>GSBR[[#This Row],[NO2-N 
(mg L-1)]]*3.284</f>
        <v>0</v>
      </c>
      <c r="V25" s="6">
        <f>(GSBR[[#This Row],[NO3-N 
(mg L-1)]])*4.426</f>
        <v>0</v>
      </c>
      <c r="W25" s="6"/>
      <c r="X25" s="29"/>
      <c r="Y25" s="6"/>
      <c r="Z25" s="4"/>
      <c r="AA25" s="26"/>
      <c r="AB25" s="48"/>
      <c r="AC25" s="48"/>
      <c r="AD25" s="20"/>
      <c r="AE25" s="19"/>
      <c r="AF25" s="129"/>
      <c r="AG25" s="19"/>
      <c r="AH25" s="4"/>
      <c r="AI25" s="20"/>
      <c r="AJ25" s="6"/>
      <c r="AK25" s="6"/>
      <c r="AL25" s="6"/>
      <c r="AM25" s="6"/>
      <c r="AN25" s="26"/>
      <c r="AO25" s="26"/>
      <c r="AP25" s="4"/>
      <c r="AQ25" s="4"/>
    </row>
    <row r="26" spans="1:43" x14ac:dyDescent="0.3">
      <c r="A26" s="128">
        <v>43349</v>
      </c>
      <c r="B26" s="29">
        <v>23</v>
      </c>
      <c r="C26" s="28"/>
      <c r="D26" s="42"/>
      <c r="E26" s="42"/>
      <c r="F26" s="42"/>
      <c r="G26" s="42"/>
      <c r="H26" s="42"/>
      <c r="I26" s="42"/>
      <c r="J26" s="27"/>
      <c r="K26" s="27"/>
      <c r="L26" s="29"/>
      <c r="N26" s="29"/>
      <c r="O26" s="29"/>
      <c r="P26" s="29"/>
      <c r="Q26" s="29"/>
      <c r="R26" s="29"/>
      <c r="S26" s="6"/>
      <c r="T26" s="4">
        <f>GSBR[[#This Row],[NH4-N 
(mg L-1)]]*1.288</f>
        <v>0</v>
      </c>
      <c r="U26" s="20">
        <f>GSBR[[#This Row],[NO2-N 
(mg L-1)]]*3.284</f>
        <v>0</v>
      </c>
      <c r="V26" s="6">
        <f>(GSBR[[#This Row],[NO3-N 
(mg L-1)]])*4.426</f>
        <v>0</v>
      </c>
      <c r="W26" s="6"/>
      <c r="X26" s="29"/>
      <c r="Y26" s="6"/>
      <c r="Z26" s="4"/>
      <c r="AA26" s="26"/>
      <c r="AB26" s="48"/>
      <c r="AC26" s="48"/>
      <c r="AD26" s="20"/>
      <c r="AE26" s="19"/>
      <c r="AF26" s="129"/>
      <c r="AG26" s="19"/>
      <c r="AH26" s="4"/>
      <c r="AI26" s="20"/>
      <c r="AJ26" s="6"/>
      <c r="AK26" s="6"/>
      <c r="AL26" s="6"/>
      <c r="AM26" s="6"/>
      <c r="AN26" s="26"/>
      <c r="AO26" s="26"/>
      <c r="AP26" s="4"/>
      <c r="AQ26" s="4"/>
    </row>
    <row r="27" spans="1:43" x14ac:dyDescent="0.3">
      <c r="A27" s="128">
        <v>43350</v>
      </c>
      <c r="B27" s="29">
        <v>24</v>
      </c>
      <c r="C27" s="28"/>
      <c r="D27" s="42"/>
      <c r="E27" s="42"/>
      <c r="F27" s="42"/>
      <c r="G27" s="42"/>
      <c r="H27" s="42"/>
      <c r="I27" s="42"/>
      <c r="J27" s="27"/>
      <c r="K27" s="27"/>
      <c r="L27" s="29"/>
      <c r="N27" s="29"/>
      <c r="O27" s="29"/>
      <c r="P27" s="29"/>
      <c r="Q27" s="29"/>
      <c r="R27" s="29"/>
      <c r="S27" s="6"/>
      <c r="T27" s="4">
        <f>GSBR[[#This Row],[NH4-N 
(mg L-1)]]*1.288</f>
        <v>0</v>
      </c>
      <c r="U27" s="20">
        <f>GSBR[[#This Row],[NO2-N 
(mg L-1)]]*3.284</f>
        <v>0</v>
      </c>
      <c r="V27" s="6">
        <f>(GSBR[[#This Row],[NO3-N 
(mg L-1)]])*4.426</f>
        <v>0</v>
      </c>
      <c r="W27" s="6"/>
      <c r="X27" s="29"/>
      <c r="Y27" s="6"/>
      <c r="Z27" s="4"/>
      <c r="AA27" s="26"/>
      <c r="AB27" s="48"/>
      <c r="AC27" s="48"/>
      <c r="AD27" s="20"/>
      <c r="AE27" s="19"/>
      <c r="AF27" s="129"/>
      <c r="AG27" s="19"/>
      <c r="AH27" s="4"/>
      <c r="AI27" s="20"/>
      <c r="AJ27" s="6"/>
      <c r="AK27" s="6"/>
      <c r="AL27" s="6"/>
      <c r="AM27" s="6"/>
      <c r="AN27" s="26"/>
      <c r="AO27" s="26"/>
      <c r="AP27" s="4"/>
      <c r="AQ27" s="4"/>
    </row>
    <row r="28" spans="1:43" x14ac:dyDescent="0.3">
      <c r="A28" s="128">
        <v>43351</v>
      </c>
      <c r="B28" s="29">
        <v>25</v>
      </c>
      <c r="C28" s="28"/>
      <c r="D28" s="42"/>
      <c r="E28" s="42"/>
      <c r="F28" s="42"/>
      <c r="G28" s="42"/>
      <c r="H28" s="42"/>
      <c r="I28" s="42"/>
      <c r="J28" s="27"/>
      <c r="K28" s="27"/>
      <c r="L28" s="29"/>
      <c r="N28" s="29"/>
      <c r="O28" s="29"/>
      <c r="P28" s="29"/>
      <c r="Q28" s="29"/>
      <c r="R28" s="29"/>
      <c r="S28" s="6"/>
      <c r="T28" s="4">
        <f>GSBR[[#This Row],[NH4-N 
(mg L-1)]]*1.288</f>
        <v>0</v>
      </c>
      <c r="U28" s="20">
        <f>GSBR[[#This Row],[NO2-N 
(mg L-1)]]*3.284</f>
        <v>0</v>
      </c>
      <c r="V28" s="6">
        <f>(GSBR[[#This Row],[NO3-N 
(mg L-1)]])*4.426</f>
        <v>0</v>
      </c>
      <c r="W28" s="6"/>
      <c r="X28" s="29"/>
      <c r="Y28" s="6"/>
      <c r="Z28" s="4"/>
      <c r="AA28" s="26"/>
      <c r="AB28" s="48"/>
      <c r="AC28" s="48"/>
      <c r="AD28" s="20"/>
      <c r="AE28" s="19"/>
      <c r="AF28" s="129"/>
      <c r="AG28" s="19"/>
      <c r="AH28" s="4"/>
      <c r="AI28" s="20"/>
      <c r="AJ28" s="6"/>
      <c r="AK28" s="6"/>
      <c r="AL28" s="6"/>
      <c r="AM28" s="6"/>
      <c r="AN28" s="26"/>
      <c r="AO28" s="26"/>
      <c r="AP28" s="4"/>
      <c r="AQ28" s="4"/>
    </row>
    <row r="29" spans="1:43" x14ac:dyDescent="0.3">
      <c r="A29" s="128">
        <v>43352</v>
      </c>
      <c r="B29" s="29">
        <v>26</v>
      </c>
      <c r="C29" s="28"/>
      <c r="D29" s="42"/>
      <c r="E29" s="42"/>
      <c r="F29" s="42"/>
      <c r="G29" s="42"/>
      <c r="H29" s="42"/>
      <c r="I29" s="42"/>
      <c r="J29" s="27"/>
      <c r="K29" s="27"/>
      <c r="L29" s="29"/>
      <c r="N29" s="29"/>
      <c r="O29" s="29"/>
      <c r="P29" s="29"/>
      <c r="Q29" s="29"/>
      <c r="R29" s="29"/>
      <c r="S29" s="6"/>
      <c r="T29" s="4">
        <f>GSBR[[#This Row],[NH4-N 
(mg L-1)]]*1.288</f>
        <v>0</v>
      </c>
      <c r="U29" s="20">
        <f>GSBR[[#This Row],[NO2-N 
(mg L-1)]]*3.284</f>
        <v>0</v>
      </c>
      <c r="V29" s="6">
        <f>(GSBR[[#This Row],[NO3-N 
(mg L-1)]])*4.426</f>
        <v>0</v>
      </c>
      <c r="W29" s="6"/>
      <c r="X29" s="29"/>
      <c r="Y29" s="6"/>
      <c r="Z29" s="4"/>
      <c r="AA29" s="26"/>
      <c r="AB29" s="48"/>
      <c r="AC29" s="48"/>
      <c r="AD29" s="20"/>
      <c r="AE29" s="19"/>
      <c r="AF29" s="129"/>
      <c r="AG29" s="19"/>
      <c r="AH29" s="4"/>
      <c r="AI29" s="20"/>
      <c r="AJ29" s="6"/>
      <c r="AK29" s="6"/>
      <c r="AL29" s="6"/>
      <c r="AM29" s="6"/>
      <c r="AN29" s="26"/>
      <c r="AO29" s="26"/>
      <c r="AP29" s="4"/>
      <c r="AQ29" s="4"/>
    </row>
    <row r="30" spans="1:43" x14ac:dyDescent="0.3">
      <c r="A30" s="128">
        <v>43353</v>
      </c>
      <c r="B30" s="29">
        <v>27</v>
      </c>
      <c r="C30" s="28"/>
      <c r="D30" s="42"/>
      <c r="E30" s="42"/>
      <c r="F30" s="42"/>
      <c r="G30" s="42"/>
      <c r="H30" s="42"/>
      <c r="I30" s="42"/>
      <c r="J30" s="27"/>
      <c r="K30" s="27"/>
      <c r="L30" s="29"/>
      <c r="N30" s="29"/>
      <c r="O30" s="29"/>
      <c r="P30" s="29"/>
      <c r="Q30" s="29"/>
      <c r="R30" s="29"/>
      <c r="S30" s="6"/>
      <c r="T30" s="4">
        <f>GSBR[[#This Row],[NH4-N 
(mg L-1)]]*1.288</f>
        <v>0</v>
      </c>
      <c r="U30" s="20">
        <f>GSBR[[#This Row],[NO2-N 
(mg L-1)]]*3.284</f>
        <v>0</v>
      </c>
      <c r="V30" s="6">
        <f>(GSBR[[#This Row],[NO3-N 
(mg L-1)]])*4.426</f>
        <v>0</v>
      </c>
      <c r="W30" s="6"/>
      <c r="X30" s="29"/>
      <c r="Y30" s="6"/>
      <c r="Z30" s="4"/>
      <c r="AA30" s="26"/>
      <c r="AB30" s="48"/>
      <c r="AC30" s="48"/>
      <c r="AD30" s="20"/>
      <c r="AE30" s="19"/>
      <c r="AF30" s="129"/>
      <c r="AG30" s="19"/>
      <c r="AH30" s="4"/>
      <c r="AI30" s="20"/>
      <c r="AJ30" s="6"/>
      <c r="AK30" s="6"/>
      <c r="AL30" s="6"/>
      <c r="AM30" s="6"/>
      <c r="AN30" s="26"/>
      <c r="AO30" s="26"/>
      <c r="AP30" s="4"/>
      <c r="AQ30" s="4"/>
    </row>
    <row r="31" spans="1:43" x14ac:dyDescent="0.3">
      <c r="A31" s="128">
        <v>43354</v>
      </c>
      <c r="B31" s="29">
        <v>28</v>
      </c>
      <c r="C31" s="28">
        <f>Information!$R$54/GSBR[[#This Row],[HRT 
(h)]]*24</f>
        <v>7.1574532349899259E-2</v>
      </c>
      <c r="D31" s="42">
        <v>67.062960000000004</v>
      </c>
      <c r="E31" s="42">
        <v>30.359635624999999</v>
      </c>
      <c r="F31" s="42">
        <v>7.5189305624999996</v>
      </c>
      <c r="G31" s="42">
        <v>0.47050848750000002</v>
      </c>
      <c r="H31" s="42">
        <v>5.5910805625000002</v>
      </c>
      <c r="I31" s="42">
        <v>35.376293124999997</v>
      </c>
      <c r="J31" s="27"/>
      <c r="K31" s="27"/>
      <c r="L31" s="29">
        <v>2305</v>
      </c>
      <c r="M31" s="29">
        <f>GSBR[[#This Row],[COD 
(mg L-1)]]*Information!$AK$43</f>
        <v>1844</v>
      </c>
      <c r="N31" s="29">
        <v>772</v>
      </c>
      <c r="O31" s="29">
        <v>7.3</v>
      </c>
      <c r="P31" s="29">
        <v>104</v>
      </c>
      <c r="Q31" s="29"/>
      <c r="R31" s="29">
        <v>3.05</v>
      </c>
      <c r="S31" s="29">
        <v>555.20000000000005</v>
      </c>
      <c r="T31" s="4">
        <f>GSBR[[#This Row],[NH4-N 
(mg L-1)]]*1.288</f>
        <v>569.15431999999998</v>
      </c>
      <c r="U31" s="20">
        <f>GSBR[[#This Row],[NO2-N 
(mg L-1)]]*3.284</f>
        <v>1471.5275599999998</v>
      </c>
      <c r="V31" s="6">
        <f>(GSBR[[#This Row],[NO3-N 
(mg L-1)]])*4.426</f>
        <v>474.06886000000031</v>
      </c>
      <c r="W31" s="29">
        <v>441.89</v>
      </c>
      <c r="X31" s="29">
        <v>448.09</v>
      </c>
      <c r="Y31" s="6">
        <f>IF((GSBR[[#This Row],[TON 
(mg L-1)]]-GSBR[[#This Row],[NO2-N 
(mg L-1)]])&lt;0,0.2,(GSBR[[#This Row],[TON 
(mg L-1)]]-GSBR[[#This Row],[NO2-N 
(mg L-1)]]))</f>
        <v>107.11000000000007</v>
      </c>
      <c r="Z31" s="4">
        <f>SUM(GSBR[[#This Row],[NO3-N 
(mg L-1)]],GSBR[[#This Row],[NO2-N 
(mg L-1)]],GSBR[[#This Row],[NH4-N 
(mg L-1)]])</f>
        <v>997.09</v>
      </c>
      <c r="AA31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0.14878248669972646</v>
      </c>
      <c r="AB31" s="48">
        <f>IF(IFERROR(GSBR[[#This Row],[NO2-N 
(mg L-1)]]/GSBR[[#This Row],[NH4-N 
(mg L-1)]],0)&lt;0,0,IFERROR(GSBR[[#This Row],[NO2-N 
(mg L-1)]]/GSBR[[#This Row],[NH4-N 
(mg L-1)]],0))</f>
        <v>1.0140306411097784</v>
      </c>
      <c r="AC31" s="48">
        <f>GSBR[[#This Row],[NO2-N 
(mg L-1)]]/(GSBR[[#This Row],[NO2-N 
(mg L-1)]]+GSBR[[#This Row],[NO3-N 
(mg L-1)]])</f>
        <v>0.80707853025936593</v>
      </c>
      <c r="AD31" s="20">
        <f>46/14*GSBR[[#This Row],[NO2-N 
(mg L-1)]]/(EXP(-2300/(GSBR[[#This Row],[Temp. 
(°C)]]+273))*10^(GSBR[[#This Row],[pHreactor]]))</f>
        <v>8.7454283629290239E-2</v>
      </c>
      <c r="AE31" s="19">
        <f>17/14*(GSBR[[#This Row],[NH4+ (mg L-1)]]*10^GSBR[[#This Row],[pHreactor]])/(EXP(6344/(273+GSBR[[#This Row],[Temp. 
(°C)]]))+10^GSBR[pHreactor])</f>
        <v>18.390645668036058</v>
      </c>
      <c r="AF31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164.71000000000004</v>
      </c>
      <c r="AG31" s="19">
        <f>IFERROR(IF(Influent[[#This Row],[COD (mg L-1)]]-MEDIA[[#This Row],[COD 
(mg L-1)]]&lt;0,0,Influent[[#This Row],[COD (mg L-1)]]-MEDIA[[#This Row],[COD 
(mg L-1)]]),0)</f>
        <v>2825</v>
      </c>
      <c r="AH31" s="4">
        <f>IF(IFERROR(Influent[[#This Row],[Alkalinity (mg CaCO3 L-1) ]]-GSBR[[#This Row],[Alkalinity 
(mg CaCO3 L-1) ]],0)&lt;0,0,IFERROR(Influent[[#This Row],[Alkalinity (mg CaCO3 L-1) ]]-GSBR[[#This Row],[Alkalinity 
(mg CaCO3 L-1) ]],0))</f>
        <v>3647</v>
      </c>
      <c r="AI31" s="20">
        <f>Influent[[#This Row],[COD (mg L-1)]]/GSBR[[#This Row],[HRT 
(h)]]*24/1000</f>
        <v>1.0109902694423269</v>
      </c>
      <c r="AJ31" s="6">
        <f>IFERROR(IF(((GSBR[[#This Row],[ΔC (mg L-1)]])/GSBR[[#This Row],[HRT 
(h)]]*24/1000) &lt;0,0, (GSBR[[#This Row],[ΔC (mg L-1)]])/GSBR[[#This Row],[HRT 
(h)]]*24/1000),0)</f>
        <v>1.0109902694423269</v>
      </c>
      <c r="AK31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0.25763610792007985</v>
      </c>
      <c r="AL31" s="6">
        <f>Influent[[#This Row],[TN (mg L-1)]]/GSBR[[#This Row],[HRT 
(h)]]*24/1000</f>
        <v>0.424122048892563</v>
      </c>
      <c r="AM31" s="6">
        <f>GSBR[[#This Row],[NLR 
(kg N m-3 d-1)]]*GSBR[[#This Row],[NRE 
(%)]]</f>
        <v>6.7290796588757737E-2</v>
      </c>
      <c r="AN31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0.61965054226200722</v>
      </c>
      <c r="AO31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0.158659038747131</v>
      </c>
      <c r="AP31" s="4"/>
      <c r="AQ31" s="4"/>
    </row>
    <row r="32" spans="1:43" x14ac:dyDescent="0.3">
      <c r="A32" s="128">
        <v>43355</v>
      </c>
      <c r="B32" s="29">
        <v>29</v>
      </c>
      <c r="C32" s="28">
        <f>Information!$R$54/GSBR[[#This Row],[HRT 
(h)]]*24</f>
        <v>0.2706765899712068</v>
      </c>
      <c r="D32" s="42">
        <v>17.733339999999998</v>
      </c>
      <c r="E32" s="42">
        <v>27.316898125000002</v>
      </c>
      <c r="F32" s="42">
        <v>7.6157895624999998</v>
      </c>
      <c r="G32" s="42">
        <v>0.48629238749999998</v>
      </c>
      <c r="H32" s="42">
        <v>4.1222456875000004</v>
      </c>
      <c r="I32" s="42">
        <v>-19.144330624999998</v>
      </c>
      <c r="J32" s="27"/>
      <c r="K32" s="27"/>
      <c r="L32" s="29">
        <v>1585</v>
      </c>
      <c r="M32" s="29">
        <f>GSBR[[#This Row],[COD 
(mg L-1)]]*Information!$AK$43</f>
        <v>1268</v>
      </c>
      <c r="N32" s="29">
        <v>566</v>
      </c>
      <c r="O32" s="29">
        <v>7.4</v>
      </c>
      <c r="P32" s="29">
        <v>54</v>
      </c>
      <c r="Q32" s="29"/>
      <c r="R32" s="29">
        <v>2.04</v>
      </c>
      <c r="S32" s="29">
        <v>403.9</v>
      </c>
      <c r="T32" s="4">
        <f>GSBR[[#This Row],[NH4-N 
(mg L-1)]]*1.288</f>
        <v>624.47392000000002</v>
      </c>
      <c r="U32" s="20">
        <f>GSBR[[#This Row],[NO2-N 
(mg L-1)]]*3.284</f>
        <v>965.20044000000007</v>
      </c>
      <c r="V32" s="6">
        <f>(GSBR[[#This Row],[NO3-N 
(mg L-1)]])*4.426</f>
        <v>486.81573999999978</v>
      </c>
      <c r="W32" s="29">
        <v>484.84</v>
      </c>
      <c r="X32" s="29">
        <v>293.91000000000003</v>
      </c>
      <c r="Y32" s="6">
        <f>IF((GSBR[[#This Row],[TON 
(mg L-1)]]-GSBR[[#This Row],[NO2-N 
(mg L-1)]])&lt;0,0.2,(GSBR[[#This Row],[TON 
(mg L-1)]]-GSBR[[#This Row],[NO2-N 
(mg L-1)]]))</f>
        <v>109.98999999999995</v>
      </c>
      <c r="Z32" s="4">
        <f>SUM(GSBR[[#This Row],[NO3-N 
(mg L-1)]],GSBR[[#This Row],[NO2-N 
(mg L-1)]],GSBR[[#This Row],[NH4-N 
(mg L-1)]])</f>
        <v>888.74</v>
      </c>
      <c r="AA32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0.15881656462977925</v>
      </c>
      <c r="AB32" s="48">
        <f>IF(IFERROR(GSBR[[#This Row],[NO2-N 
(mg L-1)]]/GSBR[[#This Row],[NH4-N 
(mg L-1)]],0)&lt;0,0,IFERROR(GSBR[[#This Row],[NO2-N 
(mg L-1)]]/GSBR[[#This Row],[NH4-N 
(mg L-1)]],0))</f>
        <v>0.60619998349971138</v>
      </c>
      <c r="AC32" s="48">
        <f>GSBR[[#This Row],[NO2-N 
(mg L-1)]]/(GSBR[[#This Row],[NO2-N 
(mg L-1)]]+GSBR[[#This Row],[NO3-N 
(mg L-1)]])</f>
        <v>0.72768011884129746</v>
      </c>
      <c r="AD32" s="20">
        <f>46/14*GSBR[[#This Row],[NO2-N 
(mg L-1)]]/(EXP(-2300/(GSBR[[#This Row],[Temp. 
(°C)]]+273))*10^(GSBR[[#This Row],[pHreactor]]))</f>
        <v>4.9560102777697998E-2</v>
      </c>
      <c r="AE32" s="19">
        <f>17/14*(GSBR[[#This Row],[NH4+ (mg L-1)]]*10^GSBR[[#This Row],[pHreactor]])/(EXP(6344/(273+GSBR[[#This Row],[Temp. 
(°C)]]))+10^GSBR[pHreactor])</f>
        <v>20.398225633607442</v>
      </c>
      <c r="AF32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288.66000000000008</v>
      </c>
      <c r="AG32" s="19">
        <f>IFERROR(IF(Influent[[#This Row],[COD (mg L-1)]]-MEDIA[[#This Row],[COD 
(mg L-1)]]&lt;0,0,Influent[[#This Row],[COD (mg L-1)]]-MEDIA[[#This Row],[COD 
(mg L-1)]]),0)</f>
        <v>890</v>
      </c>
      <c r="AH32" s="4">
        <f>IF(IFERROR(Influent[[#This Row],[Alkalinity (mg CaCO3 L-1) ]]-GSBR[[#This Row],[Alkalinity 
(mg CaCO3 L-1) ]],0)&lt;0,0,IFERROR(Influent[[#This Row],[Alkalinity (mg CaCO3 L-1) ]]-GSBR[[#This Row],[Alkalinity 
(mg CaCO3 L-1) ]],0))</f>
        <v>3731</v>
      </c>
      <c r="AI32" s="20">
        <f>Influent[[#This Row],[COD (mg L-1)]]/GSBR[[#This Row],[HRT 
(h)]]*24/1000</f>
        <v>3.5593971581213695</v>
      </c>
      <c r="AJ32" s="6">
        <f>IFERROR(IF(((GSBR[[#This Row],[ΔC (mg L-1)]])/GSBR[[#This Row],[HRT 
(h)]]*24/1000) &lt;0,0, (GSBR[[#This Row],[ΔC (mg L-1)]])/GSBR[[#This Row],[HRT 
(h)]]*24/1000),0)</f>
        <v>1.2045108253718704</v>
      </c>
      <c r="AK32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0.93729889575229519</v>
      </c>
      <c r="AL32" s="6">
        <f>Influent[[#This Row],[TN (mg L-1)]]/GSBR[[#This Row],[HRT 
(h)]]*24/1000</f>
        <v>1.5937437617504659</v>
      </c>
      <c r="AM32" s="6">
        <f>GSBR[[#This Row],[NLR 
(kg N m-3 d-1)]]*GSBR[[#This Row],[NRE 
(%)]]</f>
        <v>0.39093819889541415</v>
      </c>
      <c r="AN32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0.5882113130626806</v>
      </c>
      <c r="AO32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0.2452955163043479</v>
      </c>
      <c r="AP32" s="4"/>
      <c r="AQ32" s="4"/>
    </row>
    <row r="33" spans="1:43" x14ac:dyDescent="0.3">
      <c r="A33" s="128">
        <v>43356</v>
      </c>
      <c r="B33" s="29">
        <v>30</v>
      </c>
      <c r="C33" s="28">
        <f>Information!$R$54/GSBR[[#This Row],[HRT 
(h)]]*24</f>
        <v>0.25935557703644108</v>
      </c>
      <c r="D33" s="42">
        <v>18.50741</v>
      </c>
      <c r="E33" s="42">
        <v>33.499074374999999</v>
      </c>
      <c r="F33" s="42">
        <v>7.8351973749999999</v>
      </c>
      <c r="G33" s="42">
        <v>0.45743643750000001</v>
      </c>
      <c r="H33" s="42">
        <v>2.446123</v>
      </c>
      <c r="I33" s="42">
        <v>-27.14709375</v>
      </c>
      <c r="J33" s="27">
        <v>4900</v>
      </c>
      <c r="K33" s="27">
        <v>1340</v>
      </c>
      <c r="L33" s="29">
        <v>1006</v>
      </c>
      <c r="M33" s="29">
        <f>GSBR[[#This Row],[COD 
(mg L-1)]]*Information!$AK$43</f>
        <v>804.80000000000007</v>
      </c>
      <c r="N33" s="29">
        <v>440</v>
      </c>
      <c r="O33" s="29">
        <v>7.5</v>
      </c>
      <c r="P33" s="29">
        <v>44</v>
      </c>
      <c r="Q33" s="29"/>
      <c r="R33" s="29">
        <v>1.43</v>
      </c>
      <c r="S33" s="29">
        <v>175.3</v>
      </c>
      <c r="T33" s="4">
        <f>GSBR[[#This Row],[NH4-N 
(mg L-1)]]*1.288</f>
        <v>208.25672</v>
      </c>
      <c r="U33" s="20">
        <f>GSBR[[#This Row],[NO2-N 
(mg L-1)]]*3.284</f>
        <v>495.09583999999995</v>
      </c>
      <c r="V33" s="6">
        <f>(GSBR[[#This Row],[NO3-N 
(mg L-1)]])*4.426</f>
        <v>108.61404000000009</v>
      </c>
      <c r="W33" s="29">
        <v>161.69</v>
      </c>
      <c r="X33" s="29">
        <v>150.76</v>
      </c>
      <c r="Y33" s="6">
        <f>IF((GSBR[[#This Row],[TON 
(mg L-1)]]-GSBR[[#This Row],[NO2-N 
(mg L-1)]])&lt;0,0.2,(GSBR[[#This Row],[TON 
(mg L-1)]]-GSBR[[#This Row],[NO2-N 
(mg L-1)]]))</f>
        <v>24.54000000000002</v>
      </c>
      <c r="Z33" s="4">
        <f>SUM(GSBR[[#This Row],[NO3-N 
(mg L-1)]],GSBR[[#This Row],[NO2-N 
(mg L-1)]],GSBR[[#This Row],[NH4-N 
(mg L-1)]])</f>
        <v>336.99</v>
      </c>
      <c r="AA33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2.0761245674740501E-2</v>
      </c>
      <c r="AB33" s="48">
        <f>IF(IFERROR(GSBR[[#This Row],[NO2-N 
(mg L-1)]]/GSBR[[#This Row],[NH4-N 
(mg L-1)]],0)&lt;0,0,IFERROR(GSBR[[#This Row],[NO2-N 
(mg L-1)]]/GSBR[[#This Row],[NH4-N 
(mg L-1)]],0))</f>
        <v>0.93240150906054797</v>
      </c>
      <c r="AC33" s="48">
        <f>GSBR[[#This Row],[NO2-N 
(mg L-1)]]/(GSBR[[#This Row],[NO2-N 
(mg L-1)]]+GSBR[[#This Row],[NO3-N 
(mg L-1)]])</f>
        <v>0.86001140901312023</v>
      </c>
      <c r="AD33" s="20">
        <f>46/14*GSBR[[#This Row],[NO2-N 
(mg L-1)]]/(EXP(-2300/(GSBR[[#This Row],[Temp. 
(°C)]]+273))*10^(GSBR[[#This Row],[pHreactor]]))</f>
        <v>1.3143414091224817E-2</v>
      </c>
      <c r="AE33" s="19">
        <f>17/14*(GSBR[[#This Row],[NH4+ (mg L-1)]]*10^GSBR[[#This Row],[pHreactor]])/(EXP(6344/(273+GSBR[[#This Row],[Temp. 
(°C)]]))+10^GSBR[pHreactor])</f>
        <v>16.577816071450741</v>
      </c>
      <c r="AF33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1006.71</v>
      </c>
      <c r="AG33" s="19">
        <f>IFERROR(IF(Influent[[#This Row],[COD (mg L-1)]]-MEDIA[[#This Row],[COD 
(mg L-1)]]&lt;0,0,Influent[[#This Row],[COD (mg L-1)]]-MEDIA[[#This Row],[COD 
(mg L-1)]]),0)</f>
        <v>0</v>
      </c>
      <c r="AH33" s="4">
        <f>IF(IFERROR(Influent[[#This Row],[Alkalinity (mg CaCO3 L-1) ]]-GSBR[[#This Row],[Alkalinity 
(mg CaCO3 L-1) ]],0)&lt;0,0,IFERROR(Influent[[#This Row],[Alkalinity (mg CaCO3 L-1) ]]-GSBR[[#This Row],[Alkalinity 
(mg CaCO3 L-1) ]],0))</f>
        <v>4384</v>
      </c>
      <c r="AI33" s="20"/>
      <c r="AJ33" s="6"/>
      <c r="AK33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1.5328044280642183</v>
      </c>
      <c r="AL33" s="6">
        <f>Influent[[#This Row],[TN (mg L-1)]]/GSBR[[#This Row],[HRT 
(h)]]*24/1000</f>
        <v>1.7507564807825624</v>
      </c>
      <c r="AM33" s="6">
        <f>GSBR[[#This Row],[NLR 
(kg N m-3 d-1)]]*GSBR[[#This Row],[NRE 
(%)]]</f>
        <v>1.3137553012550109</v>
      </c>
      <c r="AN33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0.87966808067276914</v>
      </c>
      <c r="AO33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0.75039293909555127</v>
      </c>
      <c r="AP33" s="4"/>
      <c r="AQ33" s="4"/>
    </row>
    <row r="34" spans="1:43" x14ac:dyDescent="0.3">
      <c r="A34" s="128">
        <v>43357</v>
      </c>
      <c r="B34" s="29">
        <v>31</v>
      </c>
      <c r="C34" s="28">
        <f>Information!$R$54/GSBR[[#This Row],[HRT 
(h)]]*24</f>
        <v>0.2564305297641053</v>
      </c>
      <c r="D34" s="42">
        <v>18.718520000000002</v>
      </c>
      <c r="E34" s="42">
        <v>27.716984374999999</v>
      </c>
      <c r="F34" s="42">
        <v>7.7654817500000002</v>
      </c>
      <c r="G34" s="42">
        <v>0.45012712500000002</v>
      </c>
      <c r="H34" s="42">
        <v>3.2358263125</v>
      </c>
      <c r="I34" s="42">
        <v>-7.6753616874999997</v>
      </c>
      <c r="J34" s="27"/>
      <c r="K34" s="27"/>
      <c r="L34" s="29">
        <v>1550</v>
      </c>
      <c r="M34" s="29">
        <f>GSBR[[#This Row],[COD 
(mg L-1)]]*Information!$AK$43</f>
        <v>1240</v>
      </c>
      <c r="N34" s="29">
        <v>616</v>
      </c>
      <c r="O34" s="29">
        <v>7.9</v>
      </c>
      <c r="P34" s="29">
        <v>456.7</v>
      </c>
      <c r="Q34" s="29"/>
      <c r="R34" s="29">
        <v>0.96</v>
      </c>
      <c r="S34" s="29">
        <v>49</v>
      </c>
      <c r="T34" s="4">
        <f>GSBR[[#This Row],[NH4-N 
(mg L-1)]]*1.288</f>
        <v>1528.856</v>
      </c>
      <c r="U34" s="20">
        <f>GSBR[[#This Row],[NO2-N 
(mg L-1)]]*3.284</f>
        <v>89.666335999999987</v>
      </c>
      <c r="V34" s="6">
        <f>(GSBR[[#This Row],[NO3-N 
(mg L-1)]])*4.426</f>
        <v>96.026496000000009</v>
      </c>
      <c r="W34" s="29">
        <v>1187</v>
      </c>
      <c r="X34" s="29">
        <v>27.303999999999998</v>
      </c>
      <c r="Y34" s="6">
        <f>IF((GSBR[[#This Row],[TON 
(mg L-1)]]-GSBR[[#This Row],[NO2-N 
(mg L-1)]])&lt;0,0.2,(GSBR[[#This Row],[TON 
(mg L-1)]]-GSBR[[#This Row],[NO2-N 
(mg L-1)]]))</f>
        <v>21.696000000000002</v>
      </c>
      <c r="Z34" s="4">
        <f>SUM(GSBR[[#This Row],[NO3-N 
(mg L-1)]],GSBR[[#This Row],[NO2-N 
(mg L-1)]],GSBR[[#This Row],[NH4-N 
(mg L-1)]])</f>
        <v>1236</v>
      </c>
      <c r="AA34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8.0177383592017773E-2</v>
      </c>
      <c r="AB34" s="48">
        <f>IF(IFERROR(GSBR[[#This Row],[NO2-N 
(mg L-1)]]/GSBR[[#This Row],[NH4-N 
(mg L-1)]],0)&lt;0,0,IFERROR(GSBR[[#This Row],[NO2-N 
(mg L-1)]]/GSBR[[#This Row],[NH4-N 
(mg L-1)]],0))</f>
        <v>2.3002527379949452E-2</v>
      </c>
      <c r="AC34" s="48">
        <f>GSBR[[#This Row],[NO2-N 
(mg L-1)]]/(GSBR[[#This Row],[NO2-N 
(mg L-1)]]+GSBR[[#This Row],[NO3-N 
(mg L-1)]])</f>
        <v>0.55722448979591832</v>
      </c>
      <c r="AD34" s="20">
        <f>46/14*GSBR[[#This Row],[NO2-N 
(mg L-1)]]/(EXP(-2300/(GSBR[[#This Row],[Temp. 
(°C)]]+273))*10^(GSBR[[#This Row],[pHreactor]]))</f>
        <v>3.2286931540098304E-3</v>
      </c>
      <c r="AE34" s="19">
        <f>17/14*(GSBR[[#This Row],[NH4+ (mg L-1)]]*10^GSBR[[#This Row],[pHreactor]])/(EXP(6344/(273+GSBR[[#This Row],[Temp. 
(°C)]]))+10^GSBR[pHreactor])</f>
        <v>71.630257373276663</v>
      </c>
      <c r="AF34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221.59999999999991</v>
      </c>
      <c r="AG34" s="19">
        <f>IFERROR(IF(Influent[[#This Row],[COD (mg L-1)]]-MEDIA[[#This Row],[COD 
(mg L-1)]]&lt;0,0,Influent[[#This Row],[COD (mg L-1)]]-MEDIA[[#This Row],[COD 
(mg L-1)]]),0)</f>
        <v>0</v>
      </c>
      <c r="AH34" s="4">
        <f>IF(IFERROR(Influent[[#This Row],[Alkalinity (mg CaCO3 L-1) ]]-GSBR[[#This Row],[Alkalinity 
(mg CaCO3 L-1) ]],0)&lt;0,0,IFERROR(Influent[[#This Row],[Alkalinity (mg CaCO3 L-1) ]]-GSBR[[#This Row],[Alkalinity 
(mg CaCO3 L-1) ]],0))</f>
        <v>4434</v>
      </c>
      <c r="AI34" s="20"/>
      <c r="AJ34" s="6"/>
      <c r="AK34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0.34695050677083428</v>
      </c>
      <c r="AL34" s="6">
        <f>Influent[[#This Row],[TN (mg L-1)]]/GSBR[[#This Row],[HRT 
(h)]]*24/1000</f>
        <v>1.8691221314505631</v>
      </c>
      <c r="AM34" s="6">
        <f>GSBR[[#This Row],[NLR 
(kg N m-3 d-1)]]*GSBR[[#This Row],[NRE 
(%)]]</f>
        <v>0.28438145750839267</v>
      </c>
      <c r="AN34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0.18564763995609215</v>
      </c>
      <c r="AO34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0.15214707092879678</v>
      </c>
      <c r="AP34" s="4">
        <v>8.8999999999999996E-2</v>
      </c>
      <c r="AQ34" s="4"/>
    </row>
    <row r="35" spans="1:43" x14ac:dyDescent="0.3">
      <c r="A35" s="128">
        <v>43358</v>
      </c>
      <c r="B35" s="29">
        <v>32</v>
      </c>
      <c r="C35" s="28">
        <f>Information!$R$54/GSBR[[#This Row],[HRT 
(h)]]*24</f>
        <v>6.9816303124934087E-2</v>
      </c>
      <c r="D35" s="42">
        <v>68.751850000000005</v>
      </c>
      <c r="E35" s="42">
        <v>29.057996875000001</v>
      </c>
      <c r="F35" s="42">
        <v>7.3731219374999997</v>
      </c>
      <c r="G35" s="42">
        <v>0.4255508375</v>
      </c>
      <c r="H35" s="42">
        <v>3.5193220625000001</v>
      </c>
      <c r="I35" s="42">
        <v>47.102486249999998</v>
      </c>
      <c r="J35" s="27"/>
      <c r="K35" s="27"/>
      <c r="L35" s="29">
        <v>2040</v>
      </c>
      <c r="M35" s="29">
        <f>GSBR[[#This Row],[COD 
(mg L-1)]]*Information!$AK$43</f>
        <v>1632</v>
      </c>
      <c r="N35" s="29">
        <v>724</v>
      </c>
      <c r="O35" s="29">
        <v>7.9</v>
      </c>
      <c r="P35" s="29">
        <v>1360</v>
      </c>
      <c r="Q35" s="29"/>
      <c r="R35" s="29">
        <v>1</v>
      </c>
      <c r="S35" s="29">
        <v>38.5</v>
      </c>
      <c r="T35" s="4">
        <f>GSBR[[#This Row],[NH4-N 
(mg L-1)]]*1.288</f>
        <v>597.1940800000001</v>
      </c>
      <c r="U35" s="20">
        <f>GSBR[[#This Row],[NO2-N 
(mg L-1)]]*3.284</f>
        <v>102.17180799999998</v>
      </c>
      <c r="V35" s="6">
        <f>(GSBR[[#This Row],[NO3-N 
(mg L-1)]])*4.426</f>
        <v>32.69928800000001</v>
      </c>
      <c r="W35" s="29">
        <v>463.66</v>
      </c>
      <c r="X35" s="29">
        <v>31.111999999999998</v>
      </c>
      <c r="Y35" s="6">
        <f>IF((GSBR[[#This Row],[TON 
(mg L-1)]]-GSBR[[#This Row],[NO2-N 
(mg L-1)]])&lt;0,0.2,(GSBR[[#This Row],[TON 
(mg L-1)]]-GSBR[[#This Row],[NO2-N 
(mg L-1)]]))</f>
        <v>7.3880000000000017</v>
      </c>
      <c r="Z35" s="4">
        <f>SUM(GSBR[[#This Row],[NO3-N 
(mg L-1)]],GSBR[[#This Row],[NO2-N 
(mg L-1)]],GSBR[[#This Row],[NH4-N 
(mg L-1)]])</f>
        <v>502.16</v>
      </c>
      <c r="AA35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7.1447913040114525E-3</v>
      </c>
      <c r="AB35" s="48">
        <f>IF(IFERROR(GSBR[[#This Row],[NO2-N 
(mg L-1)]]/GSBR[[#This Row],[NH4-N 
(mg L-1)]],0)&lt;0,0,IFERROR(GSBR[[#This Row],[NO2-N 
(mg L-1)]]/GSBR[[#This Row],[NH4-N 
(mg L-1)]],0))</f>
        <v>6.7100892895656294E-2</v>
      </c>
      <c r="AC35" s="48">
        <f>GSBR[[#This Row],[NO2-N 
(mg L-1)]]/(GSBR[[#This Row],[NO2-N 
(mg L-1)]]+GSBR[[#This Row],[NO3-N 
(mg L-1)]])</f>
        <v>0.8081038961038961</v>
      </c>
      <c r="AD35" s="20">
        <f>46/14*GSBR[[#This Row],[NO2-N 
(mg L-1)]]/(EXP(-2300/(GSBR[[#This Row],[Temp. 
(°C)]]+273))*10^(GSBR[[#This Row],[pHreactor]]))</f>
        <v>8.7769066237744532E-3</v>
      </c>
      <c r="AE35" s="19">
        <f>17/14*(GSBR[[#This Row],[NH4+ (mg L-1)]]*10^GSBR[[#This Row],[pHreactor]])/(EXP(6344/(273+GSBR[[#This Row],[Temp. 
(°C)]]))+10^GSBR[pHreactor])</f>
        <v>12.722220005871057</v>
      </c>
      <c r="AF35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995.54</v>
      </c>
      <c r="AG35" s="19">
        <f>IFERROR(IF(Influent[[#This Row],[COD (mg L-1)]]-MEDIA[[#This Row],[COD 
(mg L-1)]]&lt;0,0,Influent[[#This Row],[COD (mg L-1)]]-MEDIA[[#This Row],[COD 
(mg L-1)]]),0)</f>
        <v>0</v>
      </c>
      <c r="AH35" s="4">
        <f>IF(IFERROR(Influent[[#This Row],[Alkalinity (mg CaCO3 L-1) ]]-GSBR[[#This Row],[Alkalinity 
(mg CaCO3 L-1) ]],0)&lt;0,0,IFERROR(Influent[[#This Row],[Alkalinity (mg CaCO3 L-1) ]]-GSBR[[#This Row],[Alkalinity 
(mg CaCO3 L-1) ]],0))</f>
        <v>4012</v>
      </c>
      <c r="AI35" s="20"/>
      <c r="AJ35" s="6"/>
      <c r="AK35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0.36096425041653424</v>
      </c>
      <c r="AL35" s="6">
        <f>Influent[[#This Row],[TN (mg L-1)]]/GSBR[[#This Row],[HRT 
(h)]]*24/1000</f>
        <v>0.52288920225419389</v>
      </c>
      <c r="AM35" s="6">
        <f>GSBR[[#This Row],[NLR 
(kg N m-3 d-1)]]*GSBR[[#This Row],[NRE 
(%)]]</f>
        <v>0.34759442836810933</v>
      </c>
      <c r="AN35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0.69041864191760693</v>
      </c>
      <c r="AO35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0.66475732692436074</v>
      </c>
      <c r="AP35" s="4"/>
      <c r="AQ35" s="4"/>
    </row>
    <row r="36" spans="1:43" x14ac:dyDescent="0.3">
      <c r="A36" s="128">
        <v>43359</v>
      </c>
      <c r="B36" s="29">
        <v>33</v>
      </c>
      <c r="C36" s="28">
        <f>Information!$R$54/GSBR[[#This Row],[HRT 
(h)]]*24</f>
        <v>5.491990218307756E-2</v>
      </c>
      <c r="D36" s="42">
        <v>87.400009999999995</v>
      </c>
      <c r="E36" s="42">
        <v>29.3640975</v>
      </c>
      <c r="F36" s="42">
        <v>8.2137414999999994</v>
      </c>
      <c r="G36" s="42">
        <v>0.32362288750000001</v>
      </c>
      <c r="H36" s="42">
        <v>5.2269068125000002</v>
      </c>
      <c r="I36" s="42">
        <v>-49.004021874999999</v>
      </c>
      <c r="J36" s="27"/>
      <c r="K36" s="27"/>
      <c r="L36" s="29">
        <v>1530</v>
      </c>
      <c r="M36" s="29">
        <f>GSBR[[#This Row],[COD 
(mg L-1)]]*Information!$AK$43</f>
        <v>1224</v>
      </c>
      <c r="N36" s="29">
        <v>612</v>
      </c>
      <c r="O36" s="29">
        <v>8.1</v>
      </c>
      <c r="P36" s="29">
        <v>526.70000000000005</v>
      </c>
      <c r="Q36" s="29"/>
      <c r="R36" s="29">
        <v>0.7</v>
      </c>
      <c r="S36" s="29">
        <v>46.1</v>
      </c>
      <c r="T36" s="4">
        <f>GSBR[[#This Row],[NH4-N 
(mg L-1)]]*1.288</f>
        <v>669.42511999999999</v>
      </c>
      <c r="U36" s="20">
        <f>GSBR[[#This Row],[NO2-N 
(mg L-1)]]*3.284</f>
        <v>119.20263199999999</v>
      </c>
      <c r="V36" s="6">
        <f>(GSBR[[#This Row],[NO3-N 
(mg L-1)]])*4.426</f>
        <v>43.383651999999998</v>
      </c>
      <c r="W36" s="29">
        <v>519.74</v>
      </c>
      <c r="X36" s="29">
        <v>36.298000000000002</v>
      </c>
      <c r="Y36" s="6">
        <f>IF((GSBR[[#This Row],[TON 
(mg L-1)]]-GSBR[[#This Row],[NO2-N 
(mg L-1)]])&lt;0,0.2,(GSBR[[#This Row],[TON 
(mg L-1)]]-GSBR[[#This Row],[NO2-N 
(mg L-1)]]))</f>
        <v>9.8019999999999996</v>
      </c>
      <c r="Z36" s="4">
        <f>SUM(GSBR[[#This Row],[NO3-N 
(mg L-1)]],GSBR[[#This Row],[NO2-N 
(mg L-1)]],GSBR[[#This Row],[NH4-N 
(mg L-1)]])</f>
        <v>565.84</v>
      </c>
      <c r="AA36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1.0346647525755785E-2</v>
      </c>
      <c r="AB36" s="48">
        <f>IF(IFERROR(GSBR[[#This Row],[NO2-N 
(mg L-1)]]/GSBR[[#This Row],[NH4-N 
(mg L-1)]],0)&lt;0,0,IFERROR(GSBR[[#This Row],[NO2-N 
(mg L-1)]]/GSBR[[#This Row],[NH4-N 
(mg L-1)]],0))</f>
        <v>6.9838765536614458E-2</v>
      </c>
      <c r="AC36" s="48">
        <f>GSBR[[#This Row],[NO2-N 
(mg L-1)]]/(GSBR[[#This Row],[NO2-N 
(mg L-1)]]+GSBR[[#This Row],[NO3-N 
(mg L-1)]])</f>
        <v>0.78737527114967465</v>
      </c>
      <c r="AD36" s="20">
        <f>46/14*GSBR[[#This Row],[NO2-N 
(mg L-1)]]/(EXP(-2300/(GSBR[[#This Row],[Temp. 
(°C)]]+273))*10^(GSBR[[#This Row],[pHreactor]]))</f>
        <v>1.4666581847681687E-3</v>
      </c>
      <c r="AE36" s="19">
        <f>17/14*(GSBR[[#This Row],[NH4+ (mg L-1)]]*10^GSBR[[#This Row],[pHreactor]])/(EXP(6344/(273+GSBR[[#This Row],[Temp. 
(°C)]]))+10^GSBR[pHreactor])</f>
        <v>91.202386476404158</v>
      </c>
      <c r="AF36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901.25999999999988</v>
      </c>
      <c r="AG36" s="19">
        <f>IFERROR(IF(Influent[[#This Row],[COD (mg L-1)]]-MEDIA[[#This Row],[COD 
(mg L-1)]]&lt;0,0,Influent[[#This Row],[COD (mg L-1)]]-MEDIA[[#This Row],[COD 
(mg L-1)]]),0)</f>
        <v>2800</v>
      </c>
      <c r="AH36" s="4">
        <f>IF(IFERROR(Influent[[#This Row],[Alkalinity (mg CaCO3 L-1) ]]-GSBR[[#This Row],[Alkalinity 
(mg CaCO3 L-1) ]],0)&lt;0,0,IFERROR(Influent[[#This Row],[Alkalinity (mg CaCO3 L-1) ]]-GSBR[[#This Row],[Alkalinity 
(mg CaCO3 L-1) ]],0))</f>
        <v>4221</v>
      </c>
      <c r="AI36" s="20">
        <f>Influent[[#This Row],[COD (mg L-1)]]/GSBR[[#This Row],[HRT 
(h)]]*24/1000</f>
        <v>0.7688786305630857</v>
      </c>
      <c r="AJ36" s="6">
        <f>IFERROR(IF(((GSBR[[#This Row],[ΔC (mg L-1)]])/GSBR[[#This Row],[HRT 
(h)]]*24/1000) &lt;0,0, (GSBR[[#This Row],[ΔC (mg L-1)]])/GSBR[[#This Row],[HRT 
(h)]]*24/1000),0)</f>
        <v>0.7688786305630857</v>
      </c>
      <c r="AK36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0.2601445926608017</v>
      </c>
      <c r="AL36" s="6">
        <f>Influent[[#This Row],[TN (mg L-1)]]/GSBR[[#This Row],[HRT 
(h)]]*24/1000</f>
        <v>0.40291986236614857</v>
      </c>
      <c r="AM36" s="6">
        <f>GSBR[[#This Row],[NLR 
(kg N m-3 d-1)]]*GSBR[[#This Row],[NRE 
(%)]]</f>
        <v>0.2475404751097855</v>
      </c>
      <c r="AN36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0.64573648694703834</v>
      </c>
      <c r="AO36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0.61436652354665022</v>
      </c>
      <c r="AP36" s="4"/>
      <c r="AQ36" s="4"/>
    </row>
    <row r="37" spans="1:43" x14ac:dyDescent="0.3">
      <c r="A37" s="128">
        <v>43360</v>
      </c>
      <c r="B37" s="29">
        <v>34</v>
      </c>
      <c r="C37" s="28">
        <f>Information!$R$54/GSBR[[#This Row],[HRT 
(h)]]*24</f>
        <v>4.6307194208513577E-2</v>
      </c>
      <c r="D37" s="42">
        <v>103.65560000000001</v>
      </c>
      <c r="E37" s="42">
        <v>30.756553125</v>
      </c>
      <c r="F37" s="42">
        <v>8.2580753125000008</v>
      </c>
      <c r="G37" s="42">
        <v>0.33663135625000001</v>
      </c>
      <c r="H37" s="42">
        <v>5.3720340625</v>
      </c>
      <c r="I37" s="42">
        <v>-57.757211875000003</v>
      </c>
      <c r="J37" s="27"/>
      <c r="K37" s="27"/>
      <c r="L37" s="29">
        <v>1575</v>
      </c>
      <c r="M37" s="29">
        <f>GSBR[[#This Row],[COD 
(mg L-1)]]*Information!$AK$43</f>
        <v>1260</v>
      </c>
      <c r="N37" s="29">
        <v>618</v>
      </c>
      <c r="O37" s="29">
        <v>7.9</v>
      </c>
      <c r="P37" s="29">
        <v>265</v>
      </c>
      <c r="Q37" s="29">
        <v>40</v>
      </c>
      <c r="R37" s="29">
        <v>1.1499999999999999</v>
      </c>
      <c r="S37" s="29">
        <v>103.3</v>
      </c>
      <c r="T37" s="4">
        <f>GSBR[[#This Row],[NH4-N 
(mg L-1)]]*1.288</f>
        <v>288.33168000000001</v>
      </c>
      <c r="U37" s="20">
        <f>GSBR[[#This Row],[NO2-N 
(mg L-1)]]*3.284</f>
        <v>269.76746399999996</v>
      </c>
      <c r="V37" s="6">
        <f>(GSBR[[#This Row],[NO3-N 
(mg L-1)]])*4.426</f>
        <v>93.627603999999991</v>
      </c>
      <c r="W37" s="29">
        <v>223.86</v>
      </c>
      <c r="X37" s="29">
        <v>82.146000000000001</v>
      </c>
      <c r="Y37" s="6">
        <f>IF((GSBR[[#This Row],[TON 
(mg L-1)]]-GSBR[[#This Row],[NO2-N 
(mg L-1)]])&lt;0,0.2,(GSBR[[#This Row],[TON 
(mg L-1)]]-GSBR[[#This Row],[NO2-N 
(mg L-1)]]))</f>
        <v>21.153999999999996</v>
      </c>
      <c r="Z37" s="4">
        <f>SUM(GSBR[[#This Row],[NO3-N 
(mg L-1)]],GSBR[[#This Row],[NO2-N 
(mg L-1)]],GSBR[[#This Row],[NH4-N 
(mg L-1)]])</f>
        <v>327.16000000000003</v>
      </c>
      <c r="AA37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1.6558385647416126E-2</v>
      </c>
      <c r="AB37" s="48">
        <f>IF(IFERROR(GSBR[[#This Row],[NO2-N 
(mg L-1)]]/GSBR[[#This Row],[NH4-N 
(mg L-1)]],0)&lt;0,0,IFERROR(GSBR[[#This Row],[NO2-N 
(mg L-1)]]/GSBR[[#This Row],[NH4-N 
(mg L-1)]],0))</f>
        <v>0.36695255963548645</v>
      </c>
      <c r="AC37" s="48">
        <f>GSBR[[#This Row],[NO2-N 
(mg L-1)]]/(GSBR[[#This Row],[NO2-N 
(mg L-1)]]+GSBR[[#This Row],[NO3-N 
(mg L-1)]])</f>
        <v>0.79521781219748311</v>
      </c>
      <c r="AD37" s="20">
        <f>46/14*GSBR[[#This Row],[NO2-N 
(mg L-1)]]/(EXP(-2300/(GSBR[[#This Row],[Temp. 
(°C)]]+273))*10^(GSBR[[#This Row],[pHreactor]]))</f>
        <v>2.8943758488731361E-3</v>
      </c>
      <c r="AE37" s="19">
        <f>17/14*(GSBR[[#This Row],[NH4+ (mg L-1)]]*10^GSBR[[#This Row],[pHreactor]])/(EXP(6344/(273+GSBR[[#This Row],[Temp. 
(°C)]]))+10^GSBR[pHreactor])</f>
        <v>46.74611752400623</v>
      </c>
      <c r="AF37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1174.24</v>
      </c>
      <c r="AG37" s="19">
        <f>IFERROR(IF(Influent[[#This Row],[COD (mg L-1)]]-MEDIA[[#This Row],[COD 
(mg L-1)]]&lt;0,0,Influent[[#This Row],[COD (mg L-1)]]-MEDIA[[#This Row],[COD 
(mg L-1)]]),0)</f>
        <v>0</v>
      </c>
      <c r="AH37" s="4">
        <f>IF(IFERROR(Influent[[#This Row],[Alkalinity (mg CaCO3 L-1) ]]-GSBR[[#This Row],[Alkalinity 
(mg CaCO3 L-1) ]],0)&lt;0,0,IFERROR(Influent[[#This Row],[Alkalinity (mg CaCO3 L-1) ]]-GSBR[[#This Row],[Alkalinity 
(mg CaCO3 L-1) ]],0))</f>
        <v>4508</v>
      </c>
      <c r="AI37" s="20"/>
      <c r="AJ37" s="6"/>
      <c r="AK37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0.29579646444572211</v>
      </c>
      <c r="AL37" s="6">
        <f>Influent[[#This Row],[TN (mg L-1)]]/GSBR[[#This Row],[HRT 
(h)]]*24/1000</f>
        <v>0.34767441411751993</v>
      </c>
      <c r="AM37" s="6">
        <f>GSBR[[#This Row],[NLR 
(kg N m-3 d-1)]]*GSBR[[#This Row],[NRE 
(%)]]</f>
        <v>0.27192510583123342</v>
      </c>
      <c r="AN37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0.85089916078326888</v>
      </c>
      <c r="AO37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0.78212573255194451</v>
      </c>
      <c r="AP37" s="4"/>
      <c r="AQ37" s="4"/>
    </row>
    <row r="38" spans="1:43" x14ac:dyDescent="0.3">
      <c r="A38" s="128">
        <v>43361</v>
      </c>
      <c r="B38" s="29">
        <v>35</v>
      </c>
      <c r="C38" s="28">
        <f>Information!$R$54/GSBR[[#This Row],[HRT 
(h)]]*24</f>
        <v>4.7867025403429277E-2</v>
      </c>
      <c r="D38" s="42">
        <v>100.2778</v>
      </c>
      <c r="E38" s="42">
        <v>28.562416249999998</v>
      </c>
      <c r="F38" s="42">
        <v>8.319079125</v>
      </c>
      <c r="G38" s="42">
        <v>0.34082628124999997</v>
      </c>
      <c r="H38" s="42">
        <v>5.6297669375000003</v>
      </c>
      <c r="I38" s="42">
        <v>-67.150284374999998</v>
      </c>
      <c r="J38" s="27">
        <v>2570</v>
      </c>
      <c r="K38" s="27"/>
      <c r="L38" s="29">
        <v>2030</v>
      </c>
      <c r="M38" s="29">
        <f>GSBR[[#This Row],[COD 
(mg L-1)]]*Information!$AK$43</f>
        <v>1624</v>
      </c>
      <c r="N38" s="29">
        <v>653</v>
      </c>
      <c r="O38" s="29">
        <v>7.4</v>
      </c>
      <c r="P38" s="29">
        <v>70</v>
      </c>
      <c r="Q38" s="29">
        <v>20</v>
      </c>
      <c r="R38" s="29">
        <v>4.2</v>
      </c>
      <c r="S38" s="29">
        <v>406.8</v>
      </c>
      <c r="T38" s="4">
        <f>GSBR[[#This Row],[NH4-N 
(mg L-1)]]*1.288</f>
        <v>220.32528000000002</v>
      </c>
      <c r="U38" s="20">
        <f>GSBR[[#This Row],[NO2-N 
(mg L-1)]]*3.284</f>
        <v>1094.1302800000001</v>
      </c>
      <c r="V38" s="6">
        <f>(GSBR[[#This Row],[NO3-N 
(mg L-1)]])*4.426</f>
        <v>325.88637999999997</v>
      </c>
      <c r="W38" s="29">
        <v>171.06</v>
      </c>
      <c r="X38" s="29">
        <v>333.17</v>
      </c>
      <c r="Y38" s="6">
        <f>IF((GSBR[[#This Row],[TON 
(mg L-1)]]-GSBR[[#This Row],[NO2-N 
(mg L-1)]])&lt;0,0.2,(GSBR[[#This Row],[TON 
(mg L-1)]]-GSBR[[#This Row],[NO2-N 
(mg L-1)]]))</f>
        <v>73.63</v>
      </c>
      <c r="Z38" s="4">
        <f>SUM(GSBR[[#This Row],[NO3-N 
(mg L-1)]],GSBR[[#This Row],[NO2-N 
(mg L-1)]],GSBR[[#This Row],[NH4-N 
(mg L-1)]])</f>
        <v>577.86</v>
      </c>
      <c r="AA38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6.693392967528454E-2</v>
      </c>
      <c r="AB38" s="48">
        <f>IF(IFERROR(GSBR[[#This Row],[NO2-N 
(mg L-1)]]/GSBR[[#This Row],[NH4-N 
(mg L-1)]],0)&lt;0,0,IFERROR(GSBR[[#This Row],[NO2-N 
(mg L-1)]]/GSBR[[#This Row],[NH4-N 
(mg L-1)]],0))</f>
        <v>1.9476791768969952</v>
      </c>
      <c r="AC38" s="48">
        <f>GSBR[[#This Row],[NO2-N 
(mg L-1)]]/(GSBR[[#This Row],[NO2-N 
(mg L-1)]]+GSBR[[#This Row],[NO3-N 
(mg L-1)]])</f>
        <v>0.81900196656833824</v>
      </c>
      <c r="AD38" s="20">
        <f>46/14*GSBR[[#This Row],[NO2-N 
(mg L-1)]]/(EXP(-2300/(GSBR[[#This Row],[Temp. 
(°C)]]+273))*10^(GSBR[[#This Row],[pHreactor]]))</f>
        <v>1.0778460653422677E-2</v>
      </c>
      <c r="AE38" s="19">
        <f>17/14*(GSBR[[#This Row],[NH4+ (mg L-1)]]*10^GSBR[[#This Row],[pHreactor]])/(EXP(6344/(273+GSBR[[#This Row],[Temp. 
(°C)]]))+10^GSBR[pHreactor])</f>
        <v>35.366312224811345</v>
      </c>
      <c r="AF38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693.2399999999999</v>
      </c>
      <c r="AG38" s="19">
        <f>IFERROR(IF(Influent[[#This Row],[COD (mg L-1)]]-MEDIA[[#This Row],[COD 
(mg L-1)]]&lt;0,0,Influent[[#This Row],[COD (mg L-1)]]-MEDIA[[#This Row],[COD 
(mg L-1)]]),0)</f>
        <v>825</v>
      </c>
      <c r="AH38" s="4">
        <f>IF(IFERROR(Influent[[#This Row],[Alkalinity (mg CaCO3 L-1) ]]-GSBR[[#This Row],[Alkalinity 
(mg CaCO3 L-1) ]],0)&lt;0,0,IFERROR(Influent[[#This Row],[Alkalinity (mg CaCO3 L-1) ]]-GSBR[[#This Row],[Alkalinity 
(mg CaCO3 L-1) ]],0))</f>
        <v>3998</v>
      </c>
      <c r="AI38" s="20">
        <f>Influent[[#This Row],[COD (mg L-1)]]/GSBR[[#This Row],[HRT 
(h)]]*24/1000</f>
        <v>0.6689416800129242</v>
      </c>
      <c r="AJ38" s="6">
        <f>IFERROR(IF(((GSBR[[#This Row],[ΔC (mg L-1)]])/GSBR[[#This Row],[HRT 
(h)]]*24/1000) &lt;0,0, (GSBR[[#This Row],[ΔC (mg L-1)]])/GSBR[[#This Row],[HRT 
(h)]]*24/1000),0)</f>
        <v>0.19745147978914573</v>
      </c>
      <c r="AK38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0.26327821312394167</v>
      </c>
      <c r="AL38" s="6">
        <f>Influent[[#This Row],[TN (mg L-1)]]/GSBR[[#This Row],[HRT 
(h)]]*24/1000</f>
        <v>0.3058209892917475</v>
      </c>
      <c r="AM38" s="6">
        <f>GSBR[[#This Row],[NLR 
(kg N m-3 d-1)]]*GSBR[[#This Row],[NRE 
(%)]]</f>
        <v>0.16751879279361928</v>
      </c>
      <c r="AN38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0.86542364880811895</v>
      </c>
      <c r="AO38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0.54776748051720381</v>
      </c>
      <c r="AP38" s="4"/>
      <c r="AQ38" s="4"/>
    </row>
    <row r="39" spans="1:43" x14ac:dyDescent="0.3">
      <c r="A39" s="128">
        <v>43362</v>
      </c>
      <c r="B39" s="29">
        <v>36</v>
      </c>
      <c r="C39" s="28">
        <f>Information!$R$54/GSBR[[#This Row],[HRT 
(h)]]*24</f>
        <v>4.605708199599879E-2</v>
      </c>
      <c r="D39" s="42">
        <v>104.21850000000001</v>
      </c>
      <c r="E39" s="42">
        <v>31.664441875000001</v>
      </c>
      <c r="F39" s="42">
        <v>8.3036820625000001</v>
      </c>
      <c r="G39" s="42">
        <v>0.33063559375000001</v>
      </c>
      <c r="H39" s="42">
        <v>5.8701906875000001</v>
      </c>
      <c r="I39" s="42">
        <v>-68.046331249999994</v>
      </c>
      <c r="J39" s="27"/>
      <c r="K39" s="27"/>
      <c r="L39" s="29">
        <v>2095</v>
      </c>
      <c r="M39" s="29">
        <f>GSBR[[#This Row],[COD 
(mg L-1)]]*Information!$AK$43</f>
        <v>1676</v>
      </c>
      <c r="N39" s="29">
        <v>640</v>
      </c>
      <c r="O39" s="29">
        <v>7.5</v>
      </c>
      <c r="P39" s="29">
        <v>108</v>
      </c>
      <c r="Q39" s="29">
        <v>42</v>
      </c>
      <c r="R39" s="29">
        <v>4.8899999999999997</v>
      </c>
      <c r="S39" s="29">
        <v>431.6</v>
      </c>
      <c r="T39" s="4">
        <f>GSBR[[#This Row],[NH4-N 
(mg L-1)]]*1.288</f>
        <v>1000.4540000000001</v>
      </c>
      <c r="U39" s="20">
        <f>GSBR[[#This Row],[NO2-N 
(mg L-1)]]*3.284</f>
        <v>1142.1751999999999</v>
      </c>
      <c r="V39" s="6">
        <f>(GSBR[[#This Row],[NO3-N 
(mg L-1)]])*4.426</f>
        <v>370.89880000000005</v>
      </c>
      <c r="W39" s="29">
        <v>776.75</v>
      </c>
      <c r="X39" s="29">
        <v>347.8</v>
      </c>
      <c r="Y39" s="6">
        <f>IF((GSBR[[#This Row],[TON 
(mg L-1)]]-GSBR[[#This Row],[NO2-N 
(mg L-1)]])&lt;0,0.2,(GSBR[[#This Row],[TON 
(mg L-1)]]-GSBR[[#This Row],[NO2-N 
(mg L-1)]]))</f>
        <v>83.800000000000011</v>
      </c>
      <c r="Z39" s="4">
        <f>SUM(GSBR[[#This Row],[NO3-N 
(mg L-1)]],GSBR[[#This Row],[NO2-N 
(mg L-1)]],GSBR[[#This Row],[NH4-N 
(mg L-1)]])</f>
        <v>1208.3499999999999</v>
      </c>
      <c r="AA39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0.17801380775358472</v>
      </c>
      <c r="AB39" s="48">
        <f>IF(IFERROR(GSBR[[#This Row],[NO2-N 
(mg L-1)]]/GSBR[[#This Row],[NH4-N 
(mg L-1)]],0)&lt;0,0,IFERROR(GSBR[[#This Row],[NO2-N 
(mg L-1)]]/GSBR[[#This Row],[NH4-N 
(mg L-1)]],0))</f>
        <v>0.44776311554554232</v>
      </c>
      <c r="AC39" s="48">
        <f>GSBR[[#This Row],[NO2-N 
(mg L-1)]]/(GSBR[[#This Row],[NO2-N 
(mg L-1)]]+GSBR[[#This Row],[NO3-N 
(mg L-1)]])</f>
        <v>0.80583873957367935</v>
      </c>
      <c r="AD39" s="20">
        <f>46/14*GSBR[[#This Row],[NO2-N 
(mg L-1)]]/(EXP(-2300/(GSBR[[#This Row],[Temp. 
(°C)]]+273))*10^(GSBR[[#This Row],[pHreactor]]))</f>
        <v>1.0786783957452258E-2</v>
      </c>
      <c r="AE39" s="19">
        <f>17/14*(GSBR[[#This Row],[NH4+ (mg L-1)]]*10^GSBR[[#This Row],[pHreactor]])/(EXP(6344/(273+GSBR[[#This Row],[Temp. 
(°C)]]))+10^GSBR[pHreactor])</f>
        <v>187.17863475411096</v>
      </c>
      <c r="AF39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39.150000000000091</v>
      </c>
      <c r="AG39" s="19">
        <f>IFERROR(IF(Influent[[#This Row],[COD (mg L-1)]]-MEDIA[[#This Row],[COD 
(mg L-1)]]&lt;0,0,Influent[[#This Row],[COD (mg L-1)]]-MEDIA[[#This Row],[COD 
(mg L-1)]]),0)</f>
        <v>1244</v>
      </c>
      <c r="AH39" s="4">
        <f>IF(IFERROR(Influent[[#This Row],[Alkalinity (mg CaCO3 L-1) ]]-GSBR[[#This Row],[Alkalinity 
(mg CaCO3 L-1) ]],0)&lt;0,0,IFERROR(Influent[[#This Row],[Alkalinity (mg CaCO3 L-1) ]]-GSBR[[#This Row],[Alkalinity 
(mg CaCO3 L-1) ]],0))</f>
        <v>3880</v>
      </c>
      <c r="AI39" s="20">
        <f>Influent[[#This Row],[COD (mg L-1)]]/GSBR[[#This Row],[HRT 
(h)]]*24/1000</f>
        <v>0.64479914794398308</v>
      </c>
      <c r="AJ39" s="6">
        <f>IFERROR(IF(((GSBR[[#This Row],[ΔC (mg L-1)]])/GSBR[[#This Row],[HRT 
(h)]]*24/1000) &lt;0,0, (GSBR[[#This Row],[ΔC (mg L-1)]])/GSBR[[#This Row],[HRT 
(h)]]*24/1000),0)</f>
        <v>0.28647505001511248</v>
      </c>
      <c r="AK39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0.10840685674808215</v>
      </c>
      <c r="AL39" s="6">
        <f>Influent[[#This Row],[TN (mg L-1)]]/GSBR[[#This Row],[HRT 
(h)]]*24/1000</f>
        <v>0.28732710603203843</v>
      </c>
      <c r="AM39" s="6">
        <f>GSBR[[#This Row],[NLR 
(kg N m-3 d-1)]]*GSBR[[#This Row],[NRE 
(%)]]</f>
        <v>9.0617308827127922E-3</v>
      </c>
      <c r="AN39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0.3773547094188377</v>
      </c>
      <c r="AO39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3.153802997515439E-2</v>
      </c>
      <c r="AP39" s="4"/>
      <c r="AQ39" s="4"/>
    </row>
    <row r="40" spans="1:43" x14ac:dyDescent="0.3">
      <c r="A40" s="128">
        <v>43363</v>
      </c>
      <c r="B40" s="29">
        <v>37</v>
      </c>
      <c r="C40" s="28">
        <f>Information!$R$54/GSBR[[#This Row],[HRT 
(h)]]*24</f>
        <v>4.605708199599879E-2</v>
      </c>
      <c r="D40" s="42">
        <v>104.21850000000001</v>
      </c>
      <c r="E40" s="42">
        <v>29.244463124999999</v>
      </c>
      <c r="F40" s="42">
        <v>7.4741088749999998</v>
      </c>
      <c r="G40" s="42">
        <v>0.39512711875000001</v>
      </c>
      <c r="H40" s="42">
        <v>4.8608686875</v>
      </c>
      <c r="I40" s="42">
        <v>58.670299374999999</v>
      </c>
      <c r="J40" s="27"/>
      <c r="K40" s="27"/>
      <c r="L40" s="29">
        <v>2145</v>
      </c>
      <c r="M40" s="29">
        <f>GSBR[[#This Row],[COD 
(mg L-1)]]*Information!$AK$43</f>
        <v>1716</v>
      </c>
      <c r="N40" s="29">
        <v>662</v>
      </c>
      <c r="O40" s="29">
        <v>7.5</v>
      </c>
      <c r="P40" s="29">
        <v>172</v>
      </c>
      <c r="Q40" s="29"/>
      <c r="R40" s="29">
        <v>4.72</v>
      </c>
      <c r="S40" s="29">
        <v>431.9</v>
      </c>
      <c r="T40" s="4">
        <f>GSBR[[#This Row],[NH4-N 
(mg L-1)]]*1.288</f>
        <v>207.92184</v>
      </c>
      <c r="U40" s="20">
        <f>GSBR[[#This Row],[NO2-N 
(mg L-1)]]*3.284</f>
        <v>1167.8889199999999</v>
      </c>
      <c r="V40" s="6">
        <f>(GSBR[[#This Row],[NO3-N 
(mg L-1)]])*4.426</f>
        <v>337.57101999999992</v>
      </c>
      <c r="W40" s="29">
        <v>161.43</v>
      </c>
      <c r="X40" s="29">
        <v>355.63</v>
      </c>
      <c r="Y40" s="6">
        <f>IF((GSBR[[#This Row],[TON 
(mg L-1)]]-GSBR[[#This Row],[NO2-N 
(mg L-1)]])&lt;0,0.2,(GSBR[[#This Row],[TON 
(mg L-1)]]-GSBR[[#This Row],[NO2-N 
(mg L-1)]]))</f>
        <v>76.269999999999982</v>
      </c>
      <c r="Z40" s="4">
        <f>SUM(GSBR[[#This Row],[NO3-N 
(mg L-1)]],GSBR[[#This Row],[NO2-N 
(mg L-1)]],GSBR[[#This Row],[NH4-N 
(mg L-1)]])</f>
        <v>593.32999999999993</v>
      </c>
      <c r="AA40" s="26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5.7385991708487877E-2</v>
      </c>
      <c r="AB40" s="48">
        <f>IF(IFERROR(GSBR[[#This Row],[NO2-N 
(mg L-1)]]/GSBR[[#This Row],[NH4-N 
(mg L-1)]],0)&lt;0,0,IFERROR(GSBR[[#This Row],[NO2-N 
(mg L-1)]]/GSBR[[#This Row],[NH4-N 
(mg L-1)]],0))</f>
        <v>2.2029982035557207</v>
      </c>
      <c r="AC40" s="48">
        <f>GSBR[[#This Row],[NO2-N 
(mg L-1)]]/(GSBR[[#This Row],[NO2-N 
(mg L-1)]]+GSBR[[#This Row],[NO3-N 
(mg L-1)]])</f>
        <v>0.82340819634174578</v>
      </c>
      <c r="AD40" s="20">
        <f>46/14*GSBR[[#This Row],[NO2-N 
(mg L-1)]]/(EXP(-2300/(GSBR[[#This Row],[Temp. 
(°C)]]+273))*10^(GSBR[[#This Row],[pHreactor]]))</f>
        <v>7.9137958487889001E-2</v>
      </c>
      <c r="AE40" s="19">
        <f>17/14*(GSBR[[#This Row],[NH4+ (mg L-1)]]*10^GSBR[[#This Row],[pHreactor]])/(EXP(6344/(273+GSBR[[#This Row],[Temp. 
(°C)]]))+10^GSBR[pHreactor])</f>
        <v>5.6343897461421557</v>
      </c>
      <c r="AF40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897.17000000000007</v>
      </c>
      <c r="AG40" s="19">
        <f>IFERROR(IF(Influent[[#This Row],[COD (mg L-1)]]-MEDIA[[#This Row],[COD 
(mg L-1)]]&lt;0,0,Influent[[#This Row],[COD (mg L-1)]]-MEDIA[[#This Row],[COD 
(mg L-1)]]),0)</f>
        <v>890</v>
      </c>
      <c r="AH40" s="4">
        <f>IF(IFERROR(Influent[[#This Row],[Alkalinity (mg CaCO3 L-1) ]]-GSBR[[#This Row],[Alkalinity 
(mg CaCO3 L-1) ]],0)&lt;0,0,IFERROR(Influent[[#This Row],[Alkalinity (mg CaCO3 L-1) ]]-GSBR[[#This Row],[Alkalinity 
(mg CaCO3 L-1) ]],0))</f>
        <v>4863</v>
      </c>
      <c r="AI40" s="20">
        <f>Influent[[#This Row],[COD (mg L-1)]]/GSBR[[#This Row],[HRT 
(h)]]*24/1000</f>
        <v>0.67358482419148236</v>
      </c>
      <c r="AJ40" s="6">
        <f>IFERROR(IF(((GSBR[[#This Row],[ΔC (mg L-1)]])/GSBR[[#This Row],[HRT 
(h)]]*24/1000) &lt;0,0, (GSBR[[#This Row],[ΔC (mg L-1)]])/GSBR[[#This Row],[HRT 
(h)]]*24/1000),0)</f>
        <v>0.20495401488219464</v>
      </c>
      <c r="AK40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0.30606542984211049</v>
      </c>
      <c r="AL40" s="6">
        <f>Influent[[#This Row],[TN (mg L-1)]]/GSBR[[#This Row],[HRT 
(h)]]*24/1000</f>
        <v>0.34924854992155902</v>
      </c>
      <c r="AM40" s="6">
        <f>GSBR[[#This Row],[NLR 
(kg N m-3 d-1)]]*GSBR[[#This Row],[NRE 
(%)]]</f>
        <v>0.21261330761812922</v>
      </c>
      <c r="AN40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0.89169406239516935</v>
      </c>
      <c r="AO40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0.60877363031537857</v>
      </c>
      <c r="AP40" s="4"/>
      <c r="AQ40" s="4"/>
    </row>
    <row r="41" spans="1:43" x14ac:dyDescent="0.3">
      <c r="A41" s="128">
        <v>43364</v>
      </c>
      <c r="B41" s="29">
        <v>38</v>
      </c>
      <c r="C41" s="28">
        <f>Information!$R$54/GSBR[[#This Row],[HRT 
(h)]]*24</f>
        <v>4.2053360457750835E-2</v>
      </c>
      <c r="D41" s="42">
        <v>114.1407</v>
      </c>
      <c r="E41" s="42">
        <v>27.8776525</v>
      </c>
      <c r="F41" s="42">
        <v>7.6773770624999997</v>
      </c>
      <c r="G41" s="42">
        <v>0.39239406874999999</v>
      </c>
      <c r="H41" s="42">
        <v>5.1887499999999998</v>
      </c>
      <c r="I41" s="42">
        <v>39.564224375000002</v>
      </c>
      <c r="J41" s="27"/>
      <c r="K41" s="27"/>
      <c r="L41" s="29">
        <v>2070</v>
      </c>
      <c r="M41" s="29">
        <f>GSBR[[#This Row],[COD 
(mg L-1)]]*Information!$AK$43</f>
        <v>1656</v>
      </c>
      <c r="N41" s="29">
        <v>787</v>
      </c>
      <c r="O41" s="29">
        <v>7.7</v>
      </c>
      <c r="P41" s="29">
        <v>94</v>
      </c>
      <c r="R41" s="29">
        <v>4.59</v>
      </c>
      <c r="S41" s="29">
        <v>483.9</v>
      </c>
      <c r="T41" s="4">
        <f>GSBR[[#This Row],[NH4-N 
(mg L-1)]]*1.288</f>
        <v>519.69511999999997</v>
      </c>
      <c r="U41" s="20">
        <f>GSBR[[#This Row],[NO2-N 
(mg L-1)]]*3.284</f>
        <v>1066.6432</v>
      </c>
      <c r="V41" s="6">
        <f>(GSBR[[#This Row],[NO3-N 
(mg L-1)]])*4.426</f>
        <v>704.17659999999989</v>
      </c>
      <c r="W41" s="29">
        <v>403.49</v>
      </c>
      <c r="X41" s="29">
        <v>324.8</v>
      </c>
      <c r="Y41" s="6">
        <f>IF((GSBR[[#This Row],[TON 
(mg L-1)]]-GSBR[[#This Row],[NO2-N 
(mg L-1)]])&lt;0,0.2,(GSBR[[#This Row],[TON 
(mg L-1)]]-GSBR[[#This Row],[NO2-N 
(mg L-1)]]))</f>
        <v>159.09999999999997</v>
      </c>
      <c r="Z41" s="4">
        <f>SUM(GSBR[[#This Row],[NO3-N 
(mg L-1)]],GSBR[[#This Row],[NO2-N 
(mg L-1)]],GSBR[[#This Row],[NH4-N 
(mg L-1)]])</f>
        <v>887.39</v>
      </c>
      <c r="AA41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0.16764839148164926</v>
      </c>
      <c r="AB41" s="48">
        <f>IF(IFERROR(GSBR[[#This Row],[NO2-N 
(mg L-1)]]/GSBR[[#This Row],[NH4-N 
(mg L-1)]],0)&lt;0,0,IFERROR(GSBR[[#This Row],[NO2-N 
(mg L-1)]]/GSBR[[#This Row],[NH4-N 
(mg L-1)]],0))</f>
        <v>0.80497657934521305</v>
      </c>
      <c r="AC41" s="48">
        <f>GSBR[[#This Row],[NO2-N 
(mg L-1)]]/(GSBR[[#This Row],[NO2-N 
(mg L-1)]]+GSBR[[#This Row],[NO3-N 
(mg L-1)]])</f>
        <v>0.67121306054970042</v>
      </c>
      <c r="AD41" s="20">
        <f>46/14*GSBR[[#This Row],[NO2-N 
(mg L-1)]]/(EXP(-2300/(GSBR[[#This Row],[Temp. 
(°C)]]+273))*10^(GSBR[[#This Row],[pHreactor]]))</f>
        <v>4.6854083718716105E-2</v>
      </c>
      <c r="AE41" s="19">
        <f>17/14*(GSBR[[#This Row],[NH4+ (mg L-1)]]*10^GSBR[[#This Row],[pHreactor]])/(EXP(6344/(273+GSBR[[#This Row],[Temp. 
(°C)]]))+10^GSBR[pHreactor])</f>
        <v>20.239419919317768</v>
      </c>
      <c r="AF41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465.11000000000013</v>
      </c>
      <c r="AG41" s="19">
        <f>IFERROR(IF(Influent[[#This Row],[COD (mg L-1)]]-MEDIA[[#This Row],[COD 
(mg L-1)]]&lt;0,0,Influent[[#This Row],[COD (mg L-1)]]-MEDIA[[#This Row],[COD 
(mg L-1)]]),0)</f>
        <v>595</v>
      </c>
      <c r="AH41" s="4">
        <f>IF(IFERROR(Influent[[#This Row],[Alkalinity (mg CaCO3 L-1) ]]-GSBR[[#This Row],[Alkalinity 
(mg CaCO3 L-1) ]],0)&lt;0,0,IFERROR(Influent[[#This Row],[Alkalinity (mg CaCO3 L-1) ]]-GSBR[[#This Row],[Alkalinity 
(mg CaCO3 L-1) ]],0))</f>
        <v>4399</v>
      </c>
      <c r="AI41" s="20">
        <f>Influent[[#This Row],[COD (mg L-1)]]/GSBR[[#This Row],[HRT 
(h)]]*24/1000</f>
        <v>0.60556839059161194</v>
      </c>
      <c r="AJ41" s="6">
        <f>IFERROR(IF(((GSBR[[#This Row],[ΔC (mg L-1)]])/GSBR[[#This Row],[HRT 
(h)]]*24/1000) &lt;0,0, (GSBR[[#This Row],[ΔC (mg L-1)]])/GSBR[[#This Row],[HRT 
(h)]]*24/1000),0)</f>
        <v>0.12510874736180871</v>
      </c>
      <c r="AK41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0.19954529804005053</v>
      </c>
      <c r="AL41" s="6">
        <f>Influent[[#This Row],[TN (mg L-1)]]/GSBR[[#This Row],[HRT 
(h)]]*24/1000</f>
        <v>0.29266952103850769</v>
      </c>
      <c r="AM41" s="6">
        <f>GSBR[[#This Row],[NLR 
(kg N m-3 d-1)]]*GSBR[[#This Row],[NRE 
(%)]]</f>
        <v>0.10608086335549018</v>
      </c>
      <c r="AN41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0.70167097966728276</v>
      </c>
      <c r="AO41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0.36245955157569243</v>
      </c>
      <c r="AP41" s="4">
        <v>3.6999999999999998E-2</v>
      </c>
      <c r="AQ41" s="4"/>
    </row>
    <row r="42" spans="1:43" x14ac:dyDescent="0.3">
      <c r="A42" s="128">
        <v>43365</v>
      </c>
      <c r="B42" s="29">
        <v>39</v>
      </c>
      <c r="C42" s="28">
        <f>Information!$R$54/GSBR[[#This Row],[HRT 
(h)]]*24</f>
        <v>4.3724687505123989E-2</v>
      </c>
      <c r="D42" s="42">
        <v>109.7778</v>
      </c>
      <c r="E42" s="42">
        <v>28.459829375000002</v>
      </c>
      <c r="F42" s="42">
        <v>7.9348155624999999</v>
      </c>
      <c r="G42" s="42">
        <v>0.39877118125</v>
      </c>
      <c r="H42" s="42">
        <v>5.6834110625000003</v>
      </c>
      <c r="I42" s="42">
        <v>21.173488750000001</v>
      </c>
      <c r="J42" s="27"/>
      <c r="K42" s="27"/>
      <c r="L42" s="29">
        <v>2285</v>
      </c>
      <c r="M42" s="29">
        <f>GSBR[[#This Row],[COD 
(mg L-1)]]*Information!$AK$43</f>
        <v>1828</v>
      </c>
      <c r="N42" s="29">
        <v>840</v>
      </c>
      <c r="O42" s="29">
        <v>7.5</v>
      </c>
      <c r="P42" s="29">
        <v>126</v>
      </c>
      <c r="R42" s="29">
        <v>5.81</v>
      </c>
      <c r="S42" s="29">
        <v>577.9</v>
      </c>
      <c r="T42" s="4">
        <f>GSBR[[#This Row],[NH4-N 
(mg L-1)]]*1.288</f>
        <v>679.63896</v>
      </c>
      <c r="U42" s="20">
        <f>GSBR[[#This Row],[NO2-N 
(mg L-1)]]*3.284</f>
        <v>1318.9200799999999</v>
      </c>
      <c r="V42" s="6">
        <f>(GSBR[[#This Row],[NO3-N 
(mg L-1)]])*4.426</f>
        <v>780.21527999999989</v>
      </c>
      <c r="W42" s="29">
        <v>527.66999999999996</v>
      </c>
      <c r="X42" s="29">
        <v>401.62</v>
      </c>
      <c r="Y42" s="6">
        <f>IF((GSBR[[#This Row],[TON 
(mg L-1)]]-GSBR[[#This Row],[NO2-N 
(mg L-1)]])&lt;0,0.2,(GSBR[[#This Row],[TON 
(mg L-1)]]-GSBR[[#This Row],[NO2-N 
(mg L-1)]]))</f>
        <v>176.27999999999997</v>
      </c>
      <c r="Z42" s="4">
        <f>SUM(GSBR[[#This Row],[NO3-N 
(mg L-1)]],GSBR[[#This Row],[NO2-N 
(mg L-1)]],GSBR[[#This Row],[NH4-N 
(mg L-1)]])</f>
        <v>1105.57</v>
      </c>
      <c r="AA42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0.20482669672216861</v>
      </c>
      <c r="AB42" s="48">
        <f>IF(IFERROR(GSBR[[#This Row],[NO2-N 
(mg L-1)]]/GSBR[[#This Row],[NH4-N 
(mg L-1)]],0)&lt;0,0,IFERROR(GSBR[[#This Row],[NO2-N 
(mg L-1)]]/GSBR[[#This Row],[NH4-N 
(mg L-1)]],0))</f>
        <v>0.76111963916841974</v>
      </c>
      <c r="AC42" s="48">
        <f>GSBR[[#This Row],[NO2-N 
(mg L-1)]]/(GSBR[[#This Row],[NO2-N 
(mg L-1)]]+GSBR[[#This Row],[NO3-N 
(mg L-1)]])</f>
        <v>0.69496452673472919</v>
      </c>
      <c r="AD42" s="20">
        <f>46/14*GSBR[[#This Row],[NO2-N 
(mg L-1)]]/(EXP(-2300/(GSBR[[#This Row],[Temp. 
(°C)]]+273))*10^(GSBR[[#This Row],[pHreactor]]))</f>
        <v>3.1557089138050588E-2</v>
      </c>
      <c r="AE42" s="19">
        <f>17/14*(GSBR[[#This Row],[NH4+ (mg L-1)]]*10^GSBR[[#This Row],[pHreactor]])/(EXP(6344/(273+GSBR[[#This Row],[Temp. 
(°C)]]))+10^GSBR[pHreactor])</f>
        <v>48.496022997254279</v>
      </c>
      <c r="AF42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282.73</v>
      </c>
      <c r="AG42" s="19">
        <f>IFERROR(IF(Influent[[#This Row],[COD (mg L-1)]]-MEDIA[[#This Row],[COD 
(mg L-1)]]&lt;0,0,Influent[[#This Row],[COD (mg L-1)]]-MEDIA[[#This Row],[COD 
(mg L-1)]]),0)</f>
        <v>2870</v>
      </c>
      <c r="AH42" s="4">
        <f>IF(IFERROR(Influent[[#This Row],[Alkalinity (mg CaCO3 L-1) ]]-GSBR[[#This Row],[Alkalinity 
(mg CaCO3 L-1) ]],0)&lt;0,0,IFERROR(Influent[[#This Row],[Alkalinity (mg CaCO3 L-1) ]]-GSBR[[#This Row],[Alkalinity 
(mg CaCO3 L-1) ]],0))</f>
        <v>4767</v>
      </c>
      <c r="AI42" s="20">
        <f>Influent[[#This Row],[COD (mg L-1)]]/GSBR[[#This Row],[HRT 
(h)]]*24/1000</f>
        <v>0.62744926569852921</v>
      </c>
      <c r="AJ42" s="6">
        <f>IFERROR(IF(((GSBR[[#This Row],[ΔC (mg L-1)]])/GSBR[[#This Row],[HRT 
(h)]]*24/1000) &lt;0,0, (GSBR[[#This Row],[ΔC (mg L-1)]])/GSBR[[#This Row],[HRT 
(h)]]*24/1000),0)</f>
        <v>0.62744926569852921</v>
      </c>
      <c r="AK42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0.18815388903767427</v>
      </c>
      <c r="AL42" s="6">
        <f>Influent[[#This Row],[TN (mg L-1)]]/GSBR[[#This Row],[HRT 
(h)]]*24/1000</f>
        <v>0.31024742707541964</v>
      </c>
      <c r="AM42" s="6">
        <f>GSBR[[#This Row],[NLR 
(kg N m-3 d-1)]]*GSBR[[#This Row],[NRE 
(%)]]</f>
        <v>6.8543913250220009E-2</v>
      </c>
      <c r="AN42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0.61991644457249873</v>
      </c>
      <c r="AO42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0.22093305944986072</v>
      </c>
      <c r="AP42" s="4"/>
      <c r="AQ42" s="4"/>
    </row>
    <row r="43" spans="1:43" x14ac:dyDescent="0.3">
      <c r="A43" s="128">
        <v>43366</v>
      </c>
      <c r="B43" s="29">
        <v>40</v>
      </c>
      <c r="C43" s="28">
        <f>Information!$R$54/GSBR[[#This Row],[HRT 
(h)]]*24</f>
        <v>3.995930810458017E-2</v>
      </c>
      <c r="D43" s="42">
        <v>120.12220000000001</v>
      </c>
      <c r="E43" s="42">
        <v>27.250819374999999</v>
      </c>
      <c r="F43" s="42">
        <v>7.9841257499999996</v>
      </c>
      <c r="G43" s="42">
        <v>0.40885593749999999</v>
      </c>
      <c r="H43" s="42">
        <v>6.1376695625000002</v>
      </c>
      <c r="I43" s="42">
        <v>7.9762081250000003</v>
      </c>
      <c r="J43" s="27"/>
      <c r="K43" s="27"/>
      <c r="L43" s="29">
        <v>2150</v>
      </c>
      <c r="M43" s="29">
        <f>GSBR[[#This Row],[COD 
(mg L-1)]]*Information!$AK$43</f>
        <v>1720</v>
      </c>
      <c r="N43" s="29">
        <v>746</v>
      </c>
      <c r="O43" s="29">
        <v>7.9</v>
      </c>
      <c r="P43" s="29">
        <v>102</v>
      </c>
      <c r="R43" s="29">
        <v>6.15</v>
      </c>
      <c r="S43" s="29">
        <v>603.4</v>
      </c>
      <c r="T43" s="4">
        <f>GSBR[[#This Row],[NH4-N 
(mg L-1)]]*1.288</f>
        <v>557.25319999999999</v>
      </c>
      <c r="U43" s="20">
        <f>GSBR[[#This Row],[NO2-N 
(mg L-1)]]*3.284</f>
        <v>1275.3742399999999</v>
      </c>
      <c r="V43" s="6">
        <f>(GSBR[[#This Row],[NO3-N 
(mg L-1)]])*4.426</f>
        <v>951.76703999999984</v>
      </c>
      <c r="W43" s="29">
        <v>432.65</v>
      </c>
      <c r="X43" s="29">
        <v>388.36</v>
      </c>
      <c r="Y43" s="6">
        <f>IF((GSBR[[#This Row],[TON 
(mg L-1)]]-GSBR[[#This Row],[NO2-N 
(mg L-1)]])&lt;0,0.2,(GSBR[[#This Row],[TON 
(mg L-1)]]-GSBR[[#This Row],[NO2-N 
(mg L-1)]]))</f>
        <v>215.03999999999996</v>
      </c>
      <c r="Z43" s="4">
        <f>SUM(GSBR[[#This Row],[NO3-N 
(mg L-1)]],GSBR[[#This Row],[NO2-N 
(mg L-1)]],GSBR[[#This Row],[NH4-N 
(mg L-1)]])</f>
        <v>1036.05</v>
      </c>
      <c r="AA43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0.218303639409167</v>
      </c>
      <c r="AB43" s="48">
        <f>IF(IFERROR(GSBR[[#This Row],[NO2-N 
(mg L-1)]]/GSBR[[#This Row],[NH4-N 
(mg L-1)]],0)&lt;0,0,IFERROR(GSBR[[#This Row],[NO2-N 
(mg L-1)]]/GSBR[[#This Row],[NH4-N 
(mg L-1)]],0))</f>
        <v>0.89763087946376985</v>
      </c>
      <c r="AC43" s="48">
        <f>GSBR[[#This Row],[NO2-N 
(mg L-1)]]/(GSBR[[#This Row],[NO2-N 
(mg L-1)]]+GSBR[[#This Row],[NO3-N 
(mg L-1)]])</f>
        <v>0.64361948955916481</v>
      </c>
      <c r="AD43" s="20">
        <f>46/14*GSBR[[#This Row],[NO2-N 
(mg L-1)]]/(EXP(-2300/(GSBR[[#This Row],[Temp. 
(°C)]]+273))*10^(GSBR[[#This Row],[pHreactor]]))</f>
        <v>2.8089767119419313E-2</v>
      </c>
      <c r="AE43" s="19">
        <f>17/14*(GSBR[[#This Row],[NH4+ (mg L-1)]]*10^GSBR[[#This Row],[pHreactor]])/(EXP(6344/(273+GSBR[[#This Row],[Temp. 
(°C)]]))+10^GSBR[pHreactor])</f>
        <v>40.854900585417248</v>
      </c>
      <c r="AF43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381.65000000000009</v>
      </c>
      <c r="AG43" s="19">
        <f>IFERROR(IF(Influent[[#This Row],[COD (mg L-1)]]-MEDIA[[#This Row],[COD 
(mg L-1)]]&lt;0,0,Influent[[#This Row],[COD (mg L-1)]]-MEDIA[[#This Row],[COD 
(mg L-1)]]),0)</f>
        <v>2825</v>
      </c>
      <c r="AH43" s="4">
        <f>IF(IFERROR(Influent[[#This Row],[Alkalinity (mg CaCO3 L-1) ]]-GSBR[[#This Row],[Alkalinity 
(mg CaCO3 L-1) ]],0)&lt;0,0,IFERROR(Influent[[#This Row],[Alkalinity (mg CaCO3 L-1) ]]-GSBR[[#This Row],[Alkalinity 
(mg CaCO3 L-1) ]],0))</f>
        <v>4656</v>
      </c>
      <c r="AI43" s="20">
        <f>Influent[[#This Row],[COD (mg L-1)]]/GSBR[[#This Row],[HRT 
(h)]]*24/1000</f>
        <v>0.56442522697719477</v>
      </c>
      <c r="AJ43" s="6">
        <f>IFERROR(IF(((GSBR[[#This Row],[ΔC (mg L-1)]])/GSBR[[#This Row],[HRT 
(h)]]*24/1000) &lt;0,0, (GSBR[[#This Row],[ΔC (mg L-1)]])/GSBR[[#This Row],[HRT 
(h)]]*24/1000),0)</f>
        <v>0.56442522697719477</v>
      </c>
      <c r="AK43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0.19680958224208348</v>
      </c>
      <c r="AL43" s="6">
        <f>Influent[[#This Row],[TN (mg L-1)]]/GSBR[[#This Row],[HRT 
(h)]]*24/1000</f>
        <v>0.2832915148074211</v>
      </c>
      <c r="AM43" s="6">
        <f>GSBR[[#This Row],[NLR 
(kg N m-3 d-1)]]*GSBR[[#This Row],[NRE 
(%)]]</f>
        <v>7.6292308998669706E-2</v>
      </c>
      <c r="AN43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0.69482259998589269</v>
      </c>
      <c r="AO43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0.2693067212074195</v>
      </c>
      <c r="AP43" s="4"/>
      <c r="AQ43" s="4"/>
    </row>
    <row r="44" spans="1:43" x14ac:dyDescent="0.3">
      <c r="A44" s="128">
        <v>43367</v>
      </c>
      <c r="B44" s="29">
        <v>41</v>
      </c>
      <c r="C44" s="28">
        <f>Information!$R$54/GSBR[[#This Row],[HRT 
(h)]]*24</f>
        <v>4.0771394789415744E-2</v>
      </c>
      <c r="D44" s="42">
        <v>117.7296</v>
      </c>
      <c r="E44" s="42">
        <v>26.701079374999999</v>
      </c>
      <c r="F44" s="42">
        <v>8.1569081249999993</v>
      </c>
      <c r="G44" s="42">
        <v>0.40811439999999999</v>
      </c>
      <c r="H44" s="42">
        <v>6.5374999999999996</v>
      </c>
      <c r="I44" s="42">
        <v>-1.6517696187499999</v>
      </c>
      <c r="J44" s="29">
        <v>1470</v>
      </c>
      <c r="K44" s="27"/>
      <c r="L44" s="29">
        <v>2360</v>
      </c>
      <c r="M44" s="29">
        <f>GSBR[[#This Row],[COD 
(mg L-1)]]*Information!$AK$43</f>
        <v>1888</v>
      </c>
      <c r="N44" s="29">
        <v>889</v>
      </c>
      <c r="O44" s="29">
        <v>7.6</v>
      </c>
      <c r="P44" s="29">
        <v>82</v>
      </c>
      <c r="R44" s="29">
        <v>6.7</v>
      </c>
      <c r="S44" s="29">
        <v>602.1</v>
      </c>
      <c r="T44" s="4">
        <f>GSBR[[#This Row],[NH4-N 
(mg L-1)]]*1.288</f>
        <v>269.51400000000001</v>
      </c>
      <c r="U44" s="20">
        <f>GSBR[[#This Row],[NO2-N 
(mg L-1)]]*3.284</f>
        <v>1460.7888799999998</v>
      </c>
      <c r="V44" s="6">
        <f>(GSBR[[#This Row],[NO3-N 
(mg L-1)]])*4.426</f>
        <v>696.12128000000018</v>
      </c>
      <c r="W44" s="29">
        <v>209.25</v>
      </c>
      <c r="X44" s="29">
        <v>444.82</v>
      </c>
      <c r="Y44" s="6">
        <f>IF((GSBR[[#This Row],[TON 
(mg L-1)]]-GSBR[[#This Row],[NO2-N 
(mg L-1)]])&lt;0,0.2,(GSBR[[#This Row],[TON 
(mg L-1)]]-GSBR[[#This Row],[NO2-N 
(mg L-1)]]))</f>
        <v>157.28000000000003</v>
      </c>
      <c r="Z44" s="4">
        <f>SUM(GSBR[[#This Row],[NO3-N 
(mg L-1)]],GSBR[[#This Row],[NO2-N 
(mg L-1)]],GSBR[[#This Row],[NH4-N 
(mg L-1)]])</f>
        <v>811.35</v>
      </c>
      <c r="AA44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0.13609656903041581</v>
      </c>
      <c r="AB44" s="48">
        <f>IF(IFERROR(GSBR[[#This Row],[NO2-N 
(mg L-1)]]/GSBR[[#This Row],[NH4-N 
(mg L-1)]],0)&lt;0,0,IFERROR(GSBR[[#This Row],[NO2-N 
(mg L-1)]]/GSBR[[#This Row],[NH4-N 
(mg L-1)]],0))</f>
        <v>2.1257825567502988</v>
      </c>
      <c r="AC44" s="48">
        <f>GSBR[[#This Row],[NO2-N 
(mg L-1)]]/(GSBR[[#This Row],[NO2-N 
(mg L-1)]]+GSBR[[#This Row],[NO3-N 
(mg L-1)]])</f>
        <v>0.73878093339976747</v>
      </c>
      <c r="AD44" s="20">
        <f>46/14*GSBR[[#This Row],[NO2-N 
(mg L-1)]]/(EXP(-2300/(GSBR[[#This Row],[Temp. 
(°C)]]+273))*10^(GSBR[[#This Row],[pHreactor]]))</f>
        <v>2.1918858100299709E-2</v>
      </c>
      <c r="AE44" s="19">
        <f>17/14*(GSBR[[#This Row],[NH4+ (mg L-1)]]*10^GSBR[[#This Row],[pHreactor]])/(EXP(6344/(273+GSBR[[#This Row],[Temp. 
(°C)]]))+10^GSBR[pHreactor])</f>
        <v>27.576578363185547</v>
      </c>
      <c r="AF44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553.55000000000007</v>
      </c>
      <c r="AG44" s="19">
        <f>IFERROR(IF(Influent[[#This Row],[COD (mg L-1)]]-MEDIA[[#This Row],[COD 
(mg L-1)]]&lt;0,0,Influent[[#This Row],[COD (mg L-1)]]-MEDIA[[#This Row],[COD 
(mg L-1)]]),0)</f>
        <v>700</v>
      </c>
      <c r="AH44" s="4">
        <f>IF(IFERROR(Influent[[#This Row],[Alkalinity (mg CaCO3 L-1) ]]-GSBR[[#This Row],[Alkalinity 
(mg CaCO3 L-1) ]],0)&lt;0,0,IFERROR(Influent[[#This Row],[Alkalinity (mg CaCO3 L-1) ]]-GSBR[[#This Row],[Alkalinity 
(mg CaCO3 L-1) ]],0))</f>
        <v>4789</v>
      </c>
      <c r="AI44" s="20">
        <f>Influent[[#This Row],[COD (mg L-1)]]/GSBR[[#This Row],[HRT 
(h)]]*24/1000</f>
        <v>0.57079952705182035</v>
      </c>
      <c r="AJ44" s="6">
        <f>IFERROR(IF(((GSBR[[#This Row],[ΔC (mg L-1)]])/GSBR[[#This Row],[HRT 
(h)]]*24/1000) &lt;0,0, (GSBR[[#This Row],[ΔC (mg L-1)]])/GSBR[[#This Row],[HRT 
(h)]]*24/1000),0)</f>
        <v>0.14269988176295509</v>
      </c>
      <c r="AK44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0.23558731194194155</v>
      </c>
      <c r="AL44" s="6">
        <f>Influent[[#This Row],[TN (mg L-1)]]/GSBR[[#This Row],[HRT 
(h)]]*24/1000</f>
        <v>0.28566742773270271</v>
      </c>
      <c r="AM44" s="6">
        <f>GSBR[[#This Row],[NLR 
(kg N m-3 d-1)]]*GSBR[[#This Row],[NRE 
(%)]]</f>
        <v>0.12026807192074039</v>
      </c>
      <c r="AN44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0.84669206535277308</v>
      </c>
      <c r="AO44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0.42100729815537286</v>
      </c>
      <c r="AP44" s="4"/>
      <c r="AQ44" s="4"/>
    </row>
    <row r="45" spans="1:43" x14ac:dyDescent="0.3">
      <c r="A45" s="128">
        <v>43368</v>
      </c>
      <c r="B45" s="29">
        <v>42</v>
      </c>
      <c r="C45" s="28"/>
      <c r="D45" s="27"/>
      <c r="E45" s="42"/>
      <c r="F45" s="42"/>
      <c r="G45" s="42"/>
      <c r="H45" s="42"/>
      <c r="I45" s="42"/>
      <c r="J45" s="27"/>
      <c r="K45" s="27"/>
      <c r="L45" s="29"/>
      <c r="N45" s="29"/>
      <c r="O45" s="29"/>
      <c r="P45" s="29"/>
      <c r="R45" s="29"/>
      <c r="S45" s="29"/>
      <c r="T45" s="4"/>
      <c r="U45" s="20"/>
      <c r="V45" s="6"/>
      <c r="W45" s="29"/>
      <c r="X45" s="29"/>
      <c r="Y45" s="6"/>
      <c r="Z45" s="4"/>
      <c r="AA45" s="23"/>
      <c r="AB45" s="48"/>
      <c r="AC45" s="48"/>
      <c r="AD45" s="20"/>
      <c r="AE45" s="19"/>
      <c r="AF45" s="129"/>
      <c r="AG45" s="19"/>
      <c r="AH45" s="4"/>
      <c r="AI45" s="20"/>
      <c r="AJ45" s="6"/>
      <c r="AK45" s="6"/>
      <c r="AL45" s="6"/>
      <c r="AM45" s="6"/>
      <c r="AN45" s="26"/>
      <c r="AO45" s="26"/>
      <c r="AP45" s="4"/>
      <c r="AQ45" s="4"/>
    </row>
    <row r="46" spans="1:43" x14ac:dyDescent="0.3">
      <c r="A46" s="128">
        <v>43369</v>
      </c>
      <c r="B46" s="29">
        <v>43</v>
      </c>
      <c r="C46" s="28"/>
      <c r="D46" s="27"/>
      <c r="E46" s="42"/>
      <c r="F46" s="42"/>
      <c r="G46" s="42"/>
      <c r="H46" s="42"/>
      <c r="I46" s="42"/>
      <c r="J46" s="27"/>
      <c r="K46" s="27"/>
      <c r="L46" s="29"/>
      <c r="N46" s="29"/>
      <c r="O46" s="29"/>
      <c r="P46" s="29"/>
      <c r="R46" s="29"/>
      <c r="S46" s="29"/>
      <c r="T46" s="4"/>
      <c r="U46" s="20"/>
      <c r="V46" s="6"/>
      <c r="W46" s="29"/>
      <c r="X46" s="29"/>
      <c r="Y46" s="6"/>
      <c r="Z46" s="4"/>
      <c r="AA46" s="23"/>
      <c r="AB46" s="48"/>
      <c r="AC46" s="48"/>
      <c r="AD46" s="20"/>
      <c r="AE46" s="19"/>
      <c r="AF46" s="129"/>
      <c r="AG46" s="19"/>
      <c r="AH46" s="4"/>
      <c r="AI46" s="20"/>
      <c r="AJ46" s="6"/>
      <c r="AK46" s="6"/>
      <c r="AL46" s="6"/>
      <c r="AM46" s="6"/>
      <c r="AN46" s="26"/>
      <c r="AO46" s="26"/>
      <c r="AP46" s="4"/>
      <c r="AQ46" s="4"/>
    </row>
    <row r="47" spans="1:43" x14ac:dyDescent="0.3">
      <c r="A47" s="128">
        <v>43370</v>
      </c>
      <c r="B47" s="29">
        <v>44</v>
      </c>
      <c r="C47" s="28"/>
      <c r="D47" s="27"/>
      <c r="E47" s="42"/>
      <c r="F47" s="42"/>
      <c r="G47" s="42"/>
      <c r="H47" s="42"/>
      <c r="I47" s="42"/>
      <c r="K47" s="27"/>
      <c r="L47" s="29"/>
      <c r="N47" s="29"/>
      <c r="O47" s="29"/>
      <c r="P47" s="29"/>
      <c r="R47" s="29"/>
      <c r="S47" s="29"/>
      <c r="T47" s="4"/>
      <c r="U47" s="20"/>
      <c r="V47" s="6"/>
      <c r="W47" s="29"/>
      <c r="X47" s="29"/>
      <c r="Y47" s="6"/>
      <c r="Z47" s="4"/>
      <c r="AA47" s="23"/>
      <c r="AB47" s="48"/>
      <c r="AC47" s="48"/>
      <c r="AD47" s="20"/>
      <c r="AE47" s="19"/>
      <c r="AF47" s="129"/>
      <c r="AG47" s="19"/>
      <c r="AH47" s="4"/>
      <c r="AI47" s="20"/>
      <c r="AJ47" s="6"/>
      <c r="AK47" s="6"/>
      <c r="AL47" s="6"/>
      <c r="AM47" s="6"/>
      <c r="AN47" s="26"/>
      <c r="AO47" s="26"/>
      <c r="AP47" s="4"/>
      <c r="AQ47" s="4"/>
    </row>
    <row r="48" spans="1:43" x14ac:dyDescent="0.3">
      <c r="A48" s="128">
        <v>43371</v>
      </c>
      <c r="B48" s="29">
        <v>45</v>
      </c>
      <c r="C48" s="28"/>
      <c r="D48" s="27"/>
      <c r="E48" s="42"/>
      <c r="F48" s="42"/>
      <c r="G48" s="42"/>
      <c r="H48" s="42"/>
      <c r="I48" s="42"/>
      <c r="J48" s="27"/>
      <c r="K48" s="27"/>
      <c r="T48" s="4"/>
      <c r="U48" s="20"/>
      <c r="V48" s="6"/>
      <c r="W48" s="6"/>
      <c r="Y48" s="6"/>
      <c r="Z48" s="4"/>
      <c r="AA48" s="23"/>
      <c r="AB48" s="48"/>
      <c r="AC48" s="48"/>
      <c r="AD48" s="20"/>
      <c r="AE48" s="19"/>
      <c r="AF48" s="129"/>
      <c r="AG48" s="19"/>
      <c r="AH48" s="4"/>
      <c r="AI48" s="20"/>
      <c r="AJ48" s="6"/>
      <c r="AK48" s="6"/>
      <c r="AL48" s="6"/>
      <c r="AM48" s="6"/>
      <c r="AN48" s="26"/>
      <c r="AO48" s="26"/>
      <c r="AP48" s="4"/>
      <c r="AQ48" s="4"/>
    </row>
    <row r="49" spans="1:43" x14ac:dyDescent="0.3">
      <c r="A49" s="128">
        <v>43372</v>
      </c>
      <c r="B49" s="29">
        <v>46</v>
      </c>
      <c r="C49" s="28"/>
      <c r="D49" s="27"/>
      <c r="E49" s="42"/>
      <c r="F49" s="42"/>
      <c r="G49" s="42"/>
      <c r="H49" s="42"/>
      <c r="I49" s="42"/>
      <c r="J49" s="27"/>
      <c r="K49" s="27"/>
      <c r="T49" s="4"/>
      <c r="U49" s="20"/>
      <c r="V49" s="6"/>
      <c r="W49" s="6"/>
      <c r="Y49" s="6"/>
      <c r="Z49" s="4"/>
      <c r="AA49" s="23"/>
      <c r="AB49" s="48"/>
      <c r="AC49" s="48"/>
      <c r="AD49" s="20"/>
      <c r="AE49" s="19"/>
      <c r="AF49" s="129"/>
      <c r="AG49" s="19"/>
      <c r="AH49" s="4"/>
      <c r="AI49" s="20"/>
      <c r="AJ49" s="6"/>
      <c r="AK49" s="6"/>
      <c r="AL49" s="6"/>
      <c r="AM49" s="6"/>
      <c r="AN49" s="26"/>
      <c r="AO49" s="26"/>
      <c r="AP49" s="4"/>
      <c r="AQ49" s="4"/>
    </row>
    <row r="50" spans="1:43" x14ac:dyDescent="0.3">
      <c r="A50" s="128">
        <v>43373</v>
      </c>
      <c r="B50" s="29">
        <v>47</v>
      </c>
      <c r="C50" s="28"/>
      <c r="D50" s="27"/>
      <c r="E50" s="42"/>
      <c r="F50" s="42"/>
      <c r="G50" s="42"/>
      <c r="H50" s="42"/>
      <c r="I50" s="42"/>
      <c r="J50" s="27"/>
      <c r="K50" s="27"/>
      <c r="T50" s="4"/>
      <c r="U50" s="20"/>
      <c r="V50" s="6"/>
      <c r="W50" s="6"/>
      <c r="Y50" s="6"/>
      <c r="Z50" s="4"/>
      <c r="AA50" s="23"/>
      <c r="AB50" s="48"/>
      <c r="AC50" s="48"/>
      <c r="AD50" s="20"/>
      <c r="AE50" s="19"/>
      <c r="AF50" s="129"/>
      <c r="AG50" s="19"/>
      <c r="AH50" s="4"/>
      <c r="AI50" s="20"/>
      <c r="AJ50" s="6"/>
      <c r="AK50" s="6"/>
      <c r="AL50" s="6"/>
      <c r="AM50" s="6"/>
      <c r="AN50" s="26"/>
      <c r="AO50" s="26"/>
      <c r="AP50" s="4"/>
      <c r="AQ50" s="4"/>
    </row>
    <row r="51" spans="1:43" x14ac:dyDescent="0.3">
      <c r="A51" s="128">
        <v>43374</v>
      </c>
      <c r="B51" s="29">
        <v>48</v>
      </c>
      <c r="C51" s="28"/>
      <c r="D51" s="27"/>
      <c r="E51" s="42"/>
      <c r="F51" s="42"/>
      <c r="G51" s="42"/>
      <c r="H51" s="42"/>
      <c r="I51" s="42"/>
      <c r="J51" s="27"/>
      <c r="K51" s="27"/>
      <c r="T51" s="4"/>
      <c r="U51" s="20"/>
      <c r="V51" s="6"/>
      <c r="W51" s="6"/>
      <c r="Y51" s="6"/>
      <c r="Z51" s="4"/>
      <c r="AA51" s="23"/>
      <c r="AB51" s="48"/>
      <c r="AC51" s="48"/>
      <c r="AD51" s="20"/>
      <c r="AE51" s="19"/>
      <c r="AF51" s="129"/>
      <c r="AG51" s="19"/>
      <c r="AH51" s="4"/>
      <c r="AI51" s="20"/>
      <c r="AJ51" s="6"/>
      <c r="AK51" s="6"/>
      <c r="AL51" s="6"/>
      <c r="AM51" s="6"/>
      <c r="AN51" s="26"/>
      <c r="AO51" s="26"/>
      <c r="AP51" s="4"/>
      <c r="AQ51" s="4"/>
    </row>
    <row r="52" spans="1:43" x14ac:dyDescent="0.3">
      <c r="A52" s="128">
        <v>43375</v>
      </c>
      <c r="B52" s="29">
        <v>49</v>
      </c>
      <c r="C52" s="28"/>
      <c r="D52" s="27"/>
      <c r="E52" s="42"/>
      <c r="F52" s="42"/>
      <c r="G52" s="42"/>
      <c r="H52" s="42"/>
      <c r="I52" s="42"/>
      <c r="J52" s="27"/>
      <c r="K52" s="27"/>
      <c r="T52" s="4"/>
      <c r="U52" s="20"/>
      <c r="V52" s="6"/>
      <c r="W52" s="6"/>
      <c r="Y52" s="6"/>
      <c r="Z52" s="4"/>
      <c r="AA52" s="23"/>
      <c r="AB52" s="48"/>
      <c r="AC52" s="48"/>
      <c r="AD52" s="20"/>
      <c r="AE52" s="19"/>
      <c r="AF52" s="129"/>
      <c r="AG52" s="19"/>
      <c r="AH52" s="4"/>
      <c r="AI52" s="20"/>
      <c r="AJ52" s="6"/>
      <c r="AK52" s="6"/>
      <c r="AL52" s="6"/>
      <c r="AM52" s="6"/>
      <c r="AN52" s="26"/>
      <c r="AO52" s="26"/>
      <c r="AP52" s="4"/>
      <c r="AQ52" s="4"/>
    </row>
    <row r="53" spans="1:43" x14ac:dyDescent="0.3">
      <c r="A53" s="128">
        <v>43376</v>
      </c>
      <c r="B53" s="29">
        <v>50</v>
      </c>
      <c r="C53" s="28"/>
      <c r="D53" s="27"/>
      <c r="E53" s="42"/>
      <c r="F53" s="42"/>
      <c r="G53" s="42"/>
      <c r="H53" s="42"/>
      <c r="I53" s="42"/>
      <c r="J53" s="27"/>
      <c r="K53" s="27"/>
      <c r="T53" s="4"/>
      <c r="U53" s="20"/>
      <c r="V53" s="6"/>
      <c r="W53" s="6"/>
      <c r="Y53" s="6"/>
      <c r="Z53" s="4"/>
      <c r="AA53" s="23"/>
      <c r="AB53" s="48"/>
      <c r="AC53" s="48"/>
      <c r="AD53" s="20"/>
      <c r="AE53" s="19"/>
      <c r="AF53" s="129"/>
      <c r="AG53" s="19"/>
      <c r="AH53" s="4"/>
      <c r="AI53" s="20"/>
      <c r="AJ53" s="6"/>
      <c r="AK53" s="6"/>
      <c r="AL53" s="6"/>
      <c r="AM53" s="6"/>
      <c r="AN53" s="26"/>
      <c r="AO53" s="26"/>
      <c r="AP53" s="4"/>
      <c r="AQ53" s="4"/>
    </row>
    <row r="54" spans="1:43" x14ac:dyDescent="0.3">
      <c r="A54" s="128">
        <v>43377</v>
      </c>
      <c r="B54" s="29">
        <v>51</v>
      </c>
      <c r="C54" s="28"/>
      <c r="D54" s="27"/>
      <c r="E54" s="42"/>
      <c r="F54" s="42"/>
      <c r="G54" s="42"/>
      <c r="H54" s="42"/>
      <c r="I54" s="42"/>
      <c r="J54" s="27"/>
      <c r="K54" s="27"/>
      <c r="T54" s="4"/>
      <c r="U54" s="20"/>
      <c r="V54" s="6"/>
      <c r="W54" s="6"/>
      <c r="Y54" s="6"/>
      <c r="Z54" s="4"/>
      <c r="AA54" s="23"/>
      <c r="AB54" s="48"/>
      <c r="AC54" s="48"/>
      <c r="AD54" s="20"/>
      <c r="AE54" s="19"/>
      <c r="AF54" s="129"/>
      <c r="AG54" s="19"/>
      <c r="AH54" s="4"/>
      <c r="AI54" s="20"/>
      <c r="AJ54" s="6"/>
      <c r="AK54" s="6"/>
      <c r="AL54" s="6"/>
      <c r="AM54" s="6"/>
      <c r="AN54" s="26"/>
      <c r="AO54" s="26"/>
      <c r="AP54" s="4"/>
      <c r="AQ54" s="4"/>
    </row>
    <row r="55" spans="1:43" x14ac:dyDescent="0.3">
      <c r="A55" s="128">
        <v>43378</v>
      </c>
      <c r="B55" s="29">
        <v>52</v>
      </c>
      <c r="C55" s="28"/>
      <c r="D55" s="27"/>
      <c r="E55" s="42"/>
      <c r="F55" s="42"/>
      <c r="G55" s="42"/>
      <c r="H55" s="42"/>
      <c r="I55" s="42"/>
      <c r="J55" s="27"/>
      <c r="K55" s="27"/>
      <c r="T55" s="4"/>
      <c r="U55" s="20"/>
      <c r="V55" s="6"/>
      <c r="W55" s="6"/>
      <c r="Y55" s="6"/>
      <c r="Z55" s="4"/>
      <c r="AA55" s="23"/>
      <c r="AB55" s="48"/>
      <c r="AC55" s="48"/>
      <c r="AD55" s="20"/>
      <c r="AE55" s="19"/>
      <c r="AF55" s="129"/>
      <c r="AG55" s="19"/>
      <c r="AH55" s="4"/>
      <c r="AI55" s="20"/>
      <c r="AJ55" s="6"/>
      <c r="AK55" s="6"/>
      <c r="AL55" s="6"/>
      <c r="AM55" s="6"/>
      <c r="AN55" s="26"/>
      <c r="AO55" s="26"/>
      <c r="AP55" s="4"/>
      <c r="AQ55" s="4"/>
    </row>
    <row r="56" spans="1:43" x14ac:dyDescent="0.3">
      <c r="A56" s="128">
        <v>43379</v>
      </c>
      <c r="B56" s="29">
        <v>53</v>
      </c>
      <c r="C56" s="28"/>
      <c r="D56" s="27"/>
      <c r="E56" s="42"/>
      <c r="F56" s="42"/>
      <c r="G56" s="42"/>
      <c r="H56" s="42"/>
      <c r="I56" s="42"/>
      <c r="J56" s="27"/>
      <c r="K56" s="27"/>
      <c r="T56" s="4"/>
      <c r="U56" s="20"/>
      <c r="V56" s="6"/>
      <c r="W56" s="6"/>
      <c r="Y56" s="6"/>
      <c r="Z56" s="4"/>
      <c r="AA56" s="23"/>
      <c r="AB56" s="48"/>
      <c r="AC56" s="48"/>
      <c r="AD56" s="20"/>
      <c r="AE56" s="19"/>
      <c r="AF56" s="129"/>
      <c r="AG56" s="19"/>
      <c r="AH56" s="4"/>
      <c r="AI56" s="20"/>
      <c r="AJ56" s="6"/>
      <c r="AK56" s="6"/>
      <c r="AL56" s="6"/>
      <c r="AM56" s="6"/>
      <c r="AN56" s="26"/>
      <c r="AO56" s="26"/>
      <c r="AP56" s="4"/>
      <c r="AQ56" s="4"/>
    </row>
    <row r="57" spans="1:43" x14ac:dyDescent="0.3">
      <c r="A57" s="128">
        <v>43380</v>
      </c>
      <c r="B57" s="29">
        <v>54</v>
      </c>
      <c r="C57" s="28"/>
      <c r="D57" s="27"/>
      <c r="E57" s="42"/>
      <c r="F57" s="42"/>
      <c r="G57" s="42"/>
      <c r="H57" s="42"/>
      <c r="I57" s="42"/>
      <c r="J57" s="27"/>
      <c r="K57" s="27"/>
      <c r="T57" s="4"/>
      <c r="U57" s="20"/>
      <c r="V57" s="6"/>
      <c r="W57" s="6"/>
      <c r="Y57" s="6"/>
      <c r="Z57" s="4"/>
      <c r="AA57" s="23"/>
      <c r="AB57" s="48"/>
      <c r="AC57" s="48"/>
      <c r="AD57" s="20"/>
      <c r="AE57" s="19"/>
      <c r="AF57" s="129"/>
      <c r="AG57" s="19"/>
      <c r="AH57" s="4"/>
      <c r="AI57" s="20"/>
      <c r="AJ57" s="6"/>
      <c r="AK57" s="6"/>
      <c r="AL57" s="6"/>
      <c r="AM57" s="6"/>
      <c r="AN57" s="26"/>
      <c r="AO57" s="26"/>
      <c r="AP57" s="4"/>
      <c r="AQ57" s="4"/>
    </row>
    <row r="58" spans="1:43" x14ac:dyDescent="0.3">
      <c r="A58" s="128">
        <v>43381</v>
      </c>
      <c r="B58" s="29">
        <v>55</v>
      </c>
      <c r="C58" s="28"/>
      <c r="D58" s="27"/>
      <c r="E58" s="42"/>
      <c r="F58" s="42"/>
      <c r="G58" s="42"/>
      <c r="H58" s="42"/>
      <c r="I58" s="42"/>
      <c r="J58" s="27"/>
      <c r="K58" s="27"/>
      <c r="T58" s="4"/>
      <c r="U58" s="20"/>
      <c r="V58" s="6"/>
      <c r="W58" s="6"/>
      <c r="Y58" s="6"/>
      <c r="Z58" s="4"/>
      <c r="AA58" s="23"/>
      <c r="AB58" s="48"/>
      <c r="AC58" s="48"/>
      <c r="AD58" s="20"/>
      <c r="AE58" s="19"/>
      <c r="AF58" s="129"/>
      <c r="AG58" s="19"/>
      <c r="AH58" s="4"/>
      <c r="AI58" s="20"/>
      <c r="AJ58" s="6"/>
      <c r="AK58" s="6"/>
      <c r="AL58" s="6"/>
      <c r="AM58" s="6"/>
      <c r="AN58" s="26"/>
      <c r="AO58" s="26"/>
      <c r="AP58" s="4"/>
      <c r="AQ58" s="4"/>
    </row>
    <row r="59" spans="1:43" x14ac:dyDescent="0.3">
      <c r="A59" s="128">
        <v>43382</v>
      </c>
      <c r="B59" s="29">
        <v>56</v>
      </c>
      <c r="C59" s="28"/>
      <c r="D59" s="27"/>
      <c r="E59" s="42"/>
      <c r="F59" s="42"/>
      <c r="G59" s="42"/>
      <c r="H59" s="42"/>
      <c r="I59" s="42"/>
      <c r="J59" s="27"/>
      <c r="K59" s="27"/>
      <c r="T59" s="4"/>
      <c r="U59" s="20"/>
      <c r="V59" s="6"/>
      <c r="W59" s="6"/>
      <c r="Y59" s="6"/>
      <c r="Z59" s="4"/>
      <c r="AA59" s="23"/>
      <c r="AB59" s="48"/>
      <c r="AC59" s="48"/>
      <c r="AD59" s="20"/>
      <c r="AE59" s="19"/>
      <c r="AF59" s="129"/>
      <c r="AG59" s="19"/>
      <c r="AH59" s="4"/>
      <c r="AI59" s="20"/>
      <c r="AJ59" s="6"/>
      <c r="AK59" s="6"/>
      <c r="AL59" s="6"/>
      <c r="AM59" s="6"/>
      <c r="AN59" s="26"/>
      <c r="AO59" s="26"/>
      <c r="AP59" s="4"/>
      <c r="AQ59" s="4"/>
    </row>
    <row r="60" spans="1:43" x14ac:dyDescent="0.3">
      <c r="A60" s="128">
        <v>43383</v>
      </c>
      <c r="B60" s="29">
        <v>57</v>
      </c>
      <c r="C60" s="28">
        <f>Information!$R$54/GSBR[[#This Row],[HRT 
(h)]]*24</f>
        <v>0.12</v>
      </c>
      <c r="D60" s="27">
        <v>40</v>
      </c>
      <c r="E60" s="42">
        <v>27</v>
      </c>
      <c r="F60" s="42">
        <f>GSBR[[#This Row],[pHeff]]</f>
        <v>8.9</v>
      </c>
      <c r="G60" s="42"/>
      <c r="H60" s="42"/>
      <c r="I60" s="42"/>
      <c r="J60" s="27"/>
      <c r="K60" s="27"/>
      <c r="L60">
        <v>2265</v>
      </c>
      <c r="M60" s="29">
        <f>GSBR[[#This Row],[COD 
(mg L-1)]]*Information!$AK$43</f>
        <v>1812</v>
      </c>
      <c r="N60">
        <v>4205</v>
      </c>
      <c r="O60">
        <v>8.9</v>
      </c>
      <c r="P60">
        <v>156</v>
      </c>
      <c r="R60">
        <v>8.49</v>
      </c>
      <c r="S60">
        <v>2.4</v>
      </c>
      <c r="T60" s="4">
        <f>GSBR[[#This Row],[NH4-N 
(mg L-1)]]*1.288</f>
        <v>1489.3144</v>
      </c>
      <c r="U60" s="20">
        <f>GSBR[[#This Row],[NO2-N 
(mg L-1)]]*3.284</f>
        <v>5.5630959999999998</v>
      </c>
      <c r="V60" s="6">
        <f>(GSBR[[#This Row],[NO3-N 
(mg L-1)]])*4.426</f>
        <v>3.1247560000000001</v>
      </c>
      <c r="W60" s="6">
        <v>1156.3</v>
      </c>
      <c r="X60">
        <v>1.694</v>
      </c>
      <c r="Y60" s="6">
        <f>IF((GSBR[[#This Row],[TON 
(mg L-1)]]-GSBR[[#This Row],[NO2-N 
(mg L-1)]])&lt;0,0.2,(GSBR[[#This Row],[TON 
(mg L-1)]]-GSBR[[#This Row],[NO2-N 
(mg L-1)]]))</f>
        <v>0.70599999999999996</v>
      </c>
      <c r="Z60" s="4">
        <f>SUM(GSBR[[#This Row],[NO3-N 
(mg L-1)]],GSBR[[#This Row],[NO2-N 
(mg L-1)]],GSBR[[#This Row],[NH4-N 
(mg L-1)]])</f>
        <v>1158.7</v>
      </c>
      <c r="AA60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4.5111821086261982E-3</v>
      </c>
      <c r="AB60" s="48">
        <f>IF(IFERROR(GSBR[[#This Row],[NO2-N 
(mg L-1)]]/GSBR[[#This Row],[NH4-N 
(mg L-1)]],0)&lt;0,0,IFERROR(GSBR[[#This Row],[NO2-N 
(mg L-1)]]/GSBR[[#This Row],[NH4-N 
(mg L-1)]],0))</f>
        <v>1.4650177289630719E-3</v>
      </c>
      <c r="AC60" s="48">
        <f>GSBR[[#This Row],[NO2-N 
(mg L-1)]]/(GSBR[[#This Row],[NO2-N 
(mg L-1)]]+GSBR[[#This Row],[NO3-N 
(mg L-1)]])</f>
        <v>0.70583333333333331</v>
      </c>
      <c r="AD60" s="20">
        <f>46/14*GSBR[[#This Row],[NO2-N 
(mg L-1)]]/(EXP(-2300/(GSBR[[#This Row],[Temp. 
(°C)]]+273))*10^(GSBR[[#This Row],[pHreactor]]))</f>
        <v>1.4966981778296546E-5</v>
      </c>
      <c r="AE60" s="19">
        <f>17/14*(GSBR[[#This Row],[NH4+ (mg L-1)]]*10^GSBR[[#This Row],[pHreactor]])/(EXP(6344/(273+GSBR[[#This Row],[Temp. 
(°C)]]))+10^GSBR[pHreactor])</f>
        <v>618.79009100209885</v>
      </c>
      <c r="AF60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154.10000000000014</v>
      </c>
      <c r="AG60" s="19">
        <f>IFERROR(IF(Influent[[#This Row],[COD (mg L-1)]]-MEDIA[[#This Row],[COD 
(mg L-1)]]&lt;0,0,Influent[[#This Row],[COD (mg L-1)]]-MEDIA[[#This Row],[COD 
(mg L-1)]]),0)</f>
        <v>815</v>
      </c>
      <c r="AH60" s="4">
        <f>IF(IFERROR(Influent[[#This Row],[Alkalinity (mg CaCO3 L-1) ]]-GSBR[[#This Row],[Alkalinity 
(mg CaCO3 L-1) ]],0)&lt;0,0,IFERROR(Influent[[#This Row],[Alkalinity (mg CaCO3 L-1) ]]-GSBR[[#This Row],[Alkalinity 
(mg CaCO3 L-1) ]],0))</f>
        <v>613</v>
      </c>
      <c r="AI60" s="20">
        <f>Influent[[#This Row],[COD (mg L-1)]]/GSBR[[#This Row],[HRT 
(h)]]*24/1000</f>
        <v>1.4670000000000001</v>
      </c>
      <c r="AJ60" s="6">
        <f>IFERROR(IF(((GSBR[[#This Row],[ΔC (mg L-1)]])/GSBR[[#This Row],[HRT 
(h)]]*24/1000) &lt;0,0, (GSBR[[#This Row],[ΔC (mg L-1)]])/GSBR[[#This Row],[HRT 
(h)]]*24/1000),0)</f>
        <v>0.48899999999999999</v>
      </c>
      <c r="AK60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9.3900000000000011E-2</v>
      </c>
      <c r="AL60" s="6">
        <f>Influent[[#This Row],[TN (mg L-1)]]/GSBR[[#This Row],[HRT 
(h)]]*24/1000</f>
        <v>0.78780000000000006</v>
      </c>
      <c r="AM60" s="6">
        <f>GSBR[[#This Row],[NLR 
(kg N m-3 d-1)]]*GSBR[[#This Row],[NRE 
(%)]]</f>
        <v>9.2579999999999982E-2</v>
      </c>
      <c r="AN60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0.11921084704448508</v>
      </c>
      <c r="AO60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0.11751713632901749</v>
      </c>
      <c r="AP60" s="4"/>
      <c r="AQ60" s="4"/>
    </row>
    <row r="61" spans="1:43" x14ac:dyDescent="0.3">
      <c r="A61" s="128">
        <v>43384</v>
      </c>
      <c r="B61" s="29">
        <v>58</v>
      </c>
      <c r="C61" s="28">
        <f>Information!$R$54/GSBR[[#This Row],[HRT 
(h)]]*24</f>
        <v>0.12</v>
      </c>
      <c r="D61" s="27">
        <v>40</v>
      </c>
      <c r="E61" s="42">
        <v>27</v>
      </c>
      <c r="F61" s="42">
        <f>GSBR[[#This Row],[pHeff]]</f>
        <v>8.9</v>
      </c>
      <c r="G61" s="42"/>
      <c r="H61" s="42"/>
      <c r="I61" s="42"/>
      <c r="J61" s="27"/>
      <c r="K61" s="27"/>
      <c r="L61">
        <v>2190</v>
      </c>
      <c r="M61" s="29">
        <f>GSBR[[#This Row],[COD 
(mg L-1)]]*Information!$AK$43</f>
        <v>1752</v>
      </c>
      <c r="N61">
        <v>4112</v>
      </c>
      <c r="O61">
        <v>8.9</v>
      </c>
      <c r="P61">
        <v>134</v>
      </c>
      <c r="R61">
        <v>8.92</v>
      </c>
      <c r="S61">
        <v>2.1</v>
      </c>
      <c r="T61" s="4">
        <f>GSBR[[#This Row],[NH4-N 
(mg L-1)]]*1.288</f>
        <v>1526.5376000000001</v>
      </c>
      <c r="U61" s="20">
        <f>GSBR[[#This Row],[NO2-N 
(mg L-1)]]*3.284</f>
        <v>4.9457040000000001</v>
      </c>
      <c r="V61" s="6">
        <f>(GSBR[[#This Row],[NO3-N 
(mg L-1)]])*4.426</f>
        <v>2.6290440000000004</v>
      </c>
      <c r="W61" s="6">
        <v>1185.2</v>
      </c>
      <c r="X61">
        <v>1.506</v>
      </c>
      <c r="Y61" s="6">
        <f>IF((GSBR[[#This Row],[TON 
(mg L-1)]]-GSBR[[#This Row],[NO2-N 
(mg L-1)]])&lt;0,0.2,(GSBR[[#This Row],[TON 
(mg L-1)]]-GSBR[[#This Row],[NO2-N 
(mg L-1)]]))</f>
        <v>0.59400000000000008</v>
      </c>
      <c r="Z61" s="4">
        <f>SUM(GSBR[[#This Row],[NO3-N 
(mg L-1)]],GSBR[[#This Row],[NO2-N 
(mg L-1)]],GSBR[[#This Row],[NH4-N 
(mg L-1)]])</f>
        <v>1187.3</v>
      </c>
      <c r="AA61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4.218750000000002E-3</v>
      </c>
      <c r="AB61" s="48">
        <f>IF(IFERROR(GSBR[[#This Row],[NO2-N 
(mg L-1)]]/GSBR[[#This Row],[NH4-N 
(mg L-1)]],0)&lt;0,0,IFERROR(GSBR[[#This Row],[NO2-N 
(mg L-1)]]/GSBR[[#This Row],[NH4-N 
(mg L-1)]],0))</f>
        <v>1.2706716166047923E-3</v>
      </c>
      <c r="AC61" s="48">
        <f>GSBR[[#This Row],[NO2-N 
(mg L-1)]]/(GSBR[[#This Row],[NO2-N 
(mg L-1)]]+GSBR[[#This Row],[NO3-N 
(mg L-1)]])</f>
        <v>0.71714285714285708</v>
      </c>
      <c r="AD61" s="20">
        <f>46/14*GSBR[[#This Row],[NO2-N 
(mg L-1)]]/(EXP(-2300/(GSBR[[#This Row],[Temp. 
(°C)]]+273))*10^(GSBR[[#This Row],[pHreactor]]))</f>
        <v>1.3305947200776032E-5</v>
      </c>
      <c r="AE61" s="19">
        <f>17/14*(GSBR[[#This Row],[NH4+ (mg L-1)]]*10^GSBR[[#This Row],[pHreactor]])/(EXP(6344/(273+GSBR[[#This Row],[Temp. 
(°C)]]))+10^GSBR[pHreactor])</f>
        <v>634.25582967714922</v>
      </c>
      <c r="AF61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138.69999999999982</v>
      </c>
      <c r="AG61" s="19">
        <f>IFERROR(IF(Influent[[#This Row],[COD (mg L-1)]]-MEDIA[[#This Row],[COD 
(mg L-1)]]&lt;0,0,Influent[[#This Row],[COD (mg L-1)]]-MEDIA[[#This Row],[COD 
(mg L-1)]]),0)</f>
        <v>695</v>
      </c>
      <c r="AH61" s="4">
        <f>IF(IFERROR(Influent[[#This Row],[Alkalinity (mg CaCO3 L-1) ]]-GSBR[[#This Row],[Alkalinity 
(mg CaCO3 L-1) ]],0)&lt;0,0,IFERROR(Influent[[#This Row],[Alkalinity (mg CaCO3 L-1) ]]-GSBR[[#This Row],[Alkalinity 
(mg CaCO3 L-1) ]],0))</f>
        <v>666</v>
      </c>
      <c r="AI61" s="20">
        <f>Influent[[#This Row],[COD (mg L-1)]]/GSBR[[#This Row],[HRT 
(h)]]*24/1000</f>
        <v>1.464</v>
      </c>
      <c r="AJ61" s="6">
        <f>IFERROR(IF(((GSBR[[#This Row],[ΔC (mg L-1)]])/GSBR[[#This Row],[HRT 
(h)]]*24/1000) &lt;0,0, (GSBR[[#This Row],[ΔC (mg L-1)]])/GSBR[[#This Row],[HRT 
(h)]]*24/1000),0)</f>
        <v>0.41699999999999998</v>
      </c>
      <c r="AK61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8.4479999999999958E-2</v>
      </c>
      <c r="AL61" s="6">
        <f>Influent[[#This Row],[TN (mg L-1)]]/GSBR[[#This Row],[HRT 
(h)]]*24/1000</f>
        <v>0.80124000000000017</v>
      </c>
      <c r="AM61" s="6">
        <f>GSBR[[#This Row],[NLR 
(kg N m-3 d-1)]]*GSBR[[#This Row],[NRE 
(%)]]</f>
        <v>8.8860000000000106E-2</v>
      </c>
      <c r="AN61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0.10618401206636498</v>
      </c>
      <c r="AO61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0.11090310019469832</v>
      </c>
      <c r="AP61" s="4"/>
      <c r="AQ61" s="4"/>
    </row>
    <row r="62" spans="1:43" x14ac:dyDescent="0.3">
      <c r="A62" s="128">
        <v>43385</v>
      </c>
      <c r="B62" s="29">
        <v>59</v>
      </c>
      <c r="C62" s="28"/>
      <c r="D62" s="27"/>
      <c r="E62" s="42"/>
      <c r="F62" s="42"/>
      <c r="G62" s="42"/>
      <c r="H62" s="42"/>
      <c r="I62" s="42"/>
      <c r="J62" s="27"/>
      <c r="K62" s="27"/>
      <c r="T62" s="4"/>
      <c r="U62" s="20"/>
      <c r="V62" s="6"/>
      <c r="W62" s="6"/>
      <c r="Y62" s="6"/>
      <c r="Z62" s="4"/>
      <c r="AA62" s="23"/>
      <c r="AB62" s="48"/>
      <c r="AC62" s="48"/>
      <c r="AD62" s="20"/>
      <c r="AE62" s="19"/>
      <c r="AF62" s="129"/>
      <c r="AG62" s="19"/>
      <c r="AH62" s="4"/>
      <c r="AI62" s="20"/>
      <c r="AJ62" s="6"/>
      <c r="AK62" s="6"/>
      <c r="AL62" s="6"/>
      <c r="AM62" s="6"/>
      <c r="AN62" s="26"/>
      <c r="AO62" s="26"/>
      <c r="AP62" s="4"/>
      <c r="AQ62" s="4"/>
    </row>
    <row r="63" spans="1:43" x14ac:dyDescent="0.3">
      <c r="A63" s="128">
        <v>43386</v>
      </c>
      <c r="B63" s="29">
        <v>60</v>
      </c>
      <c r="C63" s="28"/>
      <c r="D63" s="27"/>
      <c r="E63" s="42"/>
      <c r="F63" s="42"/>
      <c r="G63" s="42"/>
      <c r="H63" s="42"/>
      <c r="I63" s="42"/>
      <c r="J63" s="27"/>
      <c r="K63" s="27"/>
      <c r="T63" s="4"/>
      <c r="U63" s="20"/>
      <c r="V63" s="6"/>
      <c r="W63" s="6"/>
      <c r="Y63" s="6"/>
      <c r="Z63" s="4"/>
      <c r="AA63" s="23"/>
      <c r="AB63" s="48"/>
      <c r="AC63" s="48"/>
      <c r="AD63" s="20"/>
      <c r="AE63" s="19"/>
      <c r="AF63" s="129"/>
      <c r="AG63" s="19"/>
      <c r="AH63" s="4"/>
      <c r="AI63" s="20"/>
      <c r="AJ63" s="6"/>
      <c r="AK63" s="6"/>
      <c r="AL63" s="6"/>
      <c r="AM63" s="6"/>
      <c r="AN63" s="26"/>
      <c r="AO63" s="26"/>
      <c r="AP63" s="4"/>
      <c r="AQ63" s="4"/>
    </row>
    <row r="64" spans="1:43" x14ac:dyDescent="0.3">
      <c r="A64" s="128">
        <v>43387</v>
      </c>
      <c r="B64" s="29">
        <v>61</v>
      </c>
      <c r="C64" s="28"/>
      <c r="D64" s="27"/>
      <c r="E64" s="42"/>
      <c r="F64" s="42"/>
      <c r="G64" s="42"/>
      <c r="H64" s="42"/>
      <c r="I64" s="42"/>
      <c r="J64" s="27"/>
      <c r="K64" s="27"/>
      <c r="T64" s="4"/>
      <c r="U64" s="20"/>
      <c r="V64" s="6"/>
      <c r="W64" s="6"/>
      <c r="Y64" s="6"/>
      <c r="Z64" s="4"/>
      <c r="AA64" s="23"/>
      <c r="AB64" s="48"/>
      <c r="AC64" s="48"/>
      <c r="AD64" s="20"/>
      <c r="AE64" s="19"/>
      <c r="AF64" s="129"/>
      <c r="AG64" s="19"/>
      <c r="AH64" s="4"/>
      <c r="AI64" s="20"/>
      <c r="AJ64" s="6"/>
      <c r="AK64" s="6"/>
      <c r="AL64" s="6"/>
      <c r="AM64" s="6"/>
      <c r="AN64" s="26"/>
      <c r="AO64" s="26"/>
      <c r="AP64" s="4"/>
      <c r="AQ64" s="4"/>
    </row>
    <row r="65" spans="1:43" x14ac:dyDescent="0.3">
      <c r="A65" s="128">
        <v>43388</v>
      </c>
      <c r="B65" s="29">
        <v>62</v>
      </c>
      <c r="C65" s="28"/>
      <c r="D65" s="27"/>
      <c r="E65" s="42"/>
      <c r="F65" s="42"/>
      <c r="G65" s="42"/>
      <c r="H65" s="42"/>
      <c r="I65" s="42"/>
      <c r="J65" s="27"/>
      <c r="K65" s="27"/>
      <c r="T65" s="4"/>
      <c r="U65" s="20"/>
      <c r="V65" s="6"/>
      <c r="W65" s="6"/>
      <c r="Y65" s="6"/>
      <c r="Z65" s="4"/>
      <c r="AA65" s="23"/>
      <c r="AB65" s="48"/>
      <c r="AC65" s="48"/>
      <c r="AD65" s="20"/>
      <c r="AE65" s="19"/>
      <c r="AF65" s="129"/>
      <c r="AG65" s="19"/>
      <c r="AH65" s="4"/>
      <c r="AI65" s="20"/>
      <c r="AJ65" s="6"/>
      <c r="AK65" s="6"/>
      <c r="AL65" s="6"/>
      <c r="AM65" s="6"/>
      <c r="AN65" s="26"/>
      <c r="AO65" s="26"/>
      <c r="AP65" s="4"/>
      <c r="AQ65" s="4"/>
    </row>
    <row r="66" spans="1:43" x14ac:dyDescent="0.3">
      <c r="A66" s="128">
        <v>43389</v>
      </c>
      <c r="B66" s="29">
        <v>63</v>
      </c>
      <c r="C66" s="28"/>
      <c r="D66" s="27"/>
      <c r="E66" s="42"/>
      <c r="F66" s="42"/>
      <c r="G66" s="42"/>
      <c r="H66" s="42"/>
      <c r="I66" s="42"/>
      <c r="J66" s="27"/>
      <c r="K66" s="27"/>
      <c r="T66" s="4"/>
      <c r="U66" s="20"/>
      <c r="V66" s="6"/>
      <c r="W66" s="6"/>
      <c r="Y66" s="6"/>
      <c r="Z66" s="4"/>
      <c r="AA66" s="23"/>
      <c r="AB66" s="48"/>
      <c r="AC66" s="48"/>
      <c r="AD66" s="20"/>
      <c r="AE66" s="19"/>
      <c r="AF66" s="129"/>
      <c r="AG66" s="19"/>
      <c r="AH66" s="4"/>
      <c r="AI66" s="20"/>
      <c r="AJ66" s="6"/>
      <c r="AK66" s="6"/>
      <c r="AL66" s="6"/>
      <c r="AM66" s="6"/>
      <c r="AN66" s="26"/>
      <c r="AO66" s="26"/>
      <c r="AP66" s="4"/>
      <c r="AQ66" s="4"/>
    </row>
    <row r="67" spans="1:43" x14ac:dyDescent="0.3">
      <c r="A67" s="128">
        <v>43390</v>
      </c>
      <c r="B67" s="29">
        <v>64</v>
      </c>
      <c r="C67" s="28"/>
      <c r="D67" s="27"/>
      <c r="E67" s="42"/>
      <c r="F67" s="42"/>
      <c r="G67" s="42"/>
      <c r="H67" s="42"/>
      <c r="I67" s="42"/>
      <c r="J67" s="27"/>
      <c r="K67" s="27"/>
      <c r="T67" s="4"/>
      <c r="U67" s="20"/>
      <c r="V67" s="6"/>
      <c r="W67" s="6"/>
      <c r="Y67" s="6"/>
      <c r="Z67" s="4"/>
      <c r="AA67" s="23"/>
      <c r="AB67" s="48"/>
      <c r="AC67" s="48"/>
      <c r="AD67" s="20"/>
      <c r="AE67" s="19"/>
      <c r="AF67" s="129"/>
      <c r="AG67" s="19"/>
      <c r="AH67" s="4"/>
      <c r="AI67" s="20"/>
      <c r="AJ67" s="6"/>
      <c r="AK67" s="6"/>
      <c r="AL67" s="6"/>
      <c r="AM67" s="6"/>
      <c r="AN67" s="26"/>
      <c r="AO67" s="26"/>
      <c r="AP67" s="4"/>
      <c r="AQ67" s="4"/>
    </row>
    <row r="68" spans="1:43" x14ac:dyDescent="0.3">
      <c r="A68" s="128">
        <v>43391</v>
      </c>
      <c r="B68" s="29">
        <v>65</v>
      </c>
      <c r="C68" s="28"/>
      <c r="D68" s="27"/>
      <c r="E68" s="42"/>
      <c r="F68" s="42"/>
      <c r="G68" s="42"/>
      <c r="H68" s="42"/>
      <c r="I68" s="42"/>
      <c r="J68" s="27"/>
      <c r="K68" s="27"/>
      <c r="T68" s="4"/>
      <c r="U68" s="20"/>
      <c r="V68" s="6"/>
      <c r="W68" s="6"/>
      <c r="Y68" s="6"/>
      <c r="Z68" s="4"/>
      <c r="AA68" s="23"/>
      <c r="AB68" s="48"/>
      <c r="AC68" s="48"/>
      <c r="AD68" s="20"/>
      <c r="AE68" s="19"/>
      <c r="AF68" s="129"/>
      <c r="AG68" s="19"/>
      <c r="AH68" s="4"/>
      <c r="AI68" s="20"/>
      <c r="AJ68" s="6"/>
      <c r="AK68" s="6"/>
      <c r="AL68" s="6"/>
      <c r="AM68" s="6"/>
      <c r="AN68" s="26"/>
      <c r="AO68" s="26"/>
      <c r="AP68" s="4"/>
      <c r="AQ68" s="4"/>
    </row>
    <row r="69" spans="1:43" x14ac:dyDescent="0.3">
      <c r="A69" s="128">
        <v>43392</v>
      </c>
      <c r="B69" s="29">
        <v>66</v>
      </c>
      <c r="C69" s="28"/>
      <c r="D69" s="27"/>
      <c r="E69" s="42"/>
      <c r="F69" s="42"/>
      <c r="G69" s="42"/>
      <c r="H69" s="42"/>
      <c r="I69" s="42"/>
      <c r="J69" s="27"/>
      <c r="K69" s="27"/>
      <c r="T69" s="4"/>
      <c r="U69" s="20"/>
      <c r="V69" s="6"/>
      <c r="W69" s="6"/>
      <c r="Y69" s="6"/>
      <c r="Z69" s="4"/>
      <c r="AA69" s="23"/>
      <c r="AB69" s="48"/>
      <c r="AC69" s="48"/>
      <c r="AD69" s="20"/>
      <c r="AE69" s="19"/>
      <c r="AF69" s="129"/>
      <c r="AG69" s="19"/>
      <c r="AH69" s="4"/>
      <c r="AI69" s="20"/>
      <c r="AJ69" s="6"/>
      <c r="AK69" s="6"/>
      <c r="AL69" s="6"/>
      <c r="AM69" s="6"/>
      <c r="AN69" s="26"/>
      <c r="AO69" s="26"/>
      <c r="AP69" s="4"/>
      <c r="AQ69" s="4"/>
    </row>
    <row r="70" spans="1:43" x14ac:dyDescent="0.3">
      <c r="A70" s="128">
        <v>43393</v>
      </c>
      <c r="B70" s="29">
        <v>67</v>
      </c>
      <c r="C70" s="28"/>
      <c r="D70" s="27"/>
      <c r="E70" s="42"/>
      <c r="F70" s="42"/>
      <c r="G70" s="42"/>
      <c r="H70" s="42"/>
      <c r="I70" s="42"/>
      <c r="J70" s="27"/>
      <c r="K70" s="27"/>
      <c r="T70" s="4"/>
      <c r="U70" s="20"/>
      <c r="V70" s="6"/>
      <c r="W70" s="6"/>
      <c r="Y70" s="6"/>
      <c r="Z70" s="4"/>
      <c r="AA70" s="23"/>
      <c r="AB70" s="48"/>
      <c r="AC70" s="48"/>
      <c r="AD70" s="20"/>
      <c r="AE70" s="19"/>
      <c r="AF70" s="129"/>
      <c r="AG70" s="19"/>
      <c r="AH70" s="4"/>
      <c r="AI70" s="20"/>
      <c r="AJ70" s="6"/>
      <c r="AK70" s="6"/>
      <c r="AL70" s="6"/>
      <c r="AM70" s="6"/>
      <c r="AN70" s="26"/>
      <c r="AO70" s="26"/>
      <c r="AP70" s="4"/>
      <c r="AQ70" s="4"/>
    </row>
    <row r="71" spans="1:43" x14ac:dyDescent="0.3">
      <c r="A71" s="128">
        <v>43394</v>
      </c>
      <c r="B71" s="29">
        <v>68</v>
      </c>
      <c r="C71" s="28"/>
      <c r="D71" s="27"/>
      <c r="E71" s="42"/>
      <c r="F71" s="42"/>
      <c r="G71" s="42"/>
      <c r="H71" s="42"/>
      <c r="I71" s="42"/>
      <c r="J71" s="27"/>
      <c r="K71" s="27"/>
      <c r="T71" s="4"/>
      <c r="U71" s="20"/>
      <c r="V71" s="6"/>
      <c r="W71" s="6"/>
      <c r="Y71" s="6"/>
      <c r="Z71" s="4"/>
      <c r="AA71" s="23"/>
      <c r="AB71" s="48"/>
      <c r="AC71" s="48"/>
      <c r="AD71" s="20"/>
      <c r="AE71" s="19"/>
      <c r="AF71" s="129"/>
      <c r="AG71" s="19"/>
      <c r="AH71" s="4"/>
      <c r="AI71" s="20"/>
      <c r="AJ71" s="6"/>
      <c r="AK71" s="6"/>
      <c r="AL71" s="6"/>
      <c r="AM71" s="6"/>
      <c r="AN71" s="26"/>
      <c r="AO71" s="26"/>
      <c r="AP71" s="4"/>
      <c r="AQ71" s="4"/>
    </row>
    <row r="72" spans="1:43" x14ac:dyDescent="0.3">
      <c r="A72" s="128">
        <v>43395</v>
      </c>
      <c r="B72" s="29">
        <v>69</v>
      </c>
      <c r="C72" s="28"/>
      <c r="D72" s="27"/>
      <c r="E72" s="42"/>
      <c r="F72" s="42"/>
      <c r="G72" s="42"/>
      <c r="H72" s="42"/>
      <c r="I72" s="42"/>
      <c r="J72" s="27"/>
      <c r="K72" s="27"/>
      <c r="T72" s="4"/>
      <c r="U72" s="20"/>
      <c r="V72" s="6"/>
      <c r="W72" s="6"/>
      <c r="Y72" s="6"/>
      <c r="Z72" s="4"/>
      <c r="AA72" s="23"/>
      <c r="AB72" s="48"/>
      <c r="AC72" s="48"/>
      <c r="AD72" s="20"/>
      <c r="AE72" s="19"/>
      <c r="AF72" s="129"/>
      <c r="AG72" s="19"/>
      <c r="AH72" s="4"/>
      <c r="AI72" s="20"/>
      <c r="AJ72" s="6"/>
      <c r="AK72" s="6"/>
      <c r="AL72" s="6"/>
      <c r="AM72" s="6"/>
      <c r="AN72" s="26"/>
      <c r="AO72" s="26"/>
      <c r="AP72" s="4"/>
      <c r="AQ72" s="4"/>
    </row>
    <row r="73" spans="1:43" x14ac:dyDescent="0.3">
      <c r="A73" s="128">
        <v>43396</v>
      </c>
      <c r="B73" s="29">
        <v>70</v>
      </c>
      <c r="C73" s="28"/>
      <c r="D73" s="27"/>
      <c r="E73" s="42"/>
      <c r="F73" s="42"/>
      <c r="G73" s="42"/>
      <c r="H73" s="42"/>
      <c r="I73" s="42"/>
      <c r="J73" s="27"/>
      <c r="K73" s="27"/>
      <c r="T73" s="4"/>
      <c r="U73" s="20"/>
      <c r="V73" s="6"/>
      <c r="W73" s="6"/>
      <c r="Y73" s="6"/>
      <c r="Z73" s="4"/>
      <c r="AA73" s="23"/>
      <c r="AB73" s="48"/>
      <c r="AC73" s="48"/>
      <c r="AD73" s="20"/>
      <c r="AE73" s="19"/>
      <c r="AF73" s="129"/>
      <c r="AG73" s="19"/>
      <c r="AH73" s="4"/>
      <c r="AI73" s="20"/>
      <c r="AJ73" s="6"/>
      <c r="AK73" s="6"/>
      <c r="AL73" s="6"/>
      <c r="AM73" s="6"/>
      <c r="AN73" s="26"/>
      <c r="AO73" s="26"/>
      <c r="AP73" s="4"/>
      <c r="AQ73" s="4"/>
    </row>
    <row r="74" spans="1:43" x14ac:dyDescent="0.3">
      <c r="A74" s="128">
        <v>43397</v>
      </c>
      <c r="B74" s="29">
        <v>71</v>
      </c>
      <c r="C74" s="28"/>
      <c r="D74" s="27"/>
      <c r="E74" s="42"/>
      <c r="F74" s="42"/>
      <c r="G74" s="42"/>
      <c r="H74" s="42"/>
      <c r="I74" s="42"/>
      <c r="J74" s="27"/>
      <c r="K74" s="27"/>
      <c r="T74" s="4"/>
      <c r="U74" s="20"/>
      <c r="V74" s="6"/>
      <c r="W74" s="6"/>
      <c r="Y74" s="6"/>
      <c r="Z74" s="4"/>
      <c r="AA74" s="23"/>
      <c r="AB74" s="48"/>
      <c r="AC74" s="48"/>
      <c r="AD74" s="20"/>
      <c r="AE74" s="19"/>
      <c r="AF74" s="129"/>
      <c r="AG74" s="19"/>
      <c r="AH74" s="4"/>
      <c r="AI74" s="20"/>
      <c r="AJ74" s="6"/>
      <c r="AK74" s="6"/>
      <c r="AL74" s="6"/>
      <c r="AM74" s="6"/>
      <c r="AN74" s="26"/>
      <c r="AO74" s="26"/>
      <c r="AP74" s="4"/>
      <c r="AQ74" s="4"/>
    </row>
    <row r="75" spans="1:43" x14ac:dyDescent="0.3">
      <c r="A75" s="128">
        <v>43398</v>
      </c>
      <c r="B75" s="29">
        <v>72</v>
      </c>
      <c r="C75" s="28"/>
      <c r="D75" s="27"/>
      <c r="E75" s="42"/>
      <c r="F75" s="42"/>
      <c r="G75" s="42"/>
      <c r="H75" s="42"/>
      <c r="I75" s="42"/>
      <c r="J75" s="27"/>
      <c r="K75" s="27"/>
      <c r="T75" s="4"/>
      <c r="U75" s="20"/>
      <c r="V75" s="6"/>
      <c r="W75" s="6"/>
      <c r="Y75" s="6"/>
      <c r="Z75" s="4"/>
      <c r="AA75" s="23"/>
      <c r="AB75" s="48"/>
      <c r="AC75" s="48"/>
      <c r="AD75" s="20"/>
      <c r="AE75" s="19"/>
      <c r="AF75" s="129"/>
      <c r="AG75" s="19"/>
      <c r="AH75" s="4"/>
      <c r="AI75" s="20"/>
      <c r="AJ75" s="6"/>
      <c r="AK75" s="6"/>
      <c r="AL75" s="6"/>
      <c r="AM75" s="6"/>
      <c r="AN75" s="26"/>
      <c r="AO75" s="26"/>
      <c r="AP75" s="4"/>
      <c r="AQ75" s="4"/>
    </row>
    <row r="76" spans="1:43" x14ac:dyDescent="0.3">
      <c r="A76" s="128">
        <v>43399</v>
      </c>
      <c r="B76" s="29">
        <v>73</v>
      </c>
      <c r="C76" s="28">
        <f>Information!$R$54/GSBR[[#This Row],[HRT 
(h)]]*24</f>
        <v>0.24615384615384617</v>
      </c>
      <c r="D76" s="27">
        <v>19.5</v>
      </c>
      <c r="E76" s="42">
        <v>32.299999999999997</v>
      </c>
      <c r="F76" s="42">
        <v>7.4</v>
      </c>
      <c r="G76" s="42">
        <v>0.6</v>
      </c>
      <c r="H76" s="42">
        <v>1.1000000000000001</v>
      </c>
      <c r="I76" s="42">
        <v>-2.2000000000000002</v>
      </c>
      <c r="J76" s="27"/>
      <c r="K76" s="27"/>
      <c r="L76">
        <v>615</v>
      </c>
      <c r="M76" s="29">
        <f>GSBR[[#This Row],[COD 
(mg L-1)]]*Information!$AK$43</f>
        <v>492</v>
      </c>
      <c r="N76">
        <v>253</v>
      </c>
      <c r="O76">
        <v>7.4</v>
      </c>
      <c r="P76">
        <v>46</v>
      </c>
      <c r="R76">
        <v>5.67</v>
      </c>
      <c r="S76">
        <v>28.2</v>
      </c>
      <c r="T76" s="4">
        <f>GSBR[[#This Row],[NH4-N 
(mg L-1)]]*1.288</f>
        <v>65.842559999999992</v>
      </c>
      <c r="U76" s="20">
        <f>GSBR[[#This Row],[NO2-N 
(mg L-1)]]*3.284</f>
        <v>15.638407999999998</v>
      </c>
      <c r="V76" s="6">
        <f>(GSBR[[#This Row],[NO3-N 
(mg L-1)]])*4.426</f>
        <v>103.736588</v>
      </c>
      <c r="W76" s="6">
        <v>51.12</v>
      </c>
      <c r="X76">
        <v>4.7619999999999996</v>
      </c>
      <c r="Y76" s="6">
        <f>IF((GSBR[[#This Row],[TON 
(mg L-1)]]-GSBR[[#This Row],[NO2-N 
(mg L-1)]])&lt;0,0.2,(GSBR[[#This Row],[TON 
(mg L-1)]]-GSBR[[#This Row],[NO2-N 
(mg L-1)]]))</f>
        <v>23.437999999999999</v>
      </c>
      <c r="Z76" s="4">
        <f>SUM(GSBR[[#This Row],[NO3-N 
(mg L-1)]],GSBR[[#This Row],[NO2-N 
(mg L-1)]],GSBR[[#This Row],[NH4-N 
(mg L-1)]])</f>
        <v>79.319999999999993</v>
      </c>
      <c r="AA76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1.9235440877158425E-2</v>
      </c>
      <c r="AB76" s="48">
        <f>IF(IFERROR(GSBR[[#This Row],[NO2-N 
(mg L-1)]]/GSBR[[#This Row],[NH4-N 
(mg L-1)]],0)&lt;0,0,IFERROR(GSBR[[#This Row],[NO2-N 
(mg L-1)]]/GSBR[[#This Row],[NH4-N 
(mg L-1)]],0))</f>
        <v>9.3153364632237862E-2</v>
      </c>
      <c r="AC76" s="48">
        <f>GSBR[[#This Row],[NO2-N 
(mg L-1)]]/(GSBR[[#This Row],[NO2-N 
(mg L-1)]]+GSBR[[#This Row],[NO3-N 
(mg L-1)]])</f>
        <v>0.16886524822695034</v>
      </c>
      <c r="AD76" s="20">
        <f>46/14*GSBR[[#This Row],[NO2-N 
(mg L-1)]]/(EXP(-2300/(GSBR[[#This Row],[Temp. 
(°C)]]+273))*10^(GSBR[[#This Row],[pHreactor]]))</f>
        <v>1.1646853212233319E-3</v>
      </c>
      <c r="AE76" s="19">
        <f>17/14*(GSBR[[#This Row],[NH4+ (mg L-1)]]*10^GSBR[[#This Row],[pHreactor]])/(EXP(6344/(273+GSBR[[#This Row],[Temp. 
(°C)]]))+10^GSBR[pHreactor])</f>
        <v>1.854332320814015</v>
      </c>
      <c r="AF76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1190.28</v>
      </c>
      <c r="AG76" s="19">
        <f>IFERROR(IF(Influent[[#This Row],[COD (mg L-1)]]-MEDIA[[#This Row],[COD 
(mg L-1)]]&lt;0,0,Influent[[#This Row],[COD (mg L-1)]]-MEDIA[[#This Row],[COD 
(mg L-1)]]),0)</f>
        <v>1130</v>
      </c>
      <c r="AH76" s="4">
        <f>IF(IFERROR(Influent[[#This Row],[Alkalinity (mg CaCO3 L-1) ]]-GSBR[[#This Row],[Alkalinity 
(mg CaCO3 L-1) ]],0)&lt;0,0,IFERROR(Influent[[#This Row],[Alkalinity (mg CaCO3 L-1) ]]-GSBR[[#This Row],[Alkalinity 
(mg CaCO3 L-1) ]],0))</f>
        <v>4348</v>
      </c>
      <c r="AI76" s="20">
        <f>Influent[[#This Row],[COD (mg L-1)]]/GSBR[[#This Row],[HRT 
(h)]]*24/1000</f>
        <v>1.3907692307692308</v>
      </c>
      <c r="AJ76" s="6">
        <f>IFERROR(IF(((GSBR[[#This Row],[ΔC (mg L-1)]])/GSBR[[#This Row],[HRT 
(h)]]*24/1000) &lt;0,0, (GSBR[[#This Row],[ΔC (mg L-1)]])/GSBR[[#This Row],[HRT 
(h)]]*24/1000),0)</f>
        <v>1.3907692307692308</v>
      </c>
      <c r="AK76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1.4996676923076924</v>
      </c>
      <c r="AL76" s="6">
        <f>Influent[[#This Row],[TN (mg L-1)]]/GSBR[[#This Row],[HRT 
(h)]]*24/1000</f>
        <v>1.5809144615384612</v>
      </c>
      <c r="AM76" s="6">
        <f>GSBR[[#This Row],[NLR 
(kg N m-3 d-1)]]*GSBR[[#This Row],[NRE 
(%)]]</f>
        <v>1.4832898461538457</v>
      </c>
      <c r="AN76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0.95973534971644625</v>
      </c>
      <c r="AO76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0.93824800913667883</v>
      </c>
      <c r="AP76" s="4"/>
      <c r="AQ76" s="4"/>
    </row>
    <row r="77" spans="1:43" x14ac:dyDescent="0.3">
      <c r="A77" s="128">
        <v>43400</v>
      </c>
      <c r="B77" s="29">
        <v>74</v>
      </c>
      <c r="C77" s="28">
        <f>Information!$R$54/GSBR[[#This Row],[HRT 
(h)]]*24</f>
        <v>0.23188405797101452</v>
      </c>
      <c r="D77" s="27">
        <v>20.7</v>
      </c>
      <c r="E77" s="42">
        <v>29.2</v>
      </c>
      <c r="F77" s="42">
        <v>7.3</v>
      </c>
      <c r="G77" s="42">
        <v>0.6</v>
      </c>
      <c r="H77" s="42">
        <v>1.2</v>
      </c>
      <c r="I77" s="42">
        <v>17.2</v>
      </c>
      <c r="J77" s="27"/>
      <c r="K77" s="27"/>
      <c r="L77">
        <v>915</v>
      </c>
      <c r="M77" s="29">
        <f>GSBR[[#This Row],[COD 
(mg L-1)]]*Information!$AK$43</f>
        <v>732</v>
      </c>
      <c r="N77">
        <v>272</v>
      </c>
      <c r="O77">
        <v>7.7</v>
      </c>
      <c r="P77">
        <v>46</v>
      </c>
      <c r="Q77">
        <v>13</v>
      </c>
      <c r="R77">
        <v>4.8899999999999997</v>
      </c>
      <c r="S77">
        <v>27.7</v>
      </c>
      <c r="T77" s="4">
        <f>GSBR[[#This Row],[NH4-N 
(mg L-1)]]*1.288</f>
        <v>85.433040000000005</v>
      </c>
      <c r="U77" s="20">
        <f>GSBR[[#This Row],[NO2-N 
(mg L-1)]]*3.284</f>
        <v>4.4169799999999997</v>
      </c>
      <c r="V77" s="6">
        <f>(GSBR[[#This Row],[NO3-N 
(mg L-1)]])*4.426</f>
        <v>116.64723000000001</v>
      </c>
      <c r="W77" s="6">
        <v>66.33</v>
      </c>
      <c r="X77">
        <v>1.345</v>
      </c>
      <c r="Y77" s="6">
        <f>IF((GSBR[[#This Row],[TON 
(mg L-1)]]-GSBR[[#This Row],[NO2-N 
(mg L-1)]])&lt;0,0.2,(GSBR[[#This Row],[TON 
(mg L-1)]]-GSBR[[#This Row],[NO2-N 
(mg L-1)]]))</f>
        <v>26.355</v>
      </c>
      <c r="Z77" s="4">
        <f>SUM(GSBR[[#This Row],[NO3-N 
(mg L-1)]],GSBR[[#This Row],[NO2-N 
(mg L-1)]],GSBR[[#This Row],[NH4-N 
(mg L-1)]])</f>
        <v>94.03</v>
      </c>
      <c r="AA77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2.3239306215665698E-2</v>
      </c>
      <c r="AB77" s="48">
        <f>IF(IFERROR(GSBR[[#This Row],[NO2-N 
(mg L-1)]]/GSBR[[#This Row],[NH4-N 
(mg L-1)]],0)&lt;0,0,IFERROR(GSBR[[#This Row],[NO2-N 
(mg L-1)]]/GSBR[[#This Row],[NH4-N 
(mg L-1)]],0))</f>
        <v>2.0277400874415801E-2</v>
      </c>
      <c r="AC77" s="48">
        <f>GSBR[[#This Row],[NO2-N 
(mg L-1)]]/(GSBR[[#This Row],[NO2-N 
(mg L-1)]]+GSBR[[#This Row],[NO3-N 
(mg L-1)]])</f>
        <v>4.8555956678700364E-2</v>
      </c>
      <c r="AD77" s="20">
        <f>46/14*GSBR[[#This Row],[NO2-N 
(mg L-1)]]/(EXP(-2300/(GSBR[[#This Row],[Temp. 
(°C)]]+273))*10^(GSBR[[#This Row],[pHreactor]]))</f>
        <v>4.4740812003689795E-4</v>
      </c>
      <c r="AE77" s="19">
        <f>17/14*(GSBR[[#This Row],[NH4+ (mg L-1)]]*10^GSBR[[#This Row],[pHreactor]])/(EXP(6344/(273+GSBR[[#This Row],[Temp. 
(°C)]]))+10^GSBR[pHreactor])</f>
        <v>1.5572403856393218</v>
      </c>
      <c r="AF77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1106.3700000000001</v>
      </c>
      <c r="AG77" s="19">
        <f>IFERROR(IF(Influent[[#This Row],[COD (mg L-1)]]-MEDIA[[#This Row],[COD 
(mg L-1)]]&lt;0,0,Influent[[#This Row],[COD (mg L-1)]]-MEDIA[[#This Row],[COD 
(mg L-1)]]),0)</f>
        <v>970</v>
      </c>
      <c r="AH77" s="4">
        <f>IF(IFERROR(Influent[[#This Row],[Alkalinity (mg CaCO3 L-1) ]]-GSBR[[#This Row],[Alkalinity 
(mg CaCO3 L-1) ]],0)&lt;0,0,IFERROR(Influent[[#This Row],[Alkalinity (mg CaCO3 L-1) ]]-GSBR[[#This Row],[Alkalinity 
(mg CaCO3 L-1) ]],0))</f>
        <v>4078</v>
      </c>
      <c r="AI77" s="20">
        <f>Influent[[#This Row],[COD (mg L-1)]]/GSBR[[#This Row],[HRT 
(h)]]*24/1000</f>
        <v>2.5855072463768121</v>
      </c>
      <c r="AJ77" s="6">
        <f>IFERROR(IF(((GSBR[[#This Row],[ΔC (mg L-1)]])/GSBR[[#This Row],[HRT 
(h)]]*24/1000) &lt;0,0, (GSBR[[#This Row],[ΔC (mg L-1)]])/GSBR[[#This Row],[HRT 
(h)]]*24/1000),0)</f>
        <v>1.1246376811594203</v>
      </c>
      <c r="AK77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1.3148637681159423</v>
      </c>
      <c r="AL77" s="6">
        <f>Influent[[#This Row],[TN (mg L-1)]]/GSBR[[#This Row],[HRT 
(h)]]*24/1000</f>
        <v>1.3920000000000001</v>
      </c>
      <c r="AM77" s="6">
        <f>GSBR[[#This Row],[NLR 
(kg N m-3 d-1)]]*GSBR[[#This Row],[NRE 
(%)]]</f>
        <v>1.2829797101449278</v>
      </c>
      <c r="AN77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0.94474341886037994</v>
      </c>
      <c r="AO77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0.92168082625353998</v>
      </c>
      <c r="AP77" s="4"/>
      <c r="AQ77" s="4"/>
    </row>
    <row r="78" spans="1:43" x14ac:dyDescent="0.3">
      <c r="A78" s="128">
        <v>43401</v>
      </c>
      <c r="B78" s="29">
        <v>75</v>
      </c>
      <c r="C78" s="28"/>
      <c r="D78" s="27"/>
      <c r="E78" s="42"/>
      <c r="F78" s="42"/>
      <c r="G78" s="42"/>
      <c r="H78" s="42"/>
      <c r="I78" s="42"/>
      <c r="J78" s="27"/>
      <c r="K78" s="27"/>
      <c r="T78" s="4"/>
      <c r="U78" s="20"/>
      <c r="V78" s="6"/>
      <c r="W78" s="6"/>
      <c r="Y78" s="6"/>
      <c r="Z78" s="4"/>
      <c r="AA78" s="23"/>
      <c r="AB78" s="48"/>
      <c r="AC78" s="48"/>
      <c r="AD78" s="20"/>
      <c r="AE78" s="19"/>
      <c r="AF78" s="129"/>
      <c r="AG78" s="19"/>
      <c r="AH78" s="4"/>
      <c r="AI78" s="20"/>
      <c r="AJ78" s="6"/>
      <c r="AK78" s="6"/>
      <c r="AL78" s="6"/>
      <c r="AM78" s="6"/>
      <c r="AN78" s="26"/>
      <c r="AO78" s="26"/>
      <c r="AP78" s="4"/>
      <c r="AQ78" s="4"/>
    </row>
    <row r="79" spans="1:43" x14ac:dyDescent="0.3">
      <c r="A79" s="128">
        <v>43402</v>
      </c>
      <c r="B79" s="29">
        <v>76</v>
      </c>
      <c r="C79" s="28"/>
      <c r="D79" s="27"/>
      <c r="E79" s="42"/>
      <c r="F79" s="42"/>
      <c r="G79" s="42"/>
      <c r="H79" s="42"/>
      <c r="I79" s="42"/>
      <c r="J79" s="27"/>
      <c r="K79" s="27"/>
      <c r="T79" s="4"/>
      <c r="U79" s="20"/>
      <c r="V79" s="6"/>
      <c r="W79" s="6"/>
      <c r="Y79" s="6"/>
      <c r="Z79" s="4"/>
      <c r="AA79" s="23"/>
      <c r="AB79" s="48"/>
      <c r="AC79" s="48"/>
      <c r="AD79" s="20"/>
      <c r="AE79" s="19"/>
      <c r="AF79" s="129"/>
      <c r="AG79" s="19"/>
      <c r="AH79" s="4"/>
      <c r="AI79" s="20"/>
      <c r="AJ79" s="6"/>
      <c r="AK79" s="6"/>
      <c r="AL79" s="6"/>
      <c r="AM79" s="6"/>
      <c r="AN79" s="26"/>
      <c r="AO79" s="26"/>
      <c r="AP79" s="4"/>
      <c r="AQ79" s="4"/>
    </row>
    <row r="80" spans="1:43" x14ac:dyDescent="0.3">
      <c r="A80" s="128">
        <v>43403</v>
      </c>
      <c r="B80" s="29">
        <v>77</v>
      </c>
      <c r="C80" s="28"/>
      <c r="D80" s="27"/>
      <c r="E80" s="42"/>
      <c r="F80" s="42"/>
      <c r="G80" s="42"/>
      <c r="H80" s="42"/>
      <c r="I80" s="42"/>
      <c r="J80" s="27"/>
      <c r="K80" s="27"/>
      <c r="T80" s="4"/>
      <c r="U80" s="20"/>
      <c r="V80" s="6"/>
      <c r="W80" s="6"/>
      <c r="Y80" s="6"/>
      <c r="Z80" s="4"/>
      <c r="AA80" s="23"/>
      <c r="AB80" s="48"/>
      <c r="AC80" s="48"/>
      <c r="AD80" s="20"/>
      <c r="AE80" s="19"/>
      <c r="AF80" s="129"/>
      <c r="AG80" s="19"/>
      <c r="AH80" s="4"/>
      <c r="AI80" s="20"/>
      <c r="AJ80" s="6"/>
      <c r="AK80" s="6"/>
      <c r="AL80" s="6"/>
      <c r="AM80" s="6"/>
      <c r="AN80" s="26"/>
      <c r="AO80" s="26"/>
      <c r="AP80" s="4"/>
      <c r="AQ80" s="4"/>
    </row>
    <row r="81" spans="1:43" x14ac:dyDescent="0.3">
      <c r="A81" s="128">
        <v>43404</v>
      </c>
      <c r="B81" s="29">
        <v>78</v>
      </c>
      <c r="C81" s="28">
        <f>Information!$R$54/GSBR[[#This Row],[HRT 
(h)]]*24</f>
        <v>0.10526315789473684</v>
      </c>
      <c r="D81" s="27">
        <v>45.6</v>
      </c>
      <c r="E81" s="42">
        <v>28.1</v>
      </c>
      <c r="F81" s="42">
        <v>7.5</v>
      </c>
      <c r="G81" s="42">
        <v>0.8</v>
      </c>
      <c r="H81" s="42">
        <v>2.8</v>
      </c>
      <c r="I81" s="42">
        <v>11.7</v>
      </c>
      <c r="J81" s="27"/>
      <c r="K81" s="27"/>
      <c r="L81">
        <v>1325</v>
      </c>
      <c r="M81" s="29">
        <f>GSBR[[#This Row],[COD 
(mg L-1)]]*Information!$AK$43</f>
        <v>1060</v>
      </c>
      <c r="N81">
        <v>365</v>
      </c>
      <c r="O81">
        <v>7.5</v>
      </c>
      <c r="P81">
        <v>60</v>
      </c>
      <c r="R81">
        <v>6.48</v>
      </c>
      <c r="S81">
        <v>258.5</v>
      </c>
      <c r="T81" s="4">
        <f>GSBR[[#This Row],[NH4-N 
(mg L-1)]]*1.288</f>
        <v>344.73319999999995</v>
      </c>
      <c r="U81" s="20">
        <f>GSBR[[#This Row],[NO2-N 
(mg L-1)]]*3.284</f>
        <v>2.5680879999999999</v>
      </c>
      <c r="V81" s="6">
        <f>(GSBR[[#This Row],[NO3-N 
(mg L-1)]])*4.426</f>
        <v>1140.6598680000002</v>
      </c>
      <c r="W81" s="6">
        <v>267.64999999999998</v>
      </c>
      <c r="X81">
        <v>0.78200000000000003</v>
      </c>
      <c r="Y81" s="6">
        <f>IF((GSBR[[#This Row],[TON 
(mg L-1)]]-GSBR[[#This Row],[NO2-N 
(mg L-1)]])&lt;0,0.2,(GSBR[[#This Row],[TON 
(mg L-1)]]-GSBR[[#This Row],[NO2-N 
(mg L-1)]]))</f>
        <v>257.71800000000002</v>
      </c>
      <c r="Z81" s="4">
        <f>SUM(GSBR[[#This Row],[NO3-N 
(mg L-1)]],GSBR[[#This Row],[NO2-N 
(mg L-1)]],GSBR[[#This Row],[NH4-N 
(mg L-1)]])</f>
        <v>526.15</v>
      </c>
      <c r="AA81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0.25225664366466011</v>
      </c>
      <c r="AB81" s="48">
        <f>IF(IFERROR(GSBR[[#This Row],[NO2-N 
(mg L-1)]]/GSBR[[#This Row],[NH4-N 
(mg L-1)]],0)&lt;0,0,IFERROR(GSBR[[#This Row],[NO2-N 
(mg L-1)]]/GSBR[[#This Row],[NH4-N 
(mg L-1)]],0))</f>
        <v>2.9217261348776389E-3</v>
      </c>
      <c r="AC81" s="48">
        <f>GSBR[[#This Row],[NO2-N 
(mg L-1)]]/(GSBR[[#This Row],[NO2-N 
(mg L-1)]]+GSBR[[#This Row],[NO3-N 
(mg L-1)]])</f>
        <v>3.0251450676982592E-3</v>
      </c>
      <c r="AD81" s="20">
        <f>46/14*GSBR[[#This Row],[NO2-N 
(mg L-1)]]/(EXP(-2300/(GSBR[[#This Row],[Temp. 
(°C)]]+273))*10^(GSBR[[#This Row],[pHreactor]]))</f>
        <v>1.6875773099686678E-4</v>
      </c>
      <c r="AE81" s="19">
        <f>17/14*(GSBR[[#This Row],[NH4+ (mg L-1)]]*10^GSBR[[#This Row],[pHreactor]])/(EXP(6344/(273+GSBR[[#This Row],[Temp. 
(°C)]]))+10^GSBR[pHreactor])</f>
        <v>9.1593860264337987</v>
      </c>
      <c r="AF81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763.15</v>
      </c>
      <c r="AG81" s="19">
        <f>IFERROR(IF(Influent[[#This Row],[COD (mg L-1)]]-MEDIA[[#This Row],[COD 
(mg L-1)]]&lt;0,0,Influent[[#This Row],[COD (mg L-1)]]-MEDIA[[#This Row],[COD 
(mg L-1)]]),0)</f>
        <v>0</v>
      </c>
      <c r="AH81" s="4">
        <f>IF(IFERROR(Influent[[#This Row],[Alkalinity (mg CaCO3 L-1) ]]-GSBR[[#This Row],[Alkalinity 
(mg CaCO3 L-1) ]],0)&lt;0,0,IFERROR(Influent[[#This Row],[Alkalinity (mg CaCO3 L-1) ]]-GSBR[[#This Row],[Alkalinity 
(mg CaCO3 L-1) ]],0))</f>
        <v>4354</v>
      </c>
      <c r="AI81" s="20">
        <f>Influent[[#This Row],[COD (mg L-1)]]/GSBR[[#This Row],[HRT 
(h)]]*24/1000</f>
        <v>1.2842105263157897</v>
      </c>
      <c r="AJ81" s="6"/>
      <c r="AK81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0.53771052631578964</v>
      </c>
      <c r="AL81" s="6">
        <f>Influent[[#This Row],[TN (mg L-1)]]/GSBR[[#This Row],[HRT 
(h)]]*24/1000</f>
        <v>0.67868421052631589</v>
      </c>
      <c r="AM81" s="6">
        <f>GSBR[[#This Row],[NLR 
(kg N m-3 d-1)]]*GSBR[[#This Row],[NRE 
(%)]]</f>
        <v>0.40176315789473688</v>
      </c>
      <c r="AN81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0.79240673233537584</v>
      </c>
      <c r="AO81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0.59197363319115937</v>
      </c>
      <c r="AP81" s="4"/>
      <c r="AQ81" s="4"/>
    </row>
    <row r="82" spans="1:43" x14ac:dyDescent="0.3">
      <c r="A82" s="128">
        <v>43405</v>
      </c>
      <c r="B82" s="29">
        <v>79</v>
      </c>
      <c r="C82" s="28">
        <f>Information!$R$54/GSBR[[#This Row],[HRT 
(h)]]*24</f>
        <v>0.1090909090909091</v>
      </c>
      <c r="D82" s="27">
        <v>44</v>
      </c>
      <c r="E82" s="42">
        <v>30.4</v>
      </c>
      <c r="F82" s="42">
        <v>7.5</v>
      </c>
      <c r="G82" s="42">
        <v>0.6</v>
      </c>
      <c r="H82" s="42">
        <v>3.1</v>
      </c>
      <c r="I82" s="42">
        <v>8</v>
      </c>
      <c r="J82" s="27"/>
      <c r="K82" s="27"/>
      <c r="L82">
        <v>1355</v>
      </c>
      <c r="M82" s="29">
        <f>GSBR[[#This Row],[COD 
(mg L-1)]]*Information!$AK$43</f>
        <v>1084</v>
      </c>
      <c r="N82">
        <v>379</v>
      </c>
      <c r="O82">
        <v>7.6</v>
      </c>
      <c r="P82">
        <v>30</v>
      </c>
      <c r="R82">
        <v>6.99</v>
      </c>
      <c r="S82">
        <v>257.3</v>
      </c>
      <c r="T82" s="4">
        <f>GSBR[[#This Row],[NH4-N 
(mg L-1)]]*1.288</f>
        <v>354.52199999999999</v>
      </c>
      <c r="U82" s="20">
        <f>GSBR[[#This Row],[NO2-N 
(mg L-1)]]*3.284</f>
        <v>2.604212</v>
      </c>
      <c r="V82" s="6">
        <f>(GSBR[[#This Row],[NO3-N 
(mg L-1)]])*4.426</f>
        <v>1135.299982</v>
      </c>
      <c r="W82" s="6">
        <v>275.25</v>
      </c>
      <c r="X82">
        <v>0.79300000000000004</v>
      </c>
      <c r="Y82" s="6">
        <f>IF((GSBR[[#This Row],[TON 
(mg L-1)]]-GSBR[[#This Row],[NO2-N 
(mg L-1)]])&lt;0,0.2,(GSBR[[#This Row],[TON 
(mg L-1)]]-GSBR[[#This Row],[NO2-N 
(mg L-1)]]))</f>
        <v>256.50700000000001</v>
      </c>
      <c r="Z82" s="4">
        <f>SUM(GSBR[[#This Row],[NO3-N 
(mg L-1)]],GSBR[[#This Row],[NO2-N 
(mg L-1)]],GSBR[[#This Row],[NH4-N 
(mg L-1)]])</f>
        <v>532.54999999999995</v>
      </c>
      <c r="AA82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0.22558791972279388</v>
      </c>
      <c r="AB82" s="48">
        <f>IF(IFERROR(GSBR[[#This Row],[NO2-N 
(mg L-1)]]/GSBR[[#This Row],[NH4-N 
(mg L-1)]],0)&lt;0,0,IFERROR(GSBR[[#This Row],[NO2-N 
(mg L-1)]]/GSBR[[#This Row],[NH4-N 
(mg L-1)]],0))</f>
        <v>2.8810172570390554E-3</v>
      </c>
      <c r="AC82" s="48">
        <f>GSBR[[#This Row],[NO2-N 
(mg L-1)]]/(GSBR[[#This Row],[NO2-N 
(mg L-1)]]+GSBR[[#This Row],[NO3-N 
(mg L-1)]])</f>
        <v>3.0820054411193161E-3</v>
      </c>
      <c r="AD82" s="20">
        <f>46/14*GSBR[[#This Row],[NO2-N 
(mg L-1)]]/(EXP(-2300/(GSBR[[#This Row],[Temp. 
(°C)]]+273))*10^(GSBR[[#This Row],[pHreactor]]))</f>
        <v>1.6150334479060467E-4</v>
      </c>
      <c r="AE82" s="19">
        <f>17/14*(GSBR[[#This Row],[NH4+ (mg L-1)]]*10^GSBR[[#This Row],[pHreactor]])/(EXP(6344/(273+GSBR[[#This Row],[Temp. 
(°C)]]))+10^GSBR[pHreactor])</f>
        <v>11.009059174429366</v>
      </c>
      <c r="AF82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879.75999999999988</v>
      </c>
      <c r="AG82" s="19">
        <f>IFERROR(IF(Influent[[#This Row],[COD (mg L-1)]]-MEDIA[[#This Row],[COD 
(mg L-1)]]&lt;0,0,Influent[[#This Row],[COD (mg L-1)]]-MEDIA[[#This Row],[COD 
(mg L-1)]]),0)</f>
        <v>1785</v>
      </c>
      <c r="AH82" s="4">
        <f>IF(IFERROR(Influent[[#This Row],[Alkalinity (mg CaCO3 L-1) ]]-GSBR[[#This Row],[Alkalinity 
(mg CaCO3 L-1) ]],0)&lt;0,0,IFERROR(Influent[[#This Row],[Alkalinity (mg CaCO3 L-1) ]]-GSBR[[#This Row],[Alkalinity 
(mg CaCO3 L-1) ]],0))</f>
        <v>4514</v>
      </c>
      <c r="AI82" s="20">
        <f>Influent[[#This Row],[COD (mg L-1)]]/GSBR[[#This Row],[HRT 
(h)]]*24/1000</f>
        <v>1.6090909090909089</v>
      </c>
      <c r="AJ82" s="6">
        <f>IFERROR(IF(((GSBR[[#This Row],[ΔC (mg L-1)]])/GSBR[[#This Row],[HRT 
(h)]]*24/1000) &lt;0,0, (GSBR[[#This Row],[ΔC (mg L-1)]])/GSBR[[#This Row],[HRT 
(h)]]*24/1000),0)</f>
        <v>0.97363636363636374</v>
      </c>
      <c r="AK82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0.62021454545454535</v>
      </c>
      <c r="AL82" s="6">
        <f>Influent[[#This Row],[TN (mg L-1)]]/GSBR[[#This Row],[HRT 
(h)]]*24/1000</f>
        <v>0.77046000000000003</v>
      </c>
      <c r="AM82" s="6">
        <f>GSBR[[#This Row],[NLR 
(kg N m-3 d-1)]]*GSBR[[#This Row],[NRE 
(%)]]</f>
        <v>0.4799781818181818</v>
      </c>
      <c r="AN82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0.80510652760371304</v>
      </c>
      <c r="AO82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0.62297612052304052</v>
      </c>
      <c r="AP82" s="4"/>
      <c r="AQ82" s="4"/>
    </row>
    <row r="83" spans="1:43" x14ac:dyDescent="0.3">
      <c r="A83" s="128">
        <v>43406</v>
      </c>
      <c r="B83" s="29">
        <v>80</v>
      </c>
      <c r="C83" s="28">
        <f>Information!$R$54/GSBR[[#This Row],[HRT 
(h)]]*24</f>
        <v>9.9173553719008267E-2</v>
      </c>
      <c r="D83" s="27">
        <v>48.4</v>
      </c>
      <c r="E83" s="42">
        <v>28.9</v>
      </c>
      <c r="F83" s="42">
        <v>7.5</v>
      </c>
      <c r="G83" s="42">
        <v>0.6</v>
      </c>
      <c r="H83" s="42">
        <v>2.9</v>
      </c>
      <c r="I83" s="42">
        <v>12.6</v>
      </c>
      <c r="J83" s="27"/>
      <c r="K83" s="27"/>
      <c r="L83">
        <v>1370</v>
      </c>
      <c r="M83" s="29">
        <f>GSBR[[#This Row],[COD 
(mg L-1)]]*Information!$AK$43</f>
        <v>1096</v>
      </c>
      <c r="N83">
        <v>377</v>
      </c>
      <c r="O83">
        <v>7.6</v>
      </c>
      <c r="P83">
        <v>30</v>
      </c>
      <c r="R83">
        <v>7.07</v>
      </c>
      <c r="S83">
        <v>247</v>
      </c>
      <c r="T83" s="4">
        <f>GSBR[[#This Row],[NH4-N 
(mg L-1)]]*1.288</f>
        <v>347.05160000000001</v>
      </c>
      <c r="U83" s="20">
        <f>GSBR[[#This Row],[NO2-N 
(mg L-1)]]*3.284</f>
        <v>2.7487079999999997</v>
      </c>
      <c r="V83" s="6">
        <f>(GSBR[[#This Row],[NO3-N 
(mg L-1)]])*4.426</f>
        <v>1089.5174380000001</v>
      </c>
      <c r="W83" s="6">
        <v>269.45</v>
      </c>
      <c r="X83">
        <v>0.83699999999999997</v>
      </c>
      <c r="Y83" s="6">
        <f>IF((GSBR[[#This Row],[TON 
(mg L-1)]]-GSBR[[#This Row],[NO2-N 
(mg L-1)]])&lt;0,0.2,(GSBR[[#This Row],[TON 
(mg L-1)]]-GSBR[[#This Row],[NO2-N 
(mg L-1)]]))</f>
        <v>246.16300000000001</v>
      </c>
      <c r="Z83" s="4">
        <f>SUM(GSBR[[#This Row],[NO3-N 
(mg L-1)]],GSBR[[#This Row],[NO2-N 
(mg L-1)]],GSBR[[#This Row],[NH4-N 
(mg L-1)]])</f>
        <v>516.45000000000005</v>
      </c>
      <c r="AA83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0.20981291284892395</v>
      </c>
      <c r="AB83" s="48">
        <f>IF(IFERROR(GSBR[[#This Row],[NO2-N 
(mg L-1)]]/GSBR[[#This Row],[NH4-N 
(mg L-1)]],0)&lt;0,0,IFERROR(GSBR[[#This Row],[NO2-N 
(mg L-1)]]/GSBR[[#This Row],[NH4-N 
(mg L-1)]],0))</f>
        <v>3.1063277045834106E-3</v>
      </c>
      <c r="AC83" s="48">
        <f>GSBR[[#This Row],[NO2-N 
(mg L-1)]]/(GSBR[[#This Row],[NO2-N 
(mg L-1)]]+GSBR[[#This Row],[NO3-N 
(mg L-1)]])</f>
        <v>3.3886639676113358E-3</v>
      </c>
      <c r="AD83" s="20">
        <f>46/14*GSBR[[#This Row],[NO2-N 
(mg L-1)]]/(EXP(-2300/(GSBR[[#This Row],[Temp. 
(°C)]]+273))*10^(GSBR[[#This Row],[pHreactor]]))</f>
        <v>1.7700746612116594E-4</v>
      </c>
      <c r="AE83" s="19">
        <f>17/14*(GSBR[[#This Row],[NH4+ (mg L-1)]]*10^GSBR[[#This Row],[pHreactor]])/(EXP(6344/(273+GSBR[[#This Row],[Temp. 
(°C)]]))+10^GSBR[pHreactor])</f>
        <v>9.7382140890220992</v>
      </c>
      <c r="AF83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926.25</v>
      </c>
      <c r="AG83" s="19">
        <f>IFERROR(IF(Influent[[#This Row],[COD (mg L-1)]]-MEDIA[[#This Row],[COD 
(mg L-1)]]&lt;0,0,Influent[[#This Row],[COD (mg L-1)]]-MEDIA[[#This Row],[COD 
(mg L-1)]]),0)</f>
        <v>1665</v>
      </c>
      <c r="AH83" s="4">
        <f>IF(IFERROR(Influent[[#This Row],[Alkalinity (mg CaCO3 L-1) ]]-GSBR[[#This Row],[Alkalinity 
(mg CaCO3 L-1) ]],0)&lt;0,0,IFERROR(Influent[[#This Row],[Alkalinity (mg CaCO3 L-1) ]]-GSBR[[#This Row],[Alkalinity 
(mg CaCO3 L-1) ]],0))</f>
        <v>4476</v>
      </c>
      <c r="AI83" s="20">
        <f>Influent[[#This Row],[COD (mg L-1)]]/GSBR[[#This Row],[HRT 
(h)]]*24/1000</f>
        <v>1.4652892561983473</v>
      </c>
      <c r="AJ83" s="6">
        <f>IFERROR(IF(((GSBR[[#This Row],[ΔC (mg L-1)]])/GSBR[[#This Row],[HRT 
(h)]]*24/1000) &lt;0,0, (GSBR[[#This Row],[ΔC (mg L-1)]])/GSBR[[#This Row],[HRT 
(h)]]*24/1000),0)</f>
        <v>0.82561983471074385</v>
      </c>
      <c r="AK83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0.58177685950413227</v>
      </c>
      <c r="AL83" s="6">
        <f>Influent[[#This Row],[TN (mg L-1)]]/GSBR[[#This Row],[HRT 
(h)]]*24/1000</f>
        <v>0.7154876033057852</v>
      </c>
      <c r="AM83" s="6">
        <f>GSBR[[#This Row],[NLR 
(kg N m-3 d-1)]]*GSBR[[#This Row],[NRE 
(%)]]</f>
        <v>0.45939669421487611</v>
      </c>
      <c r="AN83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0.81323213419283291</v>
      </c>
      <c r="AO83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0.64207498787164741</v>
      </c>
      <c r="AP83" s="4"/>
      <c r="AQ83" s="4"/>
    </row>
    <row r="84" spans="1:43" x14ac:dyDescent="0.3">
      <c r="A84" s="128">
        <v>43407</v>
      </c>
      <c r="B84" s="29">
        <v>81</v>
      </c>
      <c r="C84" s="28">
        <f>Information!$R$54/GSBR[[#This Row],[HRT 
(h)]]*24</f>
        <v>9.9378881987577647E-2</v>
      </c>
      <c r="D84" s="27">
        <v>48.3</v>
      </c>
      <c r="E84" s="42">
        <v>29.2</v>
      </c>
      <c r="F84" s="42">
        <v>7.5</v>
      </c>
      <c r="G84" s="42">
        <v>0.5</v>
      </c>
      <c r="H84" s="42">
        <v>2.5</v>
      </c>
      <c r="I84" s="42">
        <v>11.7</v>
      </c>
      <c r="J84" s="27"/>
      <c r="K84" s="27"/>
      <c r="L84">
        <v>1380</v>
      </c>
      <c r="M84" s="29">
        <f>GSBR[[#This Row],[COD 
(mg L-1)]]*Information!$AK$43</f>
        <v>1104</v>
      </c>
      <c r="N84">
        <v>373</v>
      </c>
      <c r="O84">
        <v>7.6</v>
      </c>
      <c r="P84">
        <v>39</v>
      </c>
      <c r="R84">
        <v>7.14</v>
      </c>
      <c r="S84">
        <v>234.9</v>
      </c>
      <c r="T84" s="4">
        <f>GSBR[[#This Row],[NH4-N 
(mg L-1)]]*1.288</f>
        <v>340.56008000000003</v>
      </c>
      <c r="U84" s="20">
        <f>GSBR[[#This Row],[NO2-N 
(mg L-1)]]*3.284</f>
        <v>2.945748</v>
      </c>
      <c r="V84" s="6">
        <f>(GSBR[[#This Row],[NO3-N 
(mg L-1)]])*4.426</f>
        <v>1035.6972780000001</v>
      </c>
      <c r="W84" s="6">
        <v>264.41000000000003</v>
      </c>
      <c r="X84">
        <v>0.89700000000000002</v>
      </c>
      <c r="Y84" s="6">
        <f>IF((GSBR[[#This Row],[TON 
(mg L-1)]]-GSBR[[#This Row],[NO2-N 
(mg L-1)]])&lt;0,0.2,(GSBR[[#This Row],[TON 
(mg L-1)]]-GSBR[[#This Row],[NO2-N 
(mg L-1)]]))</f>
        <v>234.00300000000001</v>
      </c>
      <c r="Z84" s="4">
        <f>SUM(GSBR[[#This Row],[NO3-N 
(mg L-1)]],GSBR[[#This Row],[NO2-N 
(mg L-1)]],GSBR[[#This Row],[NH4-N 
(mg L-1)]])</f>
        <v>499.31000000000006</v>
      </c>
      <c r="AA84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0.20478257445151357</v>
      </c>
      <c r="AB84" s="48">
        <f>IF(IFERROR(GSBR[[#This Row],[NO2-N 
(mg L-1)]]/GSBR[[#This Row],[NH4-N 
(mg L-1)]],0)&lt;0,0,IFERROR(GSBR[[#This Row],[NO2-N 
(mg L-1)]]/GSBR[[#This Row],[NH4-N 
(mg L-1)]],0))</f>
        <v>3.3924586815929805E-3</v>
      </c>
      <c r="AC84" s="48">
        <f>GSBR[[#This Row],[NO2-N 
(mg L-1)]]/(GSBR[[#This Row],[NO2-N 
(mg L-1)]]+GSBR[[#This Row],[NO3-N 
(mg L-1)]])</f>
        <v>3.8186462324393358E-3</v>
      </c>
      <c r="AD84" s="20">
        <f>46/14*GSBR[[#This Row],[NO2-N 
(mg L-1)]]/(EXP(-2300/(GSBR[[#This Row],[Temp. 
(°C)]]+273))*10^(GSBR[[#This Row],[pHreactor]]))</f>
        <v>1.8826692123990224E-4</v>
      </c>
      <c r="AE84" s="19">
        <f>17/14*(GSBR[[#This Row],[NH4+ (mg L-1)]]*10^GSBR[[#This Row],[pHreactor]])/(EXP(6344/(273+GSBR[[#This Row],[Temp. 
(°C)]]))+10^GSBR[pHreactor])</f>
        <v>9.7527513619856787</v>
      </c>
      <c r="AF84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907.79</v>
      </c>
      <c r="AG84" s="19">
        <f>IFERROR(IF(Influent[[#This Row],[COD (mg L-1)]]-MEDIA[[#This Row],[COD 
(mg L-1)]]&lt;0,0,Influent[[#This Row],[COD (mg L-1)]]-MEDIA[[#This Row],[COD 
(mg L-1)]]),0)</f>
        <v>1515</v>
      </c>
      <c r="AH84" s="4">
        <f>IF(IFERROR(Influent[[#This Row],[Alkalinity (mg CaCO3 L-1) ]]-GSBR[[#This Row],[Alkalinity 
(mg CaCO3 L-1) ]],0)&lt;0,0,IFERROR(Influent[[#This Row],[Alkalinity (mg CaCO3 L-1) ]]-GSBR[[#This Row],[Alkalinity 
(mg CaCO3 L-1) ]],0))</f>
        <v>4502</v>
      </c>
      <c r="AI84" s="20">
        <f>Influent[[#This Row],[COD (mg L-1)]]/GSBR[[#This Row],[HRT 
(h)]]*24/1000</f>
        <v>1.493167701863354</v>
      </c>
      <c r="AJ84" s="6">
        <f>IFERROR(IF(((GSBR[[#This Row],[ΔC (mg L-1)]])/GSBR[[#This Row],[HRT 
(h)]]*24/1000) &lt;0,0, (GSBR[[#This Row],[ΔC (mg L-1)]])/GSBR[[#This Row],[HRT 
(h)]]*24/1000),0)</f>
        <v>0.75279503105590073</v>
      </c>
      <c r="AK84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0.56779627329192539</v>
      </c>
      <c r="AL84" s="6">
        <f>Influent[[#This Row],[TN (mg L-1)]]/GSBR[[#This Row],[HRT 
(h)]]*24/1000</f>
        <v>0.69927950310559006</v>
      </c>
      <c r="AM84" s="6">
        <f>GSBR[[#This Row],[NLR 
(kg N m-3 d-1)]]*GSBR[[#This Row],[NRE 
(%)]]</f>
        <v>0.45117515527950308</v>
      </c>
      <c r="AN84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0.81208869305664122</v>
      </c>
      <c r="AO84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0.64520002842322177</v>
      </c>
      <c r="AP84" s="4"/>
      <c r="AQ84" s="4"/>
    </row>
    <row r="85" spans="1:43" x14ac:dyDescent="0.3">
      <c r="A85" s="128">
        <v>43408</v>
      </c>
      <c r="B85" s="29">
        <v>82</v>
      </c>
      <c r="C85" s="28"/>
      <c r="D85" s="27"/>
      <c r="E85" s="42"/>
      <c r="F85" s="42"/>
      <c r="G85" s="42"/>
      <c r="H85" s="42"/>
      <c r="I85" s="42"/>
      <c r="J85" s="27"/>
      <c r="K85" s="27"/>
      <c r="T85" s="4"/>
      <c r="U85" s="20"/>
      <c r="V85" s="6"/>
      <c r="W85" s="6"/>
      <c r="Y85" s="6"/>
      <c r="Z85" s="4"/>
      <c r="AA85" s="23"/>
      <c r="AB85" s="48"/>
      <c r="AC85" s="48"/>
      <c r="AD85" s="20"/>
      <c r="AE85" s="19"/>
      <c r="AF85" s="129"/>
      <c r="AG85" s="19"/>
      <c r="AH85" s="4"/>
      <c r="AI85" s="20"/>
      <c r="AJ85" s="6"/>
      <c r="AK85" s="6"/>
      <c r="AL85" s="6"/>
      <c r="AM85" s="6"/>
      <c r="AN85" s="26"/>
      <c r="AO85" s="26"/>
      <c r="AP85" s="4"/>
      <c r="AQ85" s="4"/>
    </row>
    <row r="86" spans="1:43" x14ac:dyDescent="0.3">
      <c r="A86" s="128">
        <v>43409</v>
      </c>
      <c r="B86" s="29">
        <v>83</v>
      </c>
      <c r="C86" s="28"/>
      <c r="D86" s="27"/>
      <c r="E86" s="42"/>
      <c r="F86" s="42"/>
      <c r="G86" s="42"/>
      <c r="H86" s="42"/>
      <c r="I86" s="42"/>
      <c r="J86" s="27"/>
      <c r="K86" s="27"/>
      <c r="T86" s="4"/>
      <c r="U86" s="20"/>
      <c r="V86" s="6"/>
      <c r="W86" s="6"/>
      <c r="Y86" s="6"/>
      <c r="Z86" s="4"/>
      <c r="AA86" s="23"/>
      <c r="AB86" s="48"/>
      <c r="AC86" s="48"/>
      <c r="AD86" s="20"/>
      <c r="AE86" s="19"/>
      <c r="AF86" s="129"/>
      <c r="AG86" s="19"/>
      <c r="AH86" s="4"/>
      <c r="AI86" s="20"/>
      <c r="AJ86" s="6"/>
      <c r="AK86" s="6"/>
      <c r="AL86" s="6"/>
      <c r="AM86" s="6"/>
      <c r="AN86" s="26"/>
      <c r="AO86" s="26"/>
      <c r="AP86" s="4"/>
      <c r="AQ86" s="4"/>
    </row>
    <row r="87" spans="1:43" x14ac:dyDescent="0.3">
      <c r="A87" s="128">
        <v>43410</v>
      </c>
      <c r="B87" s="29">
        <v>84</v>
      </c>
      <c r="C87" s="28"/>
      <c r="D87" s="27"/>
      <c r="E87" s="42"/>
      <c r="F87" s="42"/>
      <c r="G87" s="42"/>
      <c r="H87" s="42"/>
      <c r="I87" s="42"/>
      <c r="J87" s="27"/>
      <c r="K87" s="27"/>
      <c r="T87" s="4"/>
      <c r="U87" s="20"/>
      <c r="V87" s="6"/>
      <c r="W87" s="6"/>
      <c r="Y87" s="6"/>
      <c r="Z87" s="4"/>
      <c r="AA87" s="23"/>
      <c r="AB87" s="48"/>
      <c r="AC87" s="48"/>
      <c r="AD87" s="20"/>
      <c r="AE87" s="19"/>
      <c r="AF87" s="129"/>
      <c r="AG87" s="19"/>
      <c r="AH87" s="4"/>
      <c r="AI87" s="20"/>
      <c r="AJ87" s="6"/>
      <c r="AK87" s="6"/>
      <c r="AL87" s="6"/>
      <c r="AM87" s="6"/>
      <c r="AN87" s="26"/>
      <c r="AO87" s="26"/>
      <c r="AP87" s="4"/>
      <c r="AQ87" s="4"/>
    </row>
    <row r="88" spans="1:43" x14ac:dyDescent="0.3">
      <c r="A88" s="128">
        <v>43411</v>
      </c>
      <c r="B88" s="29">
        <v>85</v>
      </c>
      <c r="C88" s="28"/>
      <c r="D88" s="27"/>
      <c r="E88" s="42"/>
      <c r="F88" s="42"/>
      <c r="G88" s="42"/>
      <c r="H88" s="42"/>
      <c r="I88" s="42"/>
      <c r="J88" s="27"/>
      <c r="K88" s="27"/>
      <c r="T88" s="4"/>
      <c r="U88" s="20"/>
      <c r="V88" s="6"/>
      <c r="W88" s="6"/>
      <c r="Y88" s="6"/>
      <c r="Z88" s="4"/>
      <c r="AA88" s="23"/>
      <c r="AB88" s="48"/>
      <c r="AC88" s="48"/>
      <c r="AD88" s="20"/>
      <c r="AE88" s="19"/>
      <c r="AF88" s="129"/>
      <c r="AG88" s="19"/>
      <c r="AH88" s="4"/>
      <c r="AI88" s="20"/>
      <c r="AJ88" s="6"/>
      <c r="AK88" s="6"/>
      <c r="AL88" s="6"/>
      <c r="AM88" s="6"/>
      <c r="AN88" s="26"/>
      <c r="AO88" s="26"/>
      <c r="AP88" s="4"/>
      <c r="AQ88" s="4"/>
    </row>
    <row r="89" spans="1:43" x14ac:dyDescent="0.3">
      <c r="A89" s="128">
        <v>43412</v>
      </c>
      <c r="B89" s="29">
        <v>86</v>
      </c>
      <c r="C89" s="28">
        <f>Information!$R$54/GSBR[[#This Row],[HRT 
(h)]]*24</f>
        <v>0.15047021943573669</v>
      </c>
      <c r="D89" s="27">
        <v>31.9</v>
      </c>
      <c r="E89" s="42">
        <v>33.299999999999997</v>
      </c>
      <c r="F89" s="42">
        <v>7.5</v>
      </c>
      <c r="G89" s="42">
        <v>0.8</v>
      </c>
      <c r="H89" s="42">
        <v>1.6</v>
      </c>
      <c r="I89" s="42">
        <v>34.5</v>
      </c>
      <c r="J89" s="27"/>
      <c r="K89" s="27"/>
      <c r="L89">
        <v>1310</v>
      </c>
      <c r="M89" s="29">
        <f>GSBR[[#This Row],[COD 
(mg L-1)]]*Information!$AK$43</f>
        <v>1048</v>
      </c>
      <c r="N89">
        <v>401</v>
      </c>
      <c r="O89">
        <v>7.5</v>
      </c>
      <c r="R89">
        <v>7.48</v>
      </c>
      <c r="S89">
        <v>31</v>
      </c>
      <c r="T89" s="4">
        <f>GSBR[[#This Row],[NH4-N 
(mg L-1)]]*1.288</f>
        <v>138.67896000000002</v>
      </c>
      <c r="U89" s="20">
        <f>GSBR[[#This Row],[NO2-N 
(mg L-1)]]*3.284</f>
        <v>14.177028</v>
      </c>
      <c r="V89" s="6">
        <f>(GSBR[[#This Row],[NO3-N 
(mg L-1)]])*4.426</f>
        <v>118.09895800000001</v>
      </c>
      <c r="W89" s="6">
        <v>107.67</v>
      </c>
      <c r="X89">
        <v>4.3170000000000002</v>
      </c>
      <c r="Y89" s="6">
        <f>IF((GSBR[[#This Row],[TON 
(mg L-1)]]-GSBR[[#This Row],[NO2-N 
(mg L-1)]])&lt;0,0.2,(GSBR[[#This Row],[TON 
(mg L-1)]]-GSBR[[#This Row],[NO2-N 
(mg L-1)]]))</f>
        <v>26.683</v>
      </c>
      <c r="Z89" s="4">
        <f>SUM(GSBR[[#This Row],[NO3-N 
(mg L-1)]],GSBR[[#This Row],[NO2-N 
(mg L-1)]],GSBR[[#This Row],[NH4-N 
(mg L-1)]])</f>
        <v>138.67000000000002</v>
      </c>
      <c r="AA89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2.5448008163810286E-2</v>
      </c>
      <c r="AB89" s="48">
        <f>IF(IFERROR(GSBR[[#This Row],[NO2-N 
(mg L-1)]]/GSBR[[#This Row],[NH4-N 
(mg L-1)]],0)&lt;0,0,IFERROR(GSBR[[#This Row],[NO2-N 
(mg L-1)]]/GSBR[[#This Row],[NH4-N 
(mg L-1)]],0))</f>
        <v>4.0094733909166902E-2</v>
      </c>
      <c r="AC89" s="48">
        <f>GSBR[[#This Row],[NO2-N 
(mg L-1)]]/(GSBR[[#This Row],[NO2-N 
(mg L-1)]]+GSBR[[#This Row],[NO3-N 
(mg L-1)]])</f>
        <v>0.13925806451612904</v>
      </c>
      <c r="AD89" s="20">
        <f>46/14*GSBR[[#This Row],[NO2-N 
(mg L-1)]]/(EXP(-2300/(GSBR[[#This Row],[Temp. 
(°C)]]+273))*10^(GSBR[[#This Row],[pHreactor]]))</f>
        <v>8.183132994821899E-4</v>
      </c>
      <c r="AE89" s="19">
        <f>17/14*(GSBR[[#This Row],[NH4+ (mg L-1)]]*10^GSBR[[#This Row],[pHreactor]])/(EXP(6344/(273+GSBR[[#This Row],[Temp. 
(°C)]]))+10^GSBR[pHreactor])</f>
        <v>5.2199944239962734</v>
      </c>
      <c r="AF89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1017.53</v>
      </c>
      <c r="AG89" s="19">
        <f>IFERROR(IF(Influent[[#This Row],[COD (mg L-1)]]-MEDIA[[#This Row],[COD 
(mg L-1)]]&lt;0,0,Influent[[#This Row],[COD (mg L-1)]]-MEDIA[[#This Row],[COD 
(mg L-1)]]),0)</f>
        <v>0</v>
      </c>
      <c r="AH89" s="4">
        <f>IF(IFERROR(Influent[[#This Row],[Alkalinity (mg CaCO3 L-1) ]]-GSBR[[#This Row],[Alkalinity 
(mg CaCO3 L-1) ]],0)&lt;0,0,IFERROR(Influent[[#This Row],[Alkalinity (mg CaCO3 L-1) ]]-GSBR[[#This Row],[Alkalinity 
(mg CaCO3 L-1) ]],0))</f>
        <v>4008</v>
      </c>
      <c r="AI89" s="20">
        <f>Influent[[#This Row],[COD (mg L-1)]]/GSBR[[#This Row],[HRT 
(h)]]*24/1000</f>
        <v>1.5912225705329155</v>
      </c>
      <c r="AJ89" s="6"/>
      <c r="AK89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0.78886269592476488</v>
      </c>
      <c r="AL89" s="6">
        <f>Influent[[#This Row],[TN (mg L-1)]]/GSBR[[#This Row],[HRT 
(h)]]*24/1000</f>
        <v>0.87129780564263326</v>
      </c>
      <c r="AM89" s="6">
        <f>GSBR[[#This Row],[NLR 
(kg N m-3 d-1)]]*GSBR[[#This Row],[NRE 
(%)]]</f>
        <v>0.76696927899686518</v>
      </c>
      <c r="AN89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0.90687597301504919</v>
      </c>
      <c r="AO89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0.8802607719540626</v>
      </c>
      <c r="AP89" s="4"/>
      <c r="AQ89" s="4"/>
    </row>
    <row r="90" spans="1:43" x14ac:dyDescent="0.3">
      <c r="A90" s="128">
        <v>43413</v>
      </c>
      <c r="B90" s="29">
        <v>87</v>
      </c>
      <c r="C90" s="28">
        <f>Information!$R$54/GSBR[[#This Row],[HRT 
(h)]]*24</f>
        <v>0.16326530612244899</v>
      </c>
      <c r="D90" s="27">
        <v>29.4</v>
      </c>
      <c r="E90" s="42">
        <v>32.9</v>
      </c>
      <c r="F90" s="42">
        <v>7.5</v>
      </c>
      <c r="G90" s="42">
        <v>0.9</v>
      </c>
      <c r="H90" s="42">
        <v>1.8</v>
      </c>
      <c r="I90" s="42">
        <v>99.9</v>
      </c>
      <c r="J90" s="27"/>
      <c r="K90" s="27"/>
      <c r="L90">
        <v>1390</v>
      </c>
      <c r="M90" s="29">
        <f>GSBR[[#This Row],[COD 
(mg L-1)]]*Information!$AK$43</f>
        <v>1112</v>
      </c>
      <c r="N90">
        <v>472</v>
      </c>
      <c r="O90">
        <v>7.5</v>
      </c>
      <c r="R90">
        <v>8.1300000000000008</v>
      </c>
      <c r="S90">
        <v>32.4</v>
      </c>
      <c r="T90" s="4">
        <f>GSBR[[#This Row],[NH4-N 
(mg L-1)]]*1.288</f>
        <v>168.3416</v>
      </c>
      <c r="U90" s="20">
        <f>GSBR[[#This Row],[NO2-N 
(mg L-1)]]*3.284</f>
        <v>16.945439999999998</v>
      </c>
      <c r="V90" s="6">
        <f>(GSBR[[#This Row],[NO3-N 
(mg L-1)]])*4.426</f>
        <v>120.56424</v>
      </c>
      <c r="W90" s="6">
        <v>130.69999999999999</v>
      </c>
      <c r="X90">
        <v>5.16</v>
      </c>
      <c r="Y90" s="6">
        <f>IF((GSBR[[#This Row],[TON 
(mg L-1)]]-GSBR[[#This Row],[NO2-N 
(mg L-1)]])&lt;0,0.2,(GSBR[[#This Row],[TON 
(mg L-1)]]-GSBR[[#This Row],[NO2-N 
(mg L-1)]]))</f>
        <v>27.24</v>
      </c>
      <c r="Z90" s="4">
        <f>SUM(GSBR[[#This Row],[NO3-N 
(mg L-1)]],GSBR[[#This Row],[NO2-N 
(mg L-1)]],GSBR[[#This Row],[NH4-N 
(mg L-1)]])</f>
        <v>163.1</v>
      </c>
      <c r="AA90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2.3511134127395132E-2</v>
      </c>
      <c r="AB90" s="48">
        <f>IF(IFERROR(GSBR[[#This Row],[NO2-N 
(mg L-1)]]/GSBR[[#This Row],[NH4-N 
(mg L-1)]],0)&lt;0,0,IFERROR(GSBR[[#This Row],[NO2-N 
(mg L-1)]]/GSBR[[#This Row],[NH4-N 
(mg L-1)]],0))</f>
        <v>3.9479724560061213E-2</v>
      </c>
      <c r="AC90" s="48">
        <f>GSBR[[#This Row],[NO2-N 
(mg L-1)]]/(GSBR[[#This Row],[NO2-N 
(mg L-1)]]+GSBR[[#This Row],[NO3-N 
(mg L-1)]])</f>
        <v>0.15925925925925927</v>
      </c>
      <c r="AD90" s="20">
        <f>46/14*GSBR[[#This Row],[NO2-N 
(mg L-1)]]/(EXP(-2300/(GSBR[[#This Row],[Temp. 
(°C)]]+273))*10^(GSBR[[#This Row],[pHreactor]]))</f>
        <v>9.8776024308574279E-4</v>
      </c>
      <c r="AE90" s="19">
        <f>17/14*(GSBR[[#This Row],[NH4+ (mg L-1)]]*10^GSBR[[#This Row],[pHreactor]])/(EXP(6344/(273+GSBR[[#This Row],[Temp. 
(°C)]]))+10^GSBR[pHreactor])</f>
        <v>6.172324875992512</v>
      </c>
      <c r="AF90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1126.2</v>
      </c>
      <c r="AG90" s="19">
        <f>IFERROR(IF(Influent[[#This Row],[COD (mg L-1)]]-MEDIA[[#This Row],[COD 
(mg L-1)]]&lt;0,0,Influent[[#This Row],[COD (mg L-1)]]-MEDIA[[#This Row],[COD 
(mg L-1)]]),0)</f>
        <v>0</v>
      </c>
      <c r="AH90" s="4">
        <f>IF(IFERROR(Influent[[#This Row],[Alkalinity (mg CaCO3 L-1) ]]-GSBR[[#This Row],[Alkalinity 
(mg CaCO3 L-1) ]],0)&lt;0,0,IFERROR(Influent[[#This Row],[Alkalinity (mg CaCO3 L-1) ]]-GSBR[[#This Row],[Alkalinity 
(mg CaCO3 L-1) ]],0))</f>
        <v>3827</v>
      </c>
      <c r="AI90" s="20">
        <f>Influent[[#This Row],[COD (mg L-1)]]/GSBR[[#This Row],[HRT 
(h)]]*24/1000</f>
        <v>1.759183673469388</v>
      </c>
      <c r="AJ90" s="6"/>
      <c r="AK90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0.945795918367347</v>
      </c>
      <c r="AL90" s="6">
        <f>Influent[[#This Row],[TN (mg L-1)]]/GSBR[[#This Row],[HRT 
(h)]]*24/1000</f>
        <v>1.0853061224489795</v>
      </c>
      <c r="AM90" s="6">
        <f>GSBR[[#This Row],[NLR 
(kg N m-3 d-1)]]*GSBR[[#This Row],[NRE 
(%)]]</f>
        <v>0.9521632653061225</v>
      </c>
      <c r="AN90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0.89862716202590553</v>
      </c>
      <c r="AO90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0.87732230161714941</v>
      </c>
      <c r="AP90" s="4"/>
      <c r="AQ90" s="4"/>
    </row>
    <row r="91" spans="1:43" x14ac:dyDescent="0.3">
      <c r="A91" s="128">
        <v>43414</v>
      </c>
      <c r="B91" s="29">
        <v>88</v>
      </c>
      <c r="C91" s="28">
        <f>Information!$R$54/GSBR[[#This Row],[HRT 
(h)]]*24</f>
        <v>0.11162790697674418</v>
      </c>
      <c r="D91" s="27">
        <v>43</v>
      </c>
      <c r="E91" s="42">
        <v>28.1</v>
      </c>
      <c r="F91" s="42">
        <v>7.5</v>
      </c>
      <c r="G91" s="42">
        <v>1.1000000000000001</v>
      </c>
      <c r="H91" s="42">
        <v>1.8</v>
      </c>
      <c r="I91" s="42">
        <v>159.30000000000001</v>
      </c>
      <c r="J91" s="27"/>
      <c r="K91" s="27"/>
      <c r="L91">
        <v>1325</v>
      </c>
      <c r="M91" s="29">
        <f>GSBR[[#This Row],[COD 
(mg L-1)]]*Information!$AK$43</f>
        <v>1060</v>
      </c>
      <c r="N91">
        <v>299</v>
      </c>
      <c r="O91">
        <v>7.5</v>
      </c>
      <c r="R91">
        <v>8.7799999999999994</v>
      </c>
      <c r="S91">
        <v>38.799999999999997</v>
      </c>
      <c r="T91" s="4">
        <f>GSBR[[#This Row],[NH4-N 
(mg L-1)]]*1.288</f>
        <v>146.87064000000001</v>
      </c>
      <c r="U91" s="20">
        <f>GSBR[[#This Row],[NO2-N 
(mg L-1)]]*3.284</f>
        <v>22.974864</v>
      </c>
      <c r="V91" s="6">
        <f>(GSBR[[#This Row],[NO3-N 
(mg L-1)]])*4.426</f>
        <v>140.76450399999999</v>
      </c>
      <c r="W91" s="6">
        <v>114.03</v>
      </c>
      <c r="X91">
        <v>6.9960000000000004</v>
      </c>
      <c r="Y91" s="6">
        <f>IF((GSBR[[#This Row],[TON 
(mg L-1)]]-GSBR[[#This Row],[NO2-N 
(mg L-1)]])&lt;0,0.2,(GSBR[[#This Row],[TON 
(mg L-1)]]-GSBR[[#This Row],[NO2-N 
(mg L-1)]]))</f>
        <v>31.803999999999995</v>
      </c>
      <c r="Z91" s="4">
        <f>SUM(GSBR[[#This Row],[NO3-N 
(mg L-1)]],GSBR[[#This Row],[NO2-N 
(mg L-1)]],GSBR[[#This Row],[NH4-N 
(mg L-1)]])</f>
        <v>152.82999999999998</v>
      </c>
      <c r="AA91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2.7302617459458989E-2</v>
      </c>
      <c r="AB91" s="48">
        <f>IF(IFERROR(GSBR[[#This Row],[NO2-N 
(mg L-1)]]/GSBR[[#This Row],[NH4-N 
(mg L-1)]],0)&lt;0,0,IFERROR(GSBR[[#This Row],[NO2-N 
(mg L-1)]]/GSBR[[#This Row],[NH4-N 
(mg L-1)]],0))</f>
        <v>6.1352275716916607E-2</v>
      </c>
      <c r="AC91" s="48">
        <f>GSBR[[#This Row],[NO2-N 
(mg L-1)]]/(GSBR[[#This Row],[NO2-N 
(mg L-1)]]+GSBR[[#This Row],[NO3-N 
(mg L-1)]])</f>
        <v>0.1803092783505155</v>
      </c>
      <c r="AD91" s="20">
        <f>46/14*GSBR[[#This Row],[NO2-N 
(mg L-1)]]/(EXP(-2300/(GSBR[[#This Row],[Temp. 
(°C)]]+273))*10^(GSBR[[#This Row],[pHreactor]]))</f>
        <v>1.5097558645192841E-3</v>
      </c>
      <c r="AE91" s="19">
        <f>17/14*(GSBR[[#This Row],[NH4+ (mg L-1)]]*10^GSBR[[#This Row],[pHreactor]])/(EXP(6344/(273+GSBR[[#This Row],[Temp. 
(°C)]]))+10^GSBR[pHreactor])</f>
        <v>3.9022783059751402</v>
      </c>
      <c r="AF91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1126.0700000000002</v>
      </c>
      <c r="AG91" s="19">
        <f>IFERROR(IF(Influent[[#This Row],[COD (mg L-1)]]-MEDIA[[#This Row],[COD 
(mg L-1)]]&lt;0,0,Influent[[#This Row],[COD (mg L-1)]]-MEDIA[[#This Row],[COD 
(mg L-1)]]),0)</f>
        <v>0</v>
      </c>
      <c r="AH91" s="4">
        <f>IF(IFERROR(Influent[[#This Row],[Alkalinity (mg CaCO3 L-1) ]]-GSBR[[#This Row],[Alkalinity 
(mg CaCO3 L-1) ]],0)&lt;0,0,IFERROR(Influent[[#This Row],[Alkalinity (mg CaCO3 L-1) ]]-GSBR[[#This Row],[Alkalinity 
(mg CaCO3 L-1) ]],0))</f>
        <v>3916</v>
      </c>
      <c r="AI91" s="20">
        <f>Influent[[#This Row],[COD (mg L-1)]]/GSBR[[#This Row],[HRT 
(h)]]*24/1000</f>
        <v>1.1246511627906977</v>
      </c>
      <c r="AJ91" s="6"/>
      <c r="AK91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0.65016000000000007</v>
      </c>
      <c r="AL91" s="6">
        <f>Influent[[#This Row],[TN (mg L-1)]]/GSBR[[#This Row],[HRT 
(h)]]*24/1000</f>
        <v>0.71966511627906982</v>
      </c>
      <c r="AM91" s="6">
        <f>GSBR[[#This Row],[NLR 
(kg N m-3 d-1)]]*GSBR[[#This Row],[NRE 
(%)]]</f>
        <v>0.63436465116279073</v>
      </c>
      <c r="AN91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0.9108374384236454</v>
      </c>
      <c r="AO91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0.88147200248177449</v>
      </c>
      <c r="AP91" s="4"/>
      <c r="AQ91" s="4"/>
    </row>
    <row r="92" spans="1:43" x14ac:dyDescent="0.3">
      <c r="A92" s="128">
        <v>43415</v>
      </c>
      <c r="B92" s="29">
        <v>89</v>
      </c>
      <c r="C92" s="28">
        <f>Information!$R$54/GSBR[[#This Row],[HRT 
(h)]]*24</f>
        <v>0.1142857142857143</v>
      </c>
      <c r="D92" s="27">
        <v>42</v>
      </c>
      <c r="E92" s="42">
        <v>25.7</v>
      </c>
      <c r="F92" s="42">
        <v>7.6</v>
      </c>
      <c r="G92" s="42">
        <v>1.3</v>
      </c>
      <c r="H92" s="42">
        <v>1.9</v>
      </c>
      <c r="I92" s="42">
        <v>179.2</v>
      </c>
      <c r="J92" s="27"/>
      <c r="K92" s="27"/>
      <c r="L92">
        <v>1405</v>
      </c>
      <c r="M92" s="29">
        <f>GSBR[[#This Row],[COD 
(mg L-1)]]*Information!$AK$43</f>
        <v>1124</v>
      </c>
      <c r="N92">
        <v>274</v>
      </c>
      <c r="O92">
        <v>7.5</v>
      </c>
      <c r="R92">
        <v>9.44</v>
      </c>
      <c r="S92">
        <v>91.3</v>
      </c>
      <c r="T92" s="4">
        <f>GSBR[[#This Row],[NH4-N 
(mg L-1)]]*1.288</f>
        <v>153.34927999999999</v>
      </c>
      <c r="U92" s="20">
        <f>GSBR[[#This Row],[NO2-N 
(mg L-1)]]*3.284</f>
        <v>47.108980000000003</v>
      </c>
      <c r="V92" s="6">
        <f>(GSBR[[#This Row],[NO3-N 
(mg L-1)]])*4.426</f>
        <v>340.60282999999998</v>
      </c>
      <c r="W92" s="6">
        <v>119.06</v>
      </c>
      <c r="X92">
        <v>14.345000000000001</v>
      </c>
      <c r="Y92" s="6">
        <f>IF((GSBR[[#This Row],[TON 
(mg L-1)]]-GSBR[[#This Row],[NO2-N 
(mg L-1)]])&lt;0,0.2,(GSBR[[#This Row],[TON 
(mg L-1)]]-GSBR[[#This Row],[NO2-N 
(mg L-1)]]))</f>
        <v>76.954999999999998</v>
      </c>
      <c r="Z92" s="4">
        <f>SUM(GSBR[[#This Row],[NO3-N 
(mg L-1)]],GSBR[[#This Row],[NO2-N 
(mg L-1)]],GSBR[[#This Row],[NH4-N 
(mg L-1)]])</f>
        <v>210.36</v>
      </c>
      <c r="AA92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6.8153639052730391E-2</v>
      </c>
      <c r="AB92" s="48">
        <f>IF(IFERROR(GSBR[[#This Row],[NO2-N 
(mg L-1)]]/GSBR[[#This Row],[NH4-N 
(mg L-1)]],0)&lt;0,0,IFERROR(GSBR[[#This Row],[NO2-N 
(mg L-1)]]/GSBR[[#This Row],[NH4-N 
(mg L-1)]],0))</f>
        <v>0.12048546951117084</v>
      </c>
      <c r="AC92" s="48">
        <f>GSBR[[#This Row],[NO2-N 
(mg L-1)]]/(GSBR[[#This Row],[NO2-N 
(mg L-1)]]+GSBR[[#This Row],[NO3-N 
(mg L-1)]])</f>
        <v>0.15711938663745895</v>
      </c>
      <c r="AD92" s="20">
        <f>46/14*GSBR[[#This Row],[NO2-N 
(mg L-1)]]/(EXP(-2300/(GSBR[[#This Row],[Temp. 
(°C)]]+273))*10^(GSBR[[#This Row],[pHreactor]]))</f>
        <v>2.6146429969154785E-3</v>
      </c>
      <c r="AE92" s="19">
        <f>17/14*(GSBR[[#This Row],[NH4+ (mg L-1)]]*10^GSBR[[#This Row],[pHreactor]])/(EXP(6344/(273+GSBR[[#This Row],[Temp. 
(°C)]]))+10^GSBR[pHreactor])</f>
        <v>4.3246082671733159</v>
      </c>
      <c r="AF92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1037.8400000000001</v>
      </c>
      <c r="AG92" s="19">
        <f>IFERROR(IF(Influent[[#This Row],[COD (mg L-1)]]-MEDIA[[#This Row],[COD 
(mg L-1)]]&lt;0,0,Influent[[#This Row],[COD (mg L-1)]]-MEDIA[[#This Row],[COD 
(mg L-1)]]),0)</f>
        <v>0</v>
      </c>
      <c r="AH92" s="4">
        <f>IF(IFERROR(Influent[[#This Row],[Alkalinity (mg CaCO3 L-1) ]]-GSBR[[#This Row],[Alkalinity 
(mg CaCO3 L-1) ]],0)&lt;0,0,IFERROR(Influent[[#This Row],[Alkalinity (mg CaCO3 L-1) ]]-GSBR[[#This Row],[Alkalinity 
(mg CaCO3 L-1) ]],0))</f>
        <v>3874</v>
      </c>
      <c r="AI92" s="20">
        <f>Influent[[#This Row],[COD (mg L-1)]]/GSBR[[#This Row],[HRT 
(h)]]*24/1000</f>
        <v>1.1685714285714284</v>
      </c>
      <c r="AJ92" s="6"/>
      <c r="AK92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0.64522285714285732</v>
      </c>
      <c r="AL92" s="6">
        <f>Influent[[#This Row],[TN (mg L-1)]]/GSBR[[#This Row],[HRT 
(h)]]*24/1000</f>
        <v>0.72874285714285714</v>
      </c>
      <c r="AM92" s="6">
        <f>GSBR[[#This Row],[NLR 
(kg N m-3 d-1)]]*GSBR[[#This Row],[NRE 
(%)]]</f>
        <v>0.60853714285714289</v>
      </c>
      <c r="AN92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0.90461464508892808</v>
      </c>
      <c r="AO92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0.83505057633498003</v>
      </c>
      <c r="AP92" s="4"/>
      <c r="AQ92" s="4"/>
    </row>
    <row r="93" spans="1:43" x14ac:dyDescent="0.3">
      <c r="A93" s="128">
        <v>43416</v>
      </c>
      <c r="B93" s="29">
        <v>90</v>
      </c>
      <c r="C93" s="28">
        <f>Information!$R$54/GSBR[[#This Row],[HRT 
(h)]]*24</f>
        <v>0.11162790697674418</v>
      </c>
      <c r="D93" s="27">
        <v>43</v>
      </c>
      <c r="E93" s="42">
        <v>24.4</v>
      </c>
      <c r="F93" s="42">
        <v>7.6</v>
      </c>
      <c r="G93" s="42">
        <v>1.3</v>
      </c>
      <c r="H93" s="42">
        <v>2</v>
      </c>
      <c r="I93" s="42">
        <v>182.3</v>
      </c>
      <c r="J93" s="27"/>
      <c r="K93" s="27"/>
      <c r="L93">
        <v>1410</v>
      </c>
      <c r="M93" s="29">
        <f>GSBR[[#This Row],[COD 
(mg L-1)]]*Information!$AK$43</f>
        <v>1128</v>
      </c>
      <c r="N93">
        <v>264</v>
      </c>
      <c r="O93">
        <v>7.2</v>
      </c>
      <c r="R93">
        <v>9.98</v>
      </c>
      <c r="S93">
        <v>102.8</v>
      </c>
      <c r="T93" s="4">
        <f>GSBR[[#This Row],[NH4-N 
(mg L-1)]]*1.288</f>
        <v>160.678</v>
      </c>
      <c r="U93" s="20">
        <f>GSBR[[#This Row],[NO2-N 
(mg L-1)]]*3.284</f>
        <v>59.177679999999995</v>
      </c>
      <c r="V93" s="6">
        <f>(GSBR[[#This Row],[NO3-N 
(mg L-1)]])*4.426</f>
        <v>375.23628000000002</v>
      </c>
      <c r="W93" s="6">
        <v>124.75</v>
      </c>
      <c r="X93">
        <v>18.02</v>
      </c>
      <c r="Y93" s="6">
        <f>IF((GSBR[[#This Row],[TON 
(mg L-1)]]-GSBR[[#This Row],[NO2-N 
(mg L-1)]])&lt;0,0.2,(GSBR[[#This Row],[TON 
(mg L-1)]]-GSBR[[#This Row],[NO2-N 
(mg L-1)]]))</f>
        <v>84.78</v>
      </c>
      <c r="Z93" s="4">
        <f>SUM(GSBR[[#This Row],[NO3-N 
(mg L-1)]],GSBR[[#This Row],[NO2-N 
(mg L-1)]],GSBR[[#This Row],[NH4-N 
(mg L-1)]])</f>
        <v>227.55</v>
      </c>
      <c r="AA93" s="23">
        <f>IF(IFERROR(GSBR[[#This Row],[NO3-N 
(mg L-1)]]/(Influent[[#This Row],[NH4-N (mg L-1)]]-GSBR[[#This Row],[NH4-N 
(mg L-1)]]), 0)&lt;0,0,IFERROR(GSBR[[#This Row],[NO3-N 
(mg L-1)]]/(Influent[[#This Row],[NH4-N (mg L-1)]]-GSBR[[#This Row],[NH4-N 
(mg L-1)]]), 0))</f>
        <v>8.0754393484783554E-2</v>
      </c>
      <c r="AB93" s="48">
        <f>IF(IFERROR(GSBR[[#This Row],[NO2-N 
(mg L-1)]]/GSBR[[#This Row],[NH4-N 
(mg L-1)]],0)&lt;0,0,IFERROR(GSBR[[#This Row],[NO2-N 
(mg L-1)]]/GSBR[[#This Row],[NH4-N 
(mg L-1)]],0))</f>
        <v>0.14444889779559117</v>
      </c>
      <c r="AC93" s="48">
        <f>GSBR[[#This Row],[NO2-N 
(mg L-1)]]/(GSBR[[#This Row],[NO2-N 
(mg L-1)]]+GSBR[[#This Row],[NO3-N 
(mg L-1)]])</f>
        <v>0.17529182879377431</v>
      </c>
      <c r="AD93" s="20">
        <f>46/14*GSBR[[#This Row],[NO2-N 
(mg L-1)]]/(EXP(-2300/(GSBR[[#This Row],[Temp. 
(°C)]]+273))*10^(GSBR[[#This Row],[pHreactor]]))</f>
        <v>3.3969123565365579E-3</v>
      </c>
      <c r="AE93" s="19">
        <f>17/14*(GSBR[[#This Row],[NH4+ (mg L-1)]]*10^GSBR[[#This Row],[pHreactor]])/(EXP(6344/(273+GSBR[[#This Row],[Temp. 
(°C)]]))+10^GSBR[pHreactor])</f>
        <v>4.1380635812837365</v>
      </c>
      <c r="AF93" s="129">
        <f>IF(IFERROR(Influent[[#This Row],[NH4-N (mg L-1)]]-(GSBR[[#This Row],[NH4-N 
(mg L-1)]]+GSBR[[#This Row],[NO3-N 
(mg L-1)]]+GSBR[[#This Row],[NO2-N 
(mg L-1)]]),0)&lt;0,0,IFERROR(Influent[[#This Row],[NH4-N (mg L-1)]]-(GSBR[[#This Row],[NH4-N 
(mg L-1)]]+GSBR[[#This Row],[NO3-N 
(mg L-1)]]+GSBR[[#This Row],[NO2-N 
(mg L-1)]]),0))</f>
        <v>947.05</v>
      </c>
      <c r="AG93" s="19">
        <f>IFERROR(IF(Influent[[#This Row],[COD (mg L-1)]]-MEDIA[[#This Row],[COD 
(mg L-1)]]&lt;0,0,Influent[[#This Row],[COD (mg L-1)]]-MEDIA[[#This Row],[COD 
(mg L-1)]]),0)</f>
        <v>0</v>
      </c>
      <c r="AH93" s="4">
        <f>IF(IFERROR(Influent[[#This Row],[Alkalinity (mg CaCO3 L-1) ]]-GSBR[[#This Row],[Alkalinity 
(mg CaCO3 L-1) ]],0)&lt;0,0,IFERROR(Influent[[#This Row],[Alkalinity (mg CaCO3 L-1) ]]-GSBR[[#This Row],[Alkalinity 
(mg CaCO3 L-1) ]],0))</f>
        <v>3910</v>
      </c>
      <c r="AI93" s="20">
        <f>Influent[[#This Row],[COD (mg L-1)]]/GSBR[[#This Row],[HRT 
(h)]]*24/1000</f>
        <v>1.1274418604651162</v>
      </c>
      <c r="AJ93" s="6"/>
      <c r="AK93" s="6">
        <f>IF(IFERROR((Influent[[#This Row],[NH4-N (mg L-1)]])*GSBR[[#This Row],[ARE 
(%)]]/GSBR[[#This Row],[HRT 
(h)]]*24/1000,0)&lt;0,0,IFERROR((Influent[[#This Row],[NH4-N (mg L-1)]])*GSBR[[#This Row],[ARE 
(%)]]/GSBR[[#This Row],[HRT 
(h)]]*24/1000,0))</f>
        <v>0.58596279069767432</v>
      </c>
      <c r="AL93" s="6">
        <f>Influent[[#This Row],[TN (mg L-1)]]/GSBR[[#This Row],[HRT 
(h)]]*24/1000</f>
        <v>0.67222325581395337</v>
      </c>
      <c r="AM93" s="6">
        <f>GSBR[[#This Row],[NLR 
(kg N m-3 d-1)]]*GSBR[[#This Row],[NRE 
(%)]]</f>
        <v>0.54521860465116267</v>
      </c>
      <c r="AN93" s="26">
        <f>IFERROR(IF((Influent[[#This Row],[NH4-N (mg L-1)]]-GSBR[[#This Row],[NH4-N 
(mg L-1)]])/Influent[[#This Row],[NH4-N (mg L-1)]]&lt;0,0,IF((Influent[[#This Row],[NH4-N (mg L-1)]]-GSBR[[#This Row],[NH4-N 
(mg L-1)]])/Influent[[#This Row],[NH4-N (mg L-1)]]&gt;1,0.999,(Influent[[#This Row],[NH4-N (mg L-1)]]-GSBR[[#This Row],[NH4-N 
(mg L-1)]])/Influent[[#This Row],[NH4-N (mg L-1)]])),0)</f>
        <v>0.89379363187468075</v>
      </c>
      <c r="AO93" s="26">
        <f>IFERROR(IF((Influent[[#This Row],[TN (mg L-1)]]-GSBR[[#This Row],[TN 
(mg L-1)]])/Influent[[#This Row],[TN (mg L-1)]]&lt;0,0,IF((Influent[[#This Row],[TN (mg L-1)]]-GSBR[[#This Row],[TN 
(mg L-1)]])/Influent[[#This Row],[TN (mg L-1)]]&gt;1,0.999,(Influent[[#This Row],[TN (mg L-1)]]-GSBR[[#This Row],[TN 
(mg L-1)]])/Influent[[#This Row],[TN (mg L-1)]])),0)</f>
        <v>0.81106775157754896</v>
      </c>
      <c r="AP93" s="4"/>
      <c r="AQ93" s="4"/>
    </row>
  </sheetData>
  <mergeCells count="2">
    <mergeCell ref="C2:I2"/>
    <mergeCell ref="L2:Z2"/>
  </mergeCells>
  <conditionalFormatting sqref="A4:AP93">
    <cfRule type="cellIs" dxfId="464" priority="1" operator="lessThanOrEqual">
      <formula>0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W93"/>
  <sheetViews>
    <sheetView zoomScale="70" zoomScaleNormal="70" workbookViewId="0">
      <pane xSplit="2" ySplit="3" topLeftCell="C23" activePane="bottomRight" state="frozen"/>
      <selection activeCell="F26" sqref="F26"/>
      <selection pane="topRight" activeCell="F26" sqref="F26"/>
      <selection pane="bottomLeft" activeCell="F26" sqref="F26"/>
      <selection pane="bottomRight" activeCell="J18" sqref="J18"/>
    </sheetView>
  </sheetViews>
  <sheetFormatPr defaultColWidth="8.88671875" defaultRowHeight="14.4" x14ac:dyDescent="0.3"/>
  <cols>
    <col min="1" max="1" width="14.88671875" style="29" customWidth="1"/>
    <col min="2" max="2" width="14.33203125" style="29" customWidth="1"/>
    <col min="3" max="4" width="13.88671875" style="29" customWidth="1"/>
    <col min="5" max="6" width="7.6640625" style="29" customWidth="1"/>
    <col min="7" max="7" width="14.33203125" style="29" customWidth="1"/>
    <col min="8" max="8" width="10.5546875" style="29" bestFit="1" customWidth="1"/>
    <col min="9" max="9" width="7.33203125" style="29" customWidth="1"/>
    <col min="10" max="10" width="7.44140625" style="29" customWidth="1"/>
    <col min="11" max="11" width="8.109375" style="29" customWidth="1"/>
    <col min="12" max="12" width="7.6640625" style="29" customWidth="1"/>
    <col min="13" max="13" width="8.5546875" style="29" hidden="1" customWidth="1"/>
    <col min="14" max="14" width="7.44140625" style="29" hidden="1" customWidth="1"/>
    <col min="15" max="15" width="7.6640625" style="29" hidden="1" customWidth="1"/>
    <col min="16" max="16" width="7.88671875" style="29" customWidth="1"/>
    <col min="17" max="17" width="9.44140625" style="29" customWidth="1"/>
    <col min="18" max="18" width="9.88671875" style="29" customWidth="1"/>
    <col min="19" max="19" width="9.109375" style="29" customWidth="1"/>
    <col min="20" max="20" width="8.33203125" style="29" customWidth="1"/>
    <col min="21" max="22" width="8.88671875" style="29"/>
    <col min="23" max="23" width="113.109375" style="29" customWidth="1"/>
    <col min="24" max="24" width="8.88671875" style="29"/>
    <col min="25" max="25" width="7.88671875" style="29" customWidth="1"/>
    <col min="26" max="26" width="8.88671875" style="29"/>
    <col min="27" max="27" width="9.5546875" style="29" customWidth="1"/>
    <col min="28" max="28" width="11.44140625" style="29" customWidth="1"/>
    <col min="29" max="29" width="56.6640625" style="29" customWidth="1"/>
    <col min="30" max="16384" width="8.88671875" style="29"/>
  </cols>
  <sheetData>
    <row r="1" spans="1:23" ht="20.399999999999999" thickBot="1" x14ac:dyDescent="0.45">
      <c r="A1" s="1" t="s">
        <v>245</v>
      </c>
      <c r="B1" s="1"/>
      <c r="C1" s="144"/>
      <c r="D1" s="144"/>
      <c r="H1" s="5"/>
      <c r="I1" s="5"/>
      <c r="M1" s="46"/>
      <c r="R1" s="46"/>
    </row>
    <row r="2" spans="1:23" ht="15" thickTop="1" x14ac:dyDescent="0.3">
      <c r="C2" s="333" t="s">
        <v>156</v>
      </c>
      <c r="D2" s="333"/>
      <c r="E2" s="296" t="s">
        <v>145</v>
      </c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</row>
    <row r="3" spans="1:23" ht="81.599999999999994" customHeight="1" x14ac:dyDescent="0.3">
      <c r="A3" s="2" t="s">
        <v>1</v>
      </c>
      <c r="B3" s="2" t="s">
        <v>2</v>
      </c>
      <c r="C3" s="79" t="s">
        <v>31</v>
      </c>
      <c r="D3" s="79" t="s">
        <v>22</v>
      </c>
      <c r="E3" s="78" t="s">
        <v>134</v>
      </c>
      <c r="F3" s="78" t="s">
        <v>317</v>
      </c>
      <c r="G3" s="78" t="s">
        <v>154</v>
      </c>
      <c r="H3" s="78" t="s">
        <v>153</v>
      </c>
      <c r="I3" s="78" t="s">
        <v>136</v>
      </c>
      <c r="J3" s="78" t="s">
        <v>137</v>
      </c>
      <c r="K3" s="78" t="s">
        <v>138</v>
      </c>
      <c r="L3" s="78" t="s">
        <v>139</v>
      </c>
      <c r="M3" s="78" t="s">
        <v>140</v>
      </c>
      <c r="N3" s="78" t="s">
        <v>129</v>
      </c>
      <c r="O3" s="78" t="s">
        <v>128</v>
      </c>
      <c r="P3" s="78" t="s">
        <v>141</v>
      </c>
      <c r="Q3" s="78" t="s">
        <v>142</v>
      </c>
      <c r="R3" s="78" t="s">
        <v>143</v>
      </c>
      <c r="S3" s="78" t="s">
        <v>144</v>
      </c>
      <c r="T3" s="76" t="s">
        <v>316</v>
      </c>
      <c r="U3" s="76" t="s">
        <v>155</v>
      </c>
      <c r="V3" s="76" t="s">
        <v>220</v>
      </c>
      <c r="W3" s="77" t="s">
        <v>30</v>
      </c>
    </row>
    <row r="4" spans="1:23" x14ac:dyDescent="0.3">
      <c r="A4" s="128">
        <v>43327</v>
      </c>
      <c r="B4" s="29">
        <v>1</v>
      </c>
      <c r="C4" s="19">
        <v>22.65526078114107</v>
      </c>
      <c r="D4" s="19"/>
      <c r="G4" s="29">
        <v>3009</v>
      </c>
      <c r="H4" s="29">
        <v>7.8</v>
      </c>
      <c r="K4" s="29">
        <v>9.83</v>
      </c>
      <c r="L4" s="19">
        <v>0.2</v>
      </c>
      <c r="M4" s="6">
        <f>Influent9[[#This Row],[NH4-N (mg L-1)]]*1.288</f>
        <v>1109.0195200000001</v>
      </c>
      <c r="N4" s="6">
        <f>(Influent9[[#This Row],[TON (mg L-1)]]-Influent9[[#This Row],[NO2- (mg L-1)]])*4.426</f>
        <v>-24.827186695999998</v>
      </c>
      <c r="O4" s="6">
        <f>Influent9[[#This Row],[NO2-N (mg L-1)]]*3.284</f>
        <v>5.8093959999999996</v>
      </c>
      <c r="P4" s="29">
        <v>861.04</v>
      </c>
      <c r="Q4" s="29">
        <v>1.7689999999999999</v>
      </c>
      <c r="R4" s="19">
        <f>IF(Influent9[[#This Row],[TON (mg L-1)]]-Influent9[[#This Row],[NO2-N (mg L-1)]]&lt;0,0.2,Influent9[[#This Row],[TON (mg L-1)]]-Influent9[[#This Row],[NO2-N (mg L-1)]])</f>
        <v>0.2</v>
      </c>
      <c r="S4" s="6">
        <f>SUM(Influent9[[#This Row],[NO3-N (mg L-1)]],Influent9[[#This Row],[NO2-N (mg L-1)]],Influent9[[#This Row],[NH4-N (mg L-1)]])</f>
        <v>863.00900000000001</v>
      </c>
      <c r="T4" s="19"/>
      <c r="U4" s="19">
        <f>Influent9[[#This Row],[Alkalinity (mg CaCO3 L-1) ]]/Influent9[[#This Row],[TN (mg L-1)]]</f>
        <v>3.4866380304261022</v>
      </c>
      <c r="V4" s="19"/>
    </row>
    <row r="5" spans="1:23" x14ac:dyDescent="0.3">
      <c r="A5" s="128">
        <v>43328</v>
      </c>
      <c r="B5" s="29">
        <v>2</v>
      </c>
      <c r="C5" s="19">
        <v>26.845422607045833</v>
      </c>
      <c r="D5" s="19"/>
      <c r="G5" s="29">
        <v>3924</v>
      </c>
      <c r="H5" s="29">
        <v>8.1</v>
      </c>
      <c r="K5" s="29">
        <v>8.6999999999999993</v>
      </c>
      <c r="L5" s="19">
        <v>0.2</v>
      </c>
      <c r="M5" s="6">
        <f>Influent9[[#This Row],[NH4-N (mg L-1)]]*1.288</f>
        <v>1302.1680000000001</v>
      </c>
      <c r="N5" s="6">
        <f>(Influent9[[#This Row],[TON (mg L-1)]]-Influent9[[#This Row],[NO2- (mg L-1)]])*4.426</f>
        <v>0.76892012800000009</v>
      </c>
      <c r="O5" s="6">
        <f>Influent9[[#This Row],[NO2-N (mg L-1)]]*3.284</f>
        <v>2.6272E-2</v>
      </c>
      <c r="P5" s="29">
        <v>1011</v>
      </c>
      <c r="Q5" s="29">
        <v>8.0000000000000002E-3</v>
      </c>
      <c r="R5" s="19">
        <f>IF(Influent9[[#This Row],[TON (mg L-1)]]-Influent9[[#This Row],[NO2-N (mg L-1)]]&lt;0,0.2,Influent9[[#This Row],[TON (mg L-1)]]-Influent9[[#This Row],[NO2-N (mg L-1)]])</f>
        <v>0.192</v>
      </c>
      <c r="S5" s="6">
        <f>SUM(Influent9[[#This Row],[NO3-N (mg L-1)]],Influent9[[#This Row],[NO2-N (mg L-1)]],Influent9[[#This Row],[NH4-N (mg L-1)]])</f>
        <v>1011.2</v>
      </c>
      <c r="T5" s="19"/>
      <c r="U5" s="19">
        <f>Influent9[[#This Row],[Alkalinity (mg CaCO3 L-1) ]]/Influent9[[#This Row],[TN (mg L-1)]]</f>
        <v>3.880537974683544</v>
      </c>
      <c r="V5" s="19"/>
    </row>
    <row r="6" spans="1:23" x14ac:dyDescent="0.3">
      <c r="A6" s="128">
        <v>43329</v>
      </c>
      <c r="B6" s="29">
        <v>3</v>
      </c>
      <c r="D6" s="19"/>
      <c r="G6" s="22"/>
      <c r="K6" s="6"/>
      <c r="L6" s="19"/>
      <c r="M6" s="6"/>
      <c r="N6" s="6"/>
      <c r="O6" s="6"/>
      <c r="P6" s="6"/>
      <c r="Q6" s="20"/>
      <c r="R6" s="19"/>
      <c r="S6" s="6"/>
      <c r="T6" s="19"/>
      <c r="U6" s="19"/>
      <c r="V6" s="19"/>
    </row>
    <row r="7" spans="1:23" x14ac:dyDescent="0.3">
      <c r="A7" s="128">
        <v>43330</v>
      </c>
      <c r="B7" s="29">
        <v>4</v>
      </c>
      <c r="D7" s="19"/>
      <c r="G7" s="22"/>
      <c r="K7" s="6"/>
      <c r="L7" s="19"/>
      <c r="M7" s="6"/>
      <c r="N7" s="6"/>
      <c r="O7" s="6"/>
      <c r="P7" s="6"/>
      <c r="Q7" s="20"/>
      <c r="R7" s="19"/>
      <c r="S7" s="6"/>
      <c r="T7" s="19"/>
      <c r="U7" s="19"/>
      <c r="V7" s="19"/>
    </row>
    <row r="8" spans="1:23" x14ac:dyDescent="0.3">
      <c r="A8" s="128">
        <v>43331</v>
      </c>
      <c r="B8" s="29">
        <v>5</v>
      </c>
      <c r="D8" s="19"/>
      <c r="G8" s="22"/>
      <c r="K8" s="6"/>
      <c r="L8" s="19"/>
      <c r="M8" s="6"/>
      <c r="N8" s="6"/>
      <c r="O8" s="6"/>
      <c r="P8" s="6"/>
      <c r="Q8" s="20"/>
      <c r="R8" s="19"/>
      <c r="S8" s="6"/>
      <c r="T8" s="19"/>
      <c r="U8" s="19"/>
      <c r="V8" s="19"/>
    </row>
    <row r="9" spans="1:23" x14ac:dyDescent="0.3">
      <c r="A9" s="128">
        <v>43332</v>
      </c>
      <c r="B9" s="29">
        <v>6</v>
      </c>
      <c r="D9" s="19"/>
      <c r="G9" s="22"/>
      <c r="K9" s="6"/>
      <c r="L9" s="19"/>
      <c r="M9" s="6"/>
      <c r="N9" s="6"/>
      <c r="O9" s="6"/>
      <c r="Q9" s="20"/>
      <c r="R9" s="19"/>
      <c r="S9" s="6"/>
      <c r="T9" s="19"/>
      <c r="U9" s="19"/>
      <c r="V9" s="19"/>
    </row>
    <row r="10" spans="1:23" x14ac:dyDescent="0.3">
      <c r="A10" s="128">
        <v>43333</v>
      </c>
      <c r="B10" s="29">
        <v>7</v>
      </c>
      <c r="C10" s="19">
        <v>25.650727813916667</v>
      </c>
      <c r="D10" s="19"/>
      <c r="E10" s="29">
        <v>3970</v>
      </c>
      <c r="F10" s="29">
        <f>Influent9[[#This Row],[COD (mg L-1)]]*Information!$AK$40</f>
        <v>3573</v>
      </c>
      <c r="G10" s="22">
        <v>5393</v>
      </c>
      <c r="H10" s="29">
        <v>8.4</v>
      </c>
      <c r="I10" s="29">
        <v>1100</v>
      </c>
      <c r="J10" s="29">
        <v>434</v>
      </c>
      <c r="K10" s="29">
        <v>11.55</v>
      </c>
      <c r="L10" s="29">
        <v>0.2</v>
      </c>
      <c r="M10" s="6">
        <f>Influent9[[#This Row],[NH4-N (mg L-1)]]*1.288</f>
        <v>1820.7167999999999</v>
      </c>
      <c r="N10" s="6">
        <f>(Influent9[[#This Row],[TON (mg L-1)]]-Influent9[[#This Row],[NO2- (mg L-1)]])*4.426</f>
        <v>0.76892012800000009</v>
      </c>
      <c r="O10" s="6">
        <f>Influent9[[#This Row],[NO2-N (mg L-1)]]*3.284</f>
        <v>2.6272E-2</v>
      </c>
      <c r="P10" s="29">
        <v>1413.6</v>
      </c>
      <c r="Q10" s="29">
        <v>8.0000000000000002E-3</v>
      </c>
      <c r="R10" s="19">
        <f>IF(Influent9[[#This Row],[TON (mg L-1)]]-Influent9[[#This Row],[NO2-N (mg L-1)]]&lt;0,0.2,Influent9[[#This Row],[TON (mg L-1)]]-Influent9[[#This Row],[NO2-N (mg L-1)]])</f>
        <v>0.192</v>
      </c>
      <c r="S10" s="6">
        <f>SUM(Influent9[[#This Row],[NO3-N (mg L-1)]],Influent9[[#This Row],[NO2-N (mg L-1)]],Influent9[[#This Row],[NH4-N (mg L-1)]])</f>
        <v>1413.8</v>
      </c>
      <c r="T10" s="19">
        <f>IFERROR(Influent9[[#This Row],[sCOD (mg L-1)]]/Influent9[[#This Row],[TN (mg L-1)]], 0)</f>
        <v>2.5272315744801244</v>
      </c>
      <c r="U10" s="19">
        <f>Influent9[[#This Row],[Alkalinity (mg CaCO3 L-1) ]]/Influent9[[#This Row],[TN (mg L-1)]]</f>
        <v>3.8145423680860095</v>
      </c>
      <c r="V10" s="19">
        <f>Influent9[[#This Row],[VSS (mg L-1)]]/Influent9[[#This Row],[TSS (mg L-1)]]</f>
        <v>0.39454545454545453</v>
      </c>
    </row>
    <row r="11" spans="1:23" x14ac:dyDescent="0.3">
      <c r="A11" s="128">
        <v>43334</v>
      </c>
      <c r="B11" s="29">
        <v>8</v>
      </c>
      <c r="C11" s="19">
        <v>25.919798891066844</v>
      </c>
      <c r="D11" s="19"/>
      <c r="E11" s="29">
        <v>3940</v>
      </c>
      <c r="F11" s="29">
        <f>Influent9[[#This Row],[COD (mg L-1)]]*Information!$AK$40</f>
        <v>3546</v>
      </c>
      <c r="G11" s="22">
        <v>5559</v>
      </c>
      <c r="H11" s="29">
        <v>8.4</v>
      </c>
      <c r="I11" s="29">
        <v>806</v>
      </c>
      <c r="J11" s="29">
        <v>277</v>
      </c>
      <c r="K11" s="29">
        <v>14.02</v>
      </c>
      <c r="L11" s="29">
        <v>0.2</v>
      </c>
      <c r="M11" s="6">
        <f>Influent9[[#This Row],[NH4-N (mg L-1)]]*1.288</f>
        <v>1909.0736000000002</v>
      </c>
      <c r="N11" s="6">
        <f>(Influent9[[#This Row],[TON (mg L-1)]]-Influent9[[#This Row],[NO2- (mg L-1)]])*4.426</f>
        <v>0.76892012800000009</v>
      </c>
      <c r="O11" s="6">
        <f>Influent9[[#This Row],[NO2-N (mg L-1)]]*3.284</f>
        <v>2.6272E-2</v>
      </c>
      <c r="P11" s="29">
        <v>1482.2</v>
      </c>
      <c r="Q11" s="29">
        <v>8.0000000000000002E-3</v>
      </c>
      <c r="R11" s="19">
        <f>IF(Influent9[[#This Row],[TON (mg L-1)]]-Influent9[[#This Row],[NO2-N (mg L-1)]]&lt;0,0.2,Influent9[[#This Row],[TON (mg L-1)]]-Influent9[[#This Row],[NO2-N (mg L-1)]])</f>
        <v>0.192</v>
      </c>
      <c r="S11" s="6">
        <f>SUM(Influent9[[#This Row],[NO3-N (mg L-1)]],Influent9[[#This Row],[NO2-N (mg L-1)]],Influent9[[#This Row],[NH4-N (mg L-1)]])</f>
        <v>1482.4</v>
      </c>
      <c r="T11" s="19">
        <f>IFERROR(Influent9[[#This Row],[sCOD (mg L-1)]]/Influent9[[#This Row],[TN (mg L-1)]], 0)</f>
        <v>2.3920669185105234</v>
      </c>
      <c r="U11" s="19">
        <f>Influent9[[#This Row],[Alkalinity (mg CaCO3 L-1) ]]/Influent9[[#This Row],[TN (mg L-1)]]</f>
        <v>3.7499999999999996</v>
      </c>
      <c r="V11" s="19">
        <f>Influent9[[#This Row],[VSS (mg L-1)]]/Influent9[[#This Row],[TSS (mg L-1)]]</f>
        <v>0.34367245657568241</v>
      </c>
    </row>
    <row r="12" spans="1:23" x14ac:dyDescent="0.3">
      <c r="A12" s="128">
        <v>43335</v>
      </c>
      <c r="B12" s="29">
        <v>9</v>
      </c>
      <c r="C12" s="19">
        <v>26.182213167894304</v>
      </c>
      <c r="D12" s="19"/>
      <c r="E12" s="29">
        <v>3845</v>
      </c>
      <c r="F12" s="29">
        <f>Influent9[[#This Row],[COD (mg L-1)]]*Information!$AK$40</f>
        <v>3460.5</v>
      </c>
      <c r="G12" s="22">
        <v>5498</v>
      </c>
      <c r="H12" s="29">
        <v>8.4</v>
      </c>
      <c r="I12" s="29">
        <v>786.7</v>
      </c>
      <c r="J12" s="29">
        <v>295</v>
      </c>
      <c r="K12" s="29">
        <v>13.7</v>
      </c>
      <c r="L12" s="29">
        <v>0.2</v>
      </c>
      <c r="M12" s="6">
        <f>Influent9[[#This Row],[NH4-N (mg L-1)]]*1.288</f>
        <v>1861.8040000000001</v>
      </c>
      <c r="N12" s="6">
        <f>(Influent9[[#This Row],[TON (mg L-1)]]-Influent9[[#This Row],[NO2- (mg L-1)]])*4.426</f>
        <v>0.76892012800000009</v>
      </c>
      <c r="O12" s="6">
        <f>Influent9[[#This Row],[NO2-N (mg L-1)]]*3.284</f>
        <v>2.6272E-2</v>
      </c>
      <c r="P12" s="29">
        <v>1445.5</v>
      </c>
      <c r="Q12" s="29">
        <v>8.0000000000000002E-3</v>
      </c>
      <c r="R12" s="19">
        <f>IF(Influent9[[#This Row],[TON (mg L-1)]]-Influent9[[#This Row],[NO2-N (mg L-1)]]&lt;0,0.2,Influent9[[#This Row],[TON (mg L-1)]]-Influent9[[#This Row],[NO2-N (mg L-1)]])</f>
        <v>0.192</v>
      </c>
      <c r="S12" s="6">
        <f>SUM(Influent9[[#This Row],[NO3-N (mg L-1)]],Influent9[[#This Row],[NO2-N (mg L-1)]],Influent9[[#This Row],[NH4-N (mg L-1)]])</f>
        <v>1445.7</v>
      </c>
      <c r="T12" s="19">
        <f>IFERROR(Influent9[[#This Row],[sCOD (mg L-1)]]/Influent9[[#This Row],[TN (mg L-1)]], 0)</f>
        <v>2.3936501348827557</v>
      </c>
      <c r="U12" s="19">
        <f>Influent9[[#This Row],[Alkalinity (mg CaCO3 L-1) ]]/Influent9[[#This Row],[TN (mg L-1)]]</f>
        <v>3.8030020059486751</v>
      </c>
      <c r="V12" s="19">
        <f>Influent9[[#This Row],[VSS (mg L-1)]]/Influent9[[#This Row],[TSS (mg L-1)]]</f>
        <v>0.3749841108427609</v>
      </c>
    </row>
    <row r="13" spans="1:23" x14ac:dyDescent="0.3">
      <c r="A13" s="128">
        <v>43336</v>
      </c>
      <c r="B13" s="29">
        <v>10</v>
      </c>
      <c r="C13" s="19">
        <v>25.162990378075612</v>
      </c>
      <c r="D13" s="19"/>
      <c r="E13" s="29">
        <v>4840</v>
      </c>
      <c r="F13" s="29">
        <f>Influent9[[#This Row],[COD (mg L-1)]]*Information!$AK$40</f>
        <v>4356</v>
      </c>
      <c r="G13" s="22">
        <v>5058</v>
      </c>
      <c r="H13" s="29">
        <v>8.4</v>
      </c>
      <c r="I13" s="29">
        <v>1270</v>
      </c>
      <c r="J13" s="29">
        <v>385</v>
      </c>
      <c r="K13" s="29">
        <v>11.67</v>
      </c>
      <c r="L13" s="29">
        <v>12.9</v>
      </c>
      <c r="M13" s="6">
        <f>Influent9[[#This Row],[NH4-N (mg L-1)]]*1.288</f>
        <v>1765.4616000000001</v>
      </c>
      <c r="N13" s="6">
        <f>(Influent9[[#This Row],[TON (mg L-1)]]-Influent9[[#This Row],[NO2- (mg L-1)]])*4.426</f>
        <v>26.252163952000007</v>
      </c>
      <c r="O13" s="6">
        <f>Influent9[[#This Row],[NO2-N (mg L-1)]]*3.284</f>
        <v>6.9686479999999991</v>
      </c>
      <c r="P13" s="29">
        <v>1370.7</v>
      </c>
      <c r="Q13" s="29">
        <v>2.1219999999999999</v>
      </c>
      <c r="R13" s="19">
        <f>IF(Influent9[[#This Row],[TON (mg L-1)]]-Influent9[[#This Row],[NO2-N (mg L-1)]]&lt;0,0.2,Influent9[[#This Row],[TON (mg L-1)]]-Influent9[[#This Row],[NO2-N (mg L-1)]])</f>
        <v>10.778</v>
      </c>
      <c r="S13" s="6">
        <f>SUM(Influent9[[#This Row],[NO3-N (mg L-1)]],Influent9[[#This Row],[NO2-N (mg L-1)]],Influent9[[#This Row],[NH4-N (mg L-1)]])</f>
        <v>1383.6000000000001</v>
      </c>
      <c r="T13" s="19">
        <f>IFERROR(Influent9[[#This Row],[sCOD (mg L-1)]]/Influent9[[#This Row],[TN (mg L-1)]], 0)</f>
        <v>3.1483087597571551</v>
      </c>
      <c r="U13" s="19">
        <f>Influent9[[#This Row],[Alkalinity (mg CaCO3 L-1) ]]/Influent9[[#This Row],[TN (mg L-1)]]</f>
        <v>3.6556808326105807</v>
      </c>
      <c r="V13" s="19">
        <f>Influent9[[#This Row],[VSS (mg L-1)]]/Influent9[[#This Row],[TSS (mg L-1)]]</f>
        <v>0.30314960629921262</v>
      </c>
    </row>
    <row r="14" spans="1:23" x14ac:dyDescent="0.3">
      <c r="A14" s="128">
        <v>43337</v>
      </c>
      <c r="B14" s="29">
        <v>11</v>
      </c>
      <c r="C14" s="19">
        <v>24.872051781889713</v>
      </c>
      <c r="D14" s="19"/>
      <c r="E14" s="29">
        <v>3850</v>
      </c>
      <c r="F14" s="29">
        <f>Influent9[[#This Row],[COD (mg L-1)]]*Information!$AK$40</f>
        <v>3465</v>
      </c>
      <c r="G14" s="22">
        <v>5334</v>
      </c>
      <c r="H14" s="29">
        <v>8.5</v>
      </c>
      <c r="I14" s="29">
        <v>790</v>
      </c>
      <c r="J14" s="29">
        <v>215</v>
      </c>
      <c r="K14" s="29">
        <v>10.79</v>
      </c>
      <c r="L14" s="29">
        <v>0.2</v>
      </c>
      <c r="M14" s="6">
        <f>Influent9[[#This Row],[NH4-N (mg L-1)]]*1.288</f>
        <v>1831.4072000000001</v>
      </c>
      <c r="N14" s="6">
        <f>(Influent9[[#This Row],[TON (mg L-1)]]-Influent9[[#This Row],[NO2- (mg L-1)]])*4.426</f>
        <v>0.76892012800000009</v>
      </c>
      <c r="O14" s="6">
        <f>Influent9[[#This Row],[NO2-N (mg L-1)]]*3.284</f>
        <v>2.6272E-2</v>
      </c>
      <c r="P14" s="29">
        <v>1421.9</v>
      </c>
      <c r="Q14" s="29">
        <v>8.0000000000000002E-3</v>
      </c>
      <c r="R14" s="19">
        <f>IF(Influent9[[#This Row],[TON (mg L-1)]]-Influent9[[#This Row],[NO2-N (mg L-1)]]&lt;0,0.2,Influent9[[#This Row],[TON (mg L-1)]]-Influent9[[#This Row],[NO2-N (mg L-1)]])</f>
        <v>0.192</v>
      </c>
      <c r="S14" s="6">
        <f>SUM(Influent9[[#This Row],[NO3-N (mg L-1)]],Influent9[[#This Row],[NO2-N (mg L-1)]],Influent9[[#This Row],[NH4-N (mg L-1)]])</f>
        <v>1422.1000000000001</v>
      </c>
      <c r="T14" s="19">
        <f>IFERROR(Influent9[[#This Row],[sCOD (mg L-1)]]/Influent9[[#This Row],[TN (mg L-1)]], 0)</f>
        <v>2.4365375149426902</v>
      </c>
      <c r="U14" s="19">
        <f>Influent9[[#This Row],[Alkalinity (mg CaCO3 L-1) ]]/Influent9[[#This Row],[TN (mg L-1)]]</f>
        <v>3.7507910836087475</v>
      </c>
      <c r="V14" s="19">
        <f>Influent9[[#This Row],[VSS (mg L-1)]]/Influent9[[#This Row],[TSS (mg L-1)]]</f>
        <v>0.27215189873417722</v>
      </c>
    </row>
    <row r="15" spans="1:23" x14ac:dyDescent="0.3">
      <c r="A15" s="128">
        <v>43338</v>
      </c>
      <c r="B15" s="29">
        <v>12</v>
      </c>
      <c r="C15" s="19">
        <v>24.870796795480576</v>
      </c>
      <c r="D15" s="19"/>
      <c r="E15" s="29">
        <v>3330</v>
      </c>
      <c r="F15" s="29">
        <f>Influent9[[#This Row],[COD (mg L-1)]]*Information!$AK$40</f>
        <v>2997</v>
      </c>
      <c r="G15" s="22">
        <v>5389</v>
      </c>
      <c r="H15" s="29">
        <v>8.4</v>
      </c>
      <c r="I15" s="29">
        <v>308</v>
      </c>
      <c r="J15" s="29">
        <v>78</v>
      </c>
      <c r="K15" s="29">
        <v>10.94</v>
      </c>
      <c r="L15" s="29">
        <v>1.2</v>
      </c>
      <c r="M15" s="6">
        <f>Influent9[[#This Row],[NH4-N (mg L-1)]]*1.288</f>
        <v>1825.2248</v>
      </c>
      <c r="N15" s="6">
        <f>(Influent9[[#This Row],[TON (mg L-1)]]-Influent9[[#This Row],[NO2- (mg L-1)]])*4.426</f>
        <v>5.1949201279999997</v>
      </c>
      <c r="O15" s="6">
        <f>Influent9[[#This Row],[NO2-N (mg L-1)]]*3.284</f>
        <v>2.6272E-2</v>
      </c>
      <c r="P15" s="29">
        <v>1417.1</v>
      </c>
      <c r="Q15" s="29">
        <v>8.0000000000000002E-3</v>
      </c>
      <c r="R15" s="19">
        <f>IF(Influent9[[#This Row],[TON (mg L-1)]]-Influent9[[#This Row],[NO2-N (mg L-1)]]&lt;0,0.2,Influent9[[#This Row],[TON (mg L-1)]]-Influent9[[#This Row],[NO2-N (mg L-1)]])</f>
        <v>1.1919999999999999</v>
      </c>
      <c r="S15" s="6">
        <f>SUM(Influent9[[#This Row],[NO3-N (mg L-1)]],Influent9[[#This Row],[NO2-N (mg L-1)]],Influent9[[#This Row],[NH4-N (mg L-1)]])</f>
        <v>1418.3</v>
      </c>
      <c r="T15" s="19">
        <f>IFERROR(Influent9[[#This Row],[sCOD (mg L-1)]]/Influent9[[#This Row],[TN (mg L-1)]], 0)</f>
        <v>2.113093139674258</v>
      </c>
      <c r="U15" s="19">
        <f>Influent9[[#This Row],[Alkalinity (mg CaCO3 L-1) ]]/Influent9[[#This Row],[TN (mg L-1)]]</f>
        <v>3.7996192624973562</v>
      </c>
      <c r="V15" s="19">
        <f>Influent9[[#This Row],[VSS (mg L-1)]]/Influent9[[#This Row],[TSS (mg L-1)]]</f>
        <v>0.25324675324675322</v>
      </c>
    </row>
    <row r="16" spans="1:23" x14ac:dyDescent="0.3">
      <c r="A16" s="128">
        <v>43339</v>
      </c>
      <c r="B16" s="29">
        <v>13</v>
      </c>
      <c r="C16" s="19">
        <v>24.867164191418496</v>
      </c>
      <c r="D16" s="19"/>
      <c r="E16" s="29">
        <v>3300</v>
      </c>
      <c r="F16" s="29">
        <f>Influent9[[#This Row],[COD (mg L-1)]]*Information!$AK$40</f>
        <v>2970</v>
      </c>
      <c r="G16" s="22">
        <v>5210</v>
      </c>
      <c r="H16" s="29">
        <v>8.5</v>
      </c>
      <c r="I16" s="29">
        <v>386.7</v>
      </c>
      <c r="J16" s="29">
        <v>110</v>
      </c>
      <c r="K16" s="29">
        <v>11.26</v>
      </c>
      <c r="L16" s="29">
        <v>0.2</v>
      </c>
      <c r="M16" s="6">
        <f>Influent9[[#This Row],[NH4-N (mg L-1)]]*1.288</f>
        <v>1790.7064</v>
      </c>
      <c r="N16" s="6">
        <f>(Influent9[[#This Row],[TON (mg L-1)]]-Influent9[[#This Row],[NO2- (mg L-1)]])*4.426</f>
        <v>0.76892012800000009</v>
      </c>
      <c r="O16" s="6">
        <f>Influent9[[#This Row],[NO2-N (mg L-1)]]*3.284</f>
        <v>2.6272E-2</v>
      </c>
      <c r="P16" s="29">
        <v>1390.3</v>
      </c>
      <c r="Q16" s="29">
        <v>8.0000000000000002E-3</v>
      </c>
      <c r="R16" s="19">
        <f>IF(Influent9[[#This Row],[TON (mg L-1)]]-Influent9[[#This Row],[NO2-N (mg L-1)]]&lt;0,0.2,Influent9[[#This Row],[TON (mg L-1)]]-Influent9[[#This Row],[NO2-N (mg L-1)]])</f>
        <v>0.192</v>
      </c>
      <c r="S16" s="6">
        <f>SUM(Influent9[[#This Row],[NO3-N (mg L-1)]],Influent9[[#This Row],[NO2-N (mg L-1)]],Influent9[[#This Row],[NH4-N (mg L-1)]])</f>
        <v>1390.5</v>
      </c>
      <c r="T16" s="19">
        <f>IFERROR(Influent9[[#This Row],[sCOD (mg L-1)]]/Influent9[[#This Row],[TN (mg L-1)]], 0)</f>
        <v>2.1359223300970873</v>
      </c>
      <c r="U16" s="19">
        <f>Influent9[[#This Row],[Alkalinity (mg CaCO3 L-1) ]]/Influent9[[#This Row],[TN (mg L-1)]]</f>
        <v>3.7468536497662712</v>
      </c>
      <c r="V16" s="19">
        <f>Influent9[[#This Row],[VSS (mg L-1)]]/Influent9[[#This Row],[TSS (mg L-1)]]</f>
        <v>0.28445823635893458</v>
      </c>
    </row>
    <row r="17" spans="1:22" x14ac:dyDescent="0.3">
      <c r="A17" s="128">
        <v>43340</v>
      </c>
      <c r="B17" s="29">
        <v>14</v>
      </c>
      <c r="C17" s="19">
        <v>24.872424947598955</v>
      </c>
      <c r="D17" s="19"/>
      <c r="E17" s="29">
        <v>3835</v>
      </c>
      <c r="F17" s="29">
        <f>Influent9[[#This Row],[COD (mg L-1)]]*Information!$AK$40</f>
        <v>3451.5</v>
      </c>
      <c r="G17" s="22">
        <v>5268</v>
      </c>
      <c r="H17" s="29">
        <v>8.4</v>
      </c>
      <c r="I17" s="29">
        <v>920</v>
      </c>
      <c r="J17" s="29">
        <v>225</v>
      </c>
      <c r="K17" s="29">
        <v>11.01</v>
      </c>
      <c r="L17" s="29">
        <v>0.2</v>
      </c>
      <c r="M17" s="6">
        <f>Influent9[[#This Row],[NH4-N (mg L-1)]]*1.288</f>
        <v>1819.4287999999999</v>
      </c>
      <c r="N17" s="6">
        <f>(Influent9[[#This Row],[TON (mg L-1)]]-Influent9[[#This Row],[NO2- (mg L-1)]])*4.426</f>
        <v>0.76892012800000009</v>
      </c>
      <c r="O17" s="6">
        <f>Influent9[[#This Row],[NO2-N (mg L-1)]]*3.284</f>
        <v>2.6272E-2</v>
      </c>
      <c r="P17" s="29">
        <v>1412.6</v>
      </c>
      <c r="Q17" s="29">
        <v>8.0000000000000002E-3</v>
      </c>
      <c r="R17" s="19">
        <f>IF(Influent9[[#This Row],[TON (mg L-1)]]-Influent9[[#This Row],[NO2-N (mg L-1)]]&lt;0,0.2,Influent9[[#This Row],[TON (mg L-1)]]-Influent9[[#This Row],[NO2-N (mg L-1)]])</f>
        <v>0.192</v>
      </c>
      <c r="S17" s="6">
        <f>SUM(Influent9[[#This Row],[NO3-N (mg L-1)]],Influent9[[#This Row],[NO2-N (mg L-1)]],Influent9[[#This Row],[NH4-N (mg L-1)]])</f>
        <v>1412.8</v>
      </c>
      <c r="T17" s="19">
        <f>IFERROR(Influent9[[#This Row],[sCOD (mg L-1)]]/Influent9[[#This Row],[TN (mg L-1)]], 0)</f>
        <v>2.4430209513023784</v>
      </c>
      <c r="U17" s="19">
        <f>Influent9[[#This Row],[Alkalinity (mg CaCO3 L-1) ]]/Influent9[[#This Row],[TN (mg L-1)]]</f>
        <v>3.7287655719139301</v>
      </c>
      <c r="V17" s="19">
        <f>Influent9[[#This Row],[VSS (mg L-1)]]/Influent9[[#This Row],[TSS (mg L-1)]]</f>
        <v>0.24456521739130435</v>
      </c>
    </row>
    <row r="18" spans="1:22" x14ac:dyDescent="0.3">
      <c r="A18" s="128">
        <v>43341</v>
      </c>
      <c r="B18" s="29">
        <v>15</v>
      </c>
      <c r="C18" s="19">
        <v>24.865800705935879</v>
      </c>
      <c r="D18" s="19"/>
      <c r="G18" s="22">
        <v>4644</v>
      </c>
      <c r="H18" s="29">
        <v>8.4</v>
      </c>
      <c r="K18" s="29">
        <v>13.52</v>
      </c>
      <c r="L18" s="29">
        <v>0.2</v>
      </c>
      <c r="M18" s="6">
        <f>Influent9[[#This Row],[NH4-N (mg L-1)]]*1.288</f>
        <v>1592.8696</v>
      </c>
      <c r="N18" s="6">
        <f>(Influent9[[#This Row],[TON (mg L-1)]]-Influent9[[#This Row],[NO2- (mg L-1)]])*4.426</f>
        <v>0.76892012800000009</v>
      </c>
      <c r="O18" s="6">
        <f>Influent9[[#This Row],[NO2-N (mg L-1)]]*3.284</f>
        <v>2.6272E-2</v>
      </c>
      <c r="P18" s="29">
        <v>1236.7</v>
      </c>
      <c r="Q18" s="29">
        <v>8.0000000000000002E-3</v>
      </c>
      <c r="R18" s="19">
        <f>IF(Influent9[[#This Row],[TON (mg L-1)]]-Influent9[[#This Row],[NO2-N (mg L-1)]]&lt;0,0.2,Influent9[[#This Row],[TON (mg L-1)]]-Influent9[[#This Row],[NO2-N (mg L-1)]])</f>
        <v>0.192</v>
      </c>
      <c r="S18" s="6">
        <f>SUM(Influent9[[#This Row],[NO3-N (mg L-1)]],Influent9[[#This Row],[NO2-N (mg L-1)]],Influent9[[#This Row],[NH4-N (mg L-1)]])</f>
        <v>1236.9000000000001</v>
      </c>
      <c r="T18" s="19"/>
      <c r="U18" s="19">
        <f>Influent9[[#This Row],[Alkalinity (mg CaCO3 L-1) ]]/Influent9[[#This Row],[TN (mg L-1)]]</f>
        <v>3.7545476594712586</v>
      </c>
      <c r="V18" s="19"/>
    </row>
    <row r="19" spans="1:22" x14ac:dyDescent="0.3">
      <c r="A19" s="128">
        <v>43342</v>
      </c>
      <c r="B19" s="29">
        <v>16</v>
      </c>
      <c r="C19" s="19">
        <v>24.870436711097831</v>
      </c>
      <c r="D19" s="19"/>
      <c r="E19" s="29">
        <v>3350</v>
      </c>
      <c r="F19" s="29">
        <f>Influent9[[#This Row],[COD (mg L-1)]]*Information!$AK$40</f>
        <v>3015</v>
      </c>
      <c r="G19" s="22">
        <v>5012</v>
      </c>
      <c r="H19" s="29">
        <v>8.5</v>
      </c>
      <c r="I19" s="29">
        <v>680</v>
      </c>
      <c r="K19" s="29">
        <v>13.79</v>
      </c>
      <c r="L19" s="29">
        <v>0.2</v>
      </c>
      <c r="M19" s="6">
        <f>Influent9[[#This Row],[NH4-N (mg L-1)]]*1.288</f>
        <v>1717.6768</v>
      </c>
      <c r="N19" s="6">
        <f>(Influent9[[#This Row],[TON (mg L-1)]]-Influent9[[#This Row],[NO2- (mg L-1)]])*4.426</f>
        <v>0.76892012800000009</v>
      </c>
      <c r="O19" s="6">
        <f>Influent9[[#This Row],[NO2-N (mg L-1)]]*3.284</f>
        <v>2.6272E-2</v>
      </c>
      <c r="P19" s="29">
        <v>1333.6</v>
      </c>
      <c r="Q19" s="29">
        <v>8.0000000000000002E-3</v>
      </c>
      <c r="R19" s="19">
        <f>IF(Influent9[[#This Row],[TON (mg L-1)]]-Influent9[[#This Row],[NO2-N (mg L-1)]]&lt;0,0.2,Influent9[[#This Row],[TON (mg L-1)]]-Influent9[[#This Row],[NO2-N (mg L-1)]])</f>
        <v>0.192</v>
      </c>
      <c r="S19" s="6">
        <f>SUM(Influent9[[#This Row],[NO3-N (mg L-1)]],Influent9[[#This Row],[NO2-N (mg L-1)]],Influent9[[#This Row],[NH4-N (mg L-1)]])</f>
        <v>1333.8</v>
      </c>
      <c r="T19" s="19">
        <f>IFERROR(Influent9[[#This Row],[sCOD (mg L-1)]]/Influent9[[#This Row],[TN (mg L-1)]], 0)</f>
        <v>2.260458839406208</v>
      </c>
      <c r="U19" s="19">
        <f>Influent9[[#This Row],[Alkalinity (mg CaCO3 L-1) ]]/Influent9[[#This Row],[TN (mg L-1)]]</f>
        <v>3.7576848103163893</v>
      </c>
      <c r="V19" s="19">
        <f>Influent9[[#This Row],[VSS (mg L-1)]]/Influent9[[#This Row],[TSS (mg L-1)]]</f>
        <v>0</v>
      </c>
    </row>
    <row r="20" spans="1:22" x14ac:dyDescent="0.3">
      <c r="A20" s="128">
        <v>43343</v>
      </c>
      <c r="B20" s="29">
        <v>17</v>
      </c>
      <c r="C20" s="19"/>
      <c r="D20" s="19"/>
      <c r="G20" s="22"/>
      <c r="K20" s="6"/>
      <c r="L20" s="19"/>
      <c r="M20" s="6"/>
      <c r="N20" s="6"/>
      <c r="O20" s="6"/>
      <c r="P20" s="6"/>
      <c r="Q20" s="20"/>
      <c r="R20" s="19"/>
      <c r="S20" s="6"/>
      <c r="T20" s="19"/>
      <c r="U20" s="19"/>
      <c r="V20" s="19"/>
    </row>
    <row r="21" spans="1:22" x14ac:dyDescent="0.3">
      <c r="A21" s="128">
        <v>43344</v>
      </c>
      <c r="B21" s="29">
        <v>18</v>
      </c>
      <c r="C21" s="19"/>
      <c r="D21" s="19"/>
      <c r="G21" s="22"/>
      <c r="K21" s="6"/>
      <c r="L21" s="19"/>
      <c r="M21" s="6"/>
      <c r="N21" s="6"/>
      <c r="O21" s="6"/>
      <c r="P21" s="6"/>
      <c r="Q21" s="20"/>
      <c r="R21" s="19"/>
      <c r="S21" s="6"/>
      <c r="T21" s="19"/>
      <c r="U21" s="19"/>
      <c r="V21" s="19"/>
    </row>
    <row r="22" spans="1:22" x14ac:dyDescent="0.3">
      <c r="A22" s="128">
        <v>43345</v>
      </c>
      <c r="B22" s="29">
        <v>19</v>
      </c>
      <c r="C22" s="19"/>
      <c r="D22" s="19"/>
      <c r="G22" s="22"/>
      <c r="K22" s="6"/>
      <c r="L22" s="19"/>
      <c r="M22" s="6"/>
      <c r="N22" s="6"/>
      <c r="O22" s="6"/>
      <c r="P22" s="6"/>
      <c r="Q22" s="20"/>
      <c r="R22" s="19"/>
      <c r="S22" s="6"/>
      <c r="T22" s="19"/>
      <c r="U22" s="19"/>
      <c r="V22" s="19"/>
    </row>
    <row r="23" spans="1:22" x14ac:dyDescent="0.3">
      <c r="A23" s="128">
        <v>43346</v>
      </c>
      <c r="B23" s="29">
        <v>20</v>
      </c>
      <c r="C23" s="19"/>
      <c r="D23" s="19"/>
      <c r="G23" s="22"/>
      <c r="K23" s="6"/>
      <c r="L23" s="19"/>
      <c r="M23" s="6"/>
      <c r="N23" s="6"/>
      <c r="O23" s="6"/>
      <c r="P23" s="6"/>
      <c r="Q23" s="20"/>
      <c r="R23" s="19"/>
      <c r="S23" s="6"/>
      <c r="T23" s="19"/>
      <c r="U23" s="19"/>
      <c r="V23" s="19"/>
    </row>
    <row r="24" spans="1:22" x14ac:dyDescent="0.3">
      <c r="A24" s="128">
        <v>43347</v>
      </c>
      <c r="B24" s="29">
        <v>21</v>
      </c>
      <c r="C24" s="19"/>
      <c r="D24" s="19"/>
      <c r="G24" s="22"/>
      <c r="K24" s="6"/>
      <c r="L24" s="19"/>
      <c r="M24" s="6"/>
      <c r="N24" s="6"/>
      <c r="O24" s="6"/>
      <c r="P24" s="6"/>
      <c r="Q24" s="20"/>
      <c r="R24" s="19"/>
      <c r="S24" s="6"/>
      <c r="T24" s="19"/>
      <c r="U24" s="19"/>
      <c r="V24" s="19"/>
    </row>
    <row r="25" spans="1:22" x14ac:dyDescent="0.3">
      <c r="A25" s="128">
        <v>43348</v>
      </c>
      <c r="B25" s="29">
        <v>22</v>
      </c>
      <c r="C25" s="19"/>
      <c r="D25" s="19"/>
      <c r="G25" s="22"/>
      <c r="K25" s="6"/>
      <c r="L25" s="19"/>
      <c r="M25" s="6"/>
      <c r="N25" s="6"/>
      <c r="O25" s="6"/>
      <c r="P25" s="6"/>
      <c r="Q25" s="20"/>
      <c r="R25" s="19"/>
      <c r="S25" s="6"/>
      <c r="T25" s="19"/>
      <c r="U25" s="19"/>
      <c r="V25" s="19"/>
    </row>
    <row r="26" spans="1:22" x14ac:dyDescent="0.3">
      <c r="A26" s="128">
        <v>43349</v>
      </c>
      <c r="B26" s="29">
        <v>23</v>
      </c>
      <c r="C26" s="19"/>
      <c r="D26" s="19"/>
      <c r="G26" s="22"/>
      <c r="K26" s="6"/>
      <c r="L26" s="19"/>
      <c r="M26" s="6"/>
      <c r="N26" s="6"/>
      <c r="O26" s="6"/>
      <c r="P26" s="6"/>
      <c r="Q26" s="20"/>
      <c r="R26" s="19"/>
      <c r="S26" s="6"/>
      <c r="T26" s="19"/>
      <c r="U26" s="19"/>
      <c r="V26" s="19"/>
    </row>
    <row r="27" spans="1:22" x14ac:dyDescent="0.3">
      <c r="A27" s="128">
        <v>43350</v>
      </c>
      <c r="B27" s="29">
        <v>24</v>
      </c>
      <c r="C27" s="19"/>
      <c r="D27" s="19"/>
      <c r="G27" s="22"/>
      <c r="K27" s="6"/>
      <c r="L27" s="19"/>
      <c r="M27" s="6"/>
      <c r="N27" s="6"/>
      <c r="O27" s="6"/>
      <c r="P27" s="6"/>
      <c r="Q27" s="20"/>
      <c r="R27" s="19"/>
      <c r="S27" s="6"/>
      <c r="T27" s="19"/>
      <c r="U27" s="19"/>
      <c r="V27" s="19"/>
    </row>
    <row r="28" spans="1:22" x14ac:dyDescent="0.3">
      <c r="A28" s="128">
        <v>43351</v>
      </c>
      <c r="B28" s="29">
        <v>25</v>
      </c>
      <c r="C28" s="19"/>
      <c r="D28" s="19"/>
      <c r="G28" s="22"/>
      <c r="K28" s="6"/>
      <c r="L28" s="19"/>
      <c r="M28" s="6"/>
      <c r="N28" s="6"/>
      <c r="O28" s="6"/>
      <c r="P28" s="6"/>
      <c r="Q28" s="20"/>
      <c r="R28" s="19"/>
      <c r="S28" s="6"/>
      <c r="T28" s="19"/>
      <c r="U28" s="19"/>
      <c r="V28" s="19"/>
    </row>
    <row r="29" spans="1:22" x14ac:dyDescent="0.3">
      <c r="A29" s="128">
        <v>43352</v>
      </c>
      <c r="B29" s="29">
        <v>26</v>
      </c>
      <c r="C29" s="19"/>
      <c r="D29" s="19"/>
      <c r="G29" s="22"/>
      <c r="K29" s="6"/>
      <c r="L29" s="19"/>
      <c r="M29" s="6"/>
      <c r="N29" s="6"/>
      <c r="O29" s="6"/>
      <c r="P29" s="6"/>
      <c r="Q29" s="20"/>
      <c r="R29" s="19"/>
      <c r="S29" s="6"/>
      <c r="T29" s="19"/>
      <c r="U29" s="19"/>
      <c r="V29" s="19"/>
    </row>
    <row r="30" spans="1:22" x14ac:dyDescent="0.3">
      <c r="A30" s="128">
        <v>43353</v>
      </c>
      <c r="B30" s="29">
        <v>27</v>
      </c>
      <c r="C30" s="19"/>
      <c r="D30" s="19"/>
      <c r="G30" s="22"/>
      <c r="K30" s="6"/>
      <c r="L30" s="19"/>
      <c r="M30" s="6"/>
      <c r="N30" s="6"/>
      <c r="O30" s="6"/>
      <c r="P30" s="6"/>
      <c r="Q30" s="20"/>
      <c r="R30" s="19"/>
      <c r="S30" s="6"/>
      <c r="T30" s="19"/>
      <c r="U30" s="19"/>
      <c r="V30" s="19"/>
    </row>
    <row r="31" spans="1:22" x14ac:dyDescent="0.3">
      <c r="A31" s="128">
        <v>43354</v>
      </c>
      <c r="B31" s="29">
        <v>28</v>
      </c>
      <c r="C31" s="19">
        <v>25.547234015843802</v>
      </c>
      <c r="D31" s="19"/>
      <c r="E31" s="29">
        <v>2825</v>
      </c>
      <c r="F31" s="29">
        <f>Influent9[[#This Row],[COD (mg L-1)]]*Information!$AK$40</f>
        <v>2542.5</v>
      </c>
      <c r="G31" s="29">
        <v>4419</v>
      </c>
      <c r="H31" s="29">
        <v>8.5</v>
      </c>
      <c r="I31" s="29">
        <v>324</v>
      </c>
      <c r="K31" s="29">
        <v>14.18</v>
      </c>
      <c r="L31" s="29">
        <v>0.3</v>
      </c>
      <c r="M31" s="6">
        <f>Influent9[[#This Row],[NH4-N (mg L-1)]]*1.288</f>
        <v>1496.3984</v>
      </c>
      <c r="N31" s="6">
        <f>(Influent9[[#This Row],[TON (mg L-1)]]-Influent9[[#This Row],[NO2- (mg L-1)]])*4.426</f>
        <v>-334.72103007999999</v>
      </c>
      <c r="O31" s="6">
        <f>Influent9[[#This Row],[NO2-N (mg L-1)]]*3.284</f>
        <v>75.926079999999999</v>
      </c>
      <c r="P31" s="29">
        <v>1161.8</v>
      </c>
      <c r="Q31" s="29">
        <v>23.12</v>
      </c>
      <c r="R31" s="19">
        <f>IF(Influent9[[#This Row],[TON (mg L-1)]]-Influent9[[#This Row],[NO2-N (mg L-1)]]&lt;0,0.2,Influent9[[#This Row],[TON (mg L-1)]]-Influent9[[#This Row],[NO2-N (mg L-1)]])</f>
        <v>0.2</v>
      </c>
      <c r="S31" s="6">
        <f>SUM(Influent9[[#This Row],[NO3-N (mg L-1)]],Influent9[[#This Row],[NO2-N (mg L-1)]],Influent9[[#This Row],[NH4-N (mg L-1)]])</f>
        <v>1185.1199999999999</v>
      </c>
      <c r="T31" s="19">
        <f>IFERROR(Influent9[[#This Row],[sCOD (mg L-1)]]/Influent9[[#This Row],[TN (mg L-1)]], 0)</f>
        <v>2.145352369380316</v>
      </c>
      <c r="U31" s="19">
        <f>Influent9[[#This Row],[Alkalinity (mg CaCO3 L-1) ]]/Influent9[[#This Row],[TN (mg L-1)]]</f>
        <v>3.7287363304981778</v>
      </c>
      <c r="V31" s="19">
        <f>Influent9[[#This Row],[VSS (mg L-1)]]/Influent9[[#This Row],[TSS (mg L-1)]]</f>
        <v>0</v>
      </c>
    </row>
    <row r="32" spans="1:22" x14ac:dyDescent="0.3">
      <c r="A32" s="128">
        <v>43358</v>
      </c>
      <c r="B32" s="29">
        <v>32</v>
      </c>
      <c r="C32" s="19">
        <v>22.668476619144482</v>
      </c>
      <c r="D32" s="19"/>
      <c r="E32" s="29">
        <v>2820</v>
      </c>
      <c r="F32" s="29">
        <f>Influent9[[#This Row],[COD (mg L-1)]]*Information!$AK$40</f>
        <v>2538</v>
      </c>
      <c r="G32" s="29">
        <v>4736</v>
      </c>
      <c r="H32" s="29">
        <v>8.4</v>
      </c>
      <c r="I32" s="29">
        <v>140</v>
      </c>
      <c r="K32" s="29">
        <v>13.97</v>
      </c>
      <c r="L32" s="29">
        <v>0.2</v>
      </c>
      <c r="M32" s="6">
        <f>Influent9[[#This Row],[NH4-N (mg L-1)]]*1.288</f>
        <v>1929.0376000000001</v>
      </c>
      <c r="N32" s="6">
        <f>(Influent9[[#This Row],[TON (mg L-1)]]-Influent9[[#This Row],[NO2- (mg L-1)]])*4.426</f>
        <v>0.76892012800000009</v>
      </c>
      <c r="O32" s="6">
        <f>Influent9[[#This Row],[NO2-N (mg L-1)]]*3.284</f>
        <v>2.6272E-2</v>
      </c>
      <c r="P32" s="29">
        <v>1497.7</v>
      </c>
      <c r="Q32" s="29">
        <v>8.0000000000000002E-3</v>
      </c>
      <c r="R32" s="19">
        <f>IF(Influent9[[#This Row],[TON (mg L-1)]]-Influent9[[#This Row],[NO2-N (mg L-1)]]&lt;0,0.2,Influent9[[#This Row],[TON (mg L-1)]]-Influent9[[#This Row],[NO2-N (mg L-1)]])</f>
        <v>0.192</v>
      </c>
      <c r="S32" s="6">
        <f>SUM(Influent9[[#This Row],[NO3-N (mg L-1)]],Influent9[[#This Row],[NO2-N (mg L-1)]],Influent9[[#This Row],[NH4-N (mg L-1)]])</f>
        <v>1497.9</v>
      </c>
      <c r="T32" s="19">
        <f>IFERROR(Influent9[[#This Row],[sCOD (mg L-1)]]/Influent9[[#This Row],[TN (mg L-1)]], 0)</f>
        <v>1.694372120969357</v>
      </c>
      <c r="U32" s="19">
        <f>Influent9[[#This Row],[Alkalinity (mg CaCO3 L-1) ]]/Influent9[[#This Row],[TN (mg L-1)]]</f>
        <v>3.1617597970492022</v>
      </c>
      <c r="V32" s="19">
        <f>Influent9[[#This Row],[VSS (mg L-1)]]/Influent9[[#This Row],[TSS (mg L-1)]]</f>
        <v>0</v>
      </c>
    </row>
    <row r="33" spans="1:22" x14ac:dyDescent="0.3">
      <c r="A33" s="128">
        <v>43359</v>
      </c>
      <c r="B33" s="29">
        <v>33</v>
      </c>
      <c r="C33" s="19">
        <v>23.059881545321389</v>
      </c>
      <c r="D33" s="19"/>
      <c r="E33" s="29">
        <v>2800</v>
      </c>
      <c r="F33" s="29">
        <f>Influent9[[#This Row],[COD (mg L-1)]]*Information!$AK$40</f>
        <v>2520</v>
      </c>
      <c r="G33" s="29">
        <v>4833</v>
      </c>
      <c r="H33" s="29">
        <v>8.5</v>
      </c>
      <c r="I33" s="29">
        <v>128</v>
      </c>
      <c r="K33" s="29">
        <v>12.78</v>
      </c>
      <c r="L33" s="29">
        <v>0.2</v>
      </c>
      <c r="M33" s="6">
        <f>Influent9[[#This Row],[NH4-N (mg L-1)]]*1.288</f>
        <v>1889.6247999999998</v>
      </c>
      <c r="N33" s="6">
        <f>(Influent9[[#This Row],[TON (mg L-1)]]-Influent9[[#This Row],[NO2- (mg L-1)]])*4.426</f>
        <v>0.76892012800000009</v>
      </c>
      <c r="O33" s="6">
        <f>Influent9[[#This Row],[NO2-N (mg L-1)]]*3.284</f>
        <v>2.6272E-2</v>
      </c>
      <c r="P33" s="29">
        <v>1467.1</v>
      </c>
      <c r="Q33" s="29">
        <v>8.0000000000000002E-3</v>
      </c>
      <c r="R33" s="19">
        <f>IF(Influent9[[#This Row],[TON (mg L-1)]]-Influent9[[#This Row],[NO2-N (mg L-1)]]&lt;0,0.2,Influent9[[#This Row],[TON (mg L-1)]]-Influent9[[#This Row],[NO2-N (mg L-1)]])</f>
        <v>0.192</v>
      </c>
      <c r="S33" s="6">
        <f>SUM(Influent9[[#This Row],[NO3-N (mg L-1)]],Influent9[[#This Row],[NO2-N (mg L-1)]],Influent9[[#This Row],[NH4-N (mg L-1)]])</f>
        <v>1467.3</v>
      </c>
      <c r="T33" s="19">
        <f>IFERROR(Influent9[[#This Row],[sCOD (mg L-1)]]/Influent9[[#This Row],[TN (mg L-1)]], 0)</f>
        <v>1.7174401962788797</v>
      </c>
      <c r="U33" s="19">
        <f>Influent9[[#This Row],[Alkalinity (mg CaCO3 L-1) ]]/Influent9[[#This Row],[TN (mg L-1)]]</f>
        <v>3.2938049478634226</v>
      </c>
      <c r="V33" s="19">
        <f>Influent9[[#This Row],[VSS (mg L-1)]]/Influent9[[#This Row],[TSS (mg L-1)]]</f>
        <v>0</v>
      </c>
    </row>
    <row r="34" spans="1:22" x14ac:dyDescent="0.3">
      <c r="A34" s="128">
        <v>43360</v>
      </c>
      <c r="B34" s="29">
        <v>34</v>
      </c>
      <c r="C34" s="19">
        <v>22.83135302105698</v>
      </c>
      <c r="D34" s="19"/>
      <c r="E34" s="29">
        <v>2855</v>
      </c>
      <c r="F34" s="29">
        <f>Influent9[[#This Row],[COD (mg L-1)]]*Information!$AK$40</f>
        <v>2569.5</v>
      </c>
      <c r="G34" s="29">
        <v>5126</v>
      </c>
      <c r="H34" s="29">
        <v>8.5</v>
      </c>
      <c r="I34" s="29">
        <v>244</v>
      </c>
      <c r="K34" s="29">
        <v>11.79</v>
      </c>
      <c r="L34" s="29">
        <v>0.2</v>
      </c>
      <c r="M34" s="6">
        <f>Influent9[[#This Row],[NH4-N (mg L-1)]]*1.288</f>
        <v>1933.8032000000001</v>
      </c>
      <c r="N34" s="6">
        <f>(Influent9[[#This Row],[TON (mg L-1)]]-Influent9[[#This Row],[NO2- (mg L-1)]])*4.426</f>
        <v>0.76892012800000009</v>
      </c>
      <c r="O34" s="6">
        <f>Influent9[[#This Row],[NO2-N (mg L-1)]]*3.284</f>
        <v>2.6272E-2</v>
      </c>
      <c r="P34" s="29">
        <v>1501.4</v>
      </c>
      <c r="Q34" s="29">
        <v>8.0000000000000002E-3</v>
      </c>
      <c r="R34" s="19">
        <f>IF(Influent9[[#This Row],[TON (mg L-1)]]-Influent9[[#This Row],[NO2-N (mg L-1)]]&lt;0,0.2,Influent9[[#This Row],[TON (mg L-1)]]-Influent9[[#This Row],[NO2-N (mg L-1)]])</f>
        <v>0.192</v>
      </c>
      <c r="S34" s="6">
        <f>SUM(Influent9[[#This Row],[NO3-N (mg L-1)]],Influent9[[#This Row],[NO2-N (mg L-1)]],Influent9[[#This Row],[NH4-N (mg L-1)]])</f>
        <v>1501.6000000000001</v>
      </c>
      <c r="T34" s="19">
        <f>IFERROR(Influent9[[#This Row],[sCOD (mg L-1)]]/Influent9[[#This Row],[TN (mg L-1)]], 0)</f>
        <v>1.7111747469366008</v>
      </c>
      <c r="U34" s="19">
        <f>Influent9[[#This Row],[Alkalinity (mg CaCO3 L-1) ]]/Influent9[[#This Row],[TN (mg L-1)]]</f>
        <v>3.4136920618007456</v>
      </c>
      <c r="V34" s="19">
        <f>Influent9[[#This Row],[VSS (mg L-1)]]/Influent9[[#This Row],[TSS (mg L-1)]]</f>
        <v>0</v>
      </c>
    </row>
    <row r="35" spans="1:22" x14ac:dyDescent="0.3">
      <c r="A35" s="128">
        <v>43361</v>
      </c>
      <c r="B35" s="29">
        <v>35</v>
      </c>
      <c r="C35" s="19">
        <v>21.763233216592564</v>
      </c>
      <c r="D35" s="19"/>
      <c r="E35" s="29">
        <v>2795</v>
      </c>
      <c r="F35" s="29">
        <f>Influent9[[#This Row],[COD (mg L-1)]]*Information!$AK$40</f>
        <v>2515.5</v>
      </c>
      <c r="G35" s="29">
        <v>4651</v>
      </c>
      <c r="H35" s="29">
        <v>8.4</v>
      </c>
      <c r="I35" s="29">
        <v>350</v>
      </c>
      <c r="J35" s="29">
        <v>90</v>
      </c>
      <c r="K35" s="29">
        <v>14.78</v>
      </c>
      <c r="L35" s="29">
        <v>0.2</v>
      </c>
      <c r="M35" s="6">
        <f>Influent9[[#This Row],[NH4-N (mg L-1)]]*1.288</f>
        <v>1637.1768</v>
      </c>
      <c r="N35" s="6">
        <f>(Influent9[[#This Row],[TON (mg L-1)]]-Influent9[[#This Row],[NO2- (mg L-1)]])*4.426</f>
        <v>-93.504986095999996</v>
      </c>
      <c r="O35" s="6">
        <f>Influent9[[#This Row],[NO2-N (mg L-1)]]*3.284</f>
        <v>21.326295999999999</v>
      </c>
      <c r="P35" s="29">
        <v>1271.0999999999999</v>
      </c>
      <c r="Q35" s="29">
        <v>6.4939999999999998</v>
      </c>
      <c r="R35" s="19">
        <f>IF(Influent9[[#This Row],[TON (mg L-1)]]-Influent9[[#This Row],[NO2-N (mg L-1)]]&lt;0,0.2,Influent9[[#This Row],[TON (mg L-1)]]-Influent9[[#This Row],[NO2-N (mg L-1)]])</f>
        <v>0.2</v>
      </c>
      <c r="S35" s="6">
        <f>SUM(Influent9[[#This Row],[NO3-N (mg L-1)]],Influent9[[#This Row],[NO2-N (mg L-1)]],Influent9[[#This Row],[NH4-N (mg L-1)]])</f>
        <v>1277.7939999999999</v>
      </c>
      <c r="T35" s="19">
        <f>IFERROR(Influent9[[#This Row],[sCOD (mg L-1)]]/Influent9[[#This Row],[TN (mg L-1)]], 0)</f>
        <v>1.9686271809070948</v>
      </c>
      <c r="U35" s="19">
        <f>Influent9[[#This Row],[Alkalinity (mg CaCO3 L-1) ]]/Influent9[[#This Row],[TN (mg L-1)]]</f>
        <v>3.6398668329949904</v>
      </c>
      <c r="V35" s="19">
        <f>Influent9[[#This Row],[VSS (mg L-1)]]/Influent9[[#This Row],[TSS (mg L-1)]]</f>
        <v>0.25714285714285712</v>
      </c>
    </row>
    <row r="36" spans="1:22" x14ac:dyDescent="0.3">
      <c r="A36" s="128">
        <v>43362</v>
      </c>
      <c r="B36" s="29">
        <v>36</v>
      </c>
      <c r="C36" s="19">
        <v>24.421756774176743</v>
      </c>
      <c r="D36" s="19"/>
      <c r="E36" s="29">
        <v>2800</v>
      </c>
      <c r="F36" s="29">
        <f>Influent9[[#This Row],[COD (mg L-1)]]*Information!$AK$40</f>
        <v>2520</v>
      </c>
      <c r="G36" s="29">
        <v>4520</v>
      </c>
      <c r="H36" s="29">
        <v>8.4</v>
      </c>
      <c r="I36" s="29">
        <v>810</v>
      </c>
      <c r="J36" s="29">
        <v>320</v>
      </c>
      <c r="K36" s="29">
        <v>11.86</v>
      </c>
      <c r="L36" s="29">
        <v>0.2</v>
      </c>
      <c r="M36" s="6">
        <f>Influent9[[#This Row],[NH4-N (mg L-1)]]*1.288</f>
        <v>1606.78</v>
      </c>
      <c r="N36" s="6">
        <f>(Influent9[[#This Row],[TON (mg L-1)]]-Influent9[[#This Row],[NO2- (mg L-1)]])*4.426</f>
        <v>0.76892012800000009</v>
      </c>
      <c r="O36" s="6">
        <f>Influent9[[#This Row],[NO2-N (mg L-1)]]*3.284</f>
        <v>2.6272E-2</v>
      </c>
      <c r="P36" s="29">
        <v>1247.5</v>
      </c>
      <c r="Q36" s="29">
        <v>8.0000000000000002E-3</v>
      </c>
      <c r="R36" s="19">
        <f>IF(Influent9[[#This Row],[TON (mg L-1)]]-Influent9[[#This Row],[NO2-N (mg L-1)]]&lt;0,0.2,Influent9[[#This Row],[TON (mg L-1)]]-Influent9[[#This Row],[NO2-N (mg L-1)]])</f>
        <v>0.192</v>
      </c>
      <c r="S36" s="6">
        <f>SUM(Influent9[[#This Row],[NO3-N (mg L-1)]],Influent9[[#This Row],[NO2-N (mg L-1)]],Influent9[[#This Row],[NH4-N (mg L-1)]])</f>
        <v>1247.7</v>
      </c>
      <c r="T36" s="19">
        <f>IFERROR(Influent9[[#This Row],[sCOD (mg L-1)]]/Influent9[[#This Row],[TN (mg L-1)]], 0)</f>
        <v>2.0197162779514306</v>
      </c>
      <c r="U36" s="19">
        <f>Influent9[[#This Row],[Alkalinity (mg CaCO3 L-1) ]]/Influent9[[#This Row],[TN (mg L-1)]]</f>
        <v>3.6226657048970106</v>
      </c>
      <c r="V36" s="19">
        <f>Influent9[[#This Row],[VSS (mg L-1)]]/Influent9[[#This Row],[TSS (mg L-1)]]</f>
        <v>0.39506172839506171</v>
      </c>
    </row>
    <row r="37" spans="1:22" x14ac:dyDescent="0.3">
      <c r="A37" s="128">
        <v>43363</v>
      </c>
      <c r="B37" s="29">
        <v>37</v>
      </c>
      <c r="C37" s="19">
        <v>24.361710307747902</v>
      </c>
      <c r="D37" s="19"/>
      <c r="E37" s="29">
        <v>2925</v>
      </c>
      <c r="F37" s="29">
        <f>Influent9[[#This Row],[COD (mg L-1)]]*Information!$AK$40</f>
        <v>2632.5</v>
      </c>
      <c r="G37" s="29">
        <v>5525</v>
      </c>
      <c r="H37" s="29">
        <v>8.4</v>
      </c>
      <c r="I37" s="29">
        <v>300</v>
      </c>
      <c r="J37" s="29">
        <v>96</v>
      </c>
      <c r="K37" s="29">
        <v>14.25</v>
      </c>
      <c r="L37" s="29">
        <v>0.8</v>
      </c>
      <c r="M37" s="6">
        <f>Influent9[[#This Row],[NH4-N (mg L-1)]]*1.288</f>
        <v>1919.7640000000001</v>
      </c>
      <c r="N37" s="6">
        <f>(Influent9[[#This Row],[TON (mg L-1)]]-Influent9[[#This Row],[NO2- (mg L-1)]])*4.426</f>
        <v>-372.76993576000001</v>
      </c>
      <c r="O37" s="6">
        <f>Influent9[[#This Row],[NO2-N (mg L-1)]]*3.284</f>
        <v>85.022759999999991</v>
      </c>
      <c r="P37" s="29">
        <v>1490.5</v>
      </c>
      <c r="Q37" s="29">
        <v>25.89</v>
      </c>
      <c r="R37" s="19">
        <f>IF(Influent9[[#This Row],[TON (mg L-1)]]-Influent9[[#This Row],[NO2-N (mg L-1)]]&lt;0,0.2,Influent9[[#This Row],[TON (mg L-1)]]-Influent9[[#This Row],[NO2-N (mg L-1)]])</f>
        <v>0.2</v>
      </c>
      <c r="S37" s="6">
        <f>SUM(Influent9[[#This Row],[NO3-N (mg L-1)]],Influent9[[#This Row],[NO2-N (mg L-1)]],Influent9[[#This Row],[NH4-N (mg L-1)]])</f>
        <v>1516.59</v>
      </c>
      <c r="T37" s="19">
        <f>IFERROR(Influent9[[#This Row],[sCOD (mg L-1)]]/Influent9[[#This Row],[TN (mg L-1)]], 0)</f>
        <v>1.7358020295531424</v>
      </c>
      <c r="U37" s="19">
        <f>Influent9[[#This Row],[Alkalinity (mg CaCO3 L-1) ]]/Influent9[[#This Row],[TN (mg L-1)]]</f>
        <v>3.6430412965930148</v>
      </c>
      <c r="V37" s="19">
        <f>Influent9[[#This Row],[VSS (mg L-1)]]/Influent9[[#This Row],[TSS (mg L-1)]]</f>
        <v>0.32</v>
      </c>
    </row>
    <row r="38" spans="1:22" x14ac:dyDescent="0.3">
      <c r="A38" s="128">
        <v>43364</v>
      </c>
      <c r="B38" s="29">
        <v>38</v>
      </c>
      <c r="C38" s="19">
        <v>25.568812887687642</v>
      </c>
      <c r="D38" s="19"/>
      <c r="E38" s="29">
        <v>2880</v>
      </c>
      <c r="F38" s="29">
        <f>Influent9[[#This Row],[COD (mg L-1)]]*Information!$AK$40</f>
        <v>2592</v>
      </c>
      <c r="G38" s="29">
        <v>5186</v>
      </c>
      <c r="H38" s="29">
        <v>8.4</v>
      </c>
      <c r="I38" s="29">
        <v>244</v>
      </c>
      <c r="J38" s="29">
        <v>26</v>
      </c>
      <c r="K38" s="29">
        <v>12.99</v>
      </c>
      <c r="L38" s="29">
        <v>18.2</v>
      </c>
      <c r="M38" s="6">
        <f>Influent9[[#This Row],[NH4-N (mg L-1)]]*1.288</f>
        <v>1742.02</v>
      </c>
      <c r="N38" s="6">
        <f>(Influent9[[#This Row],[TON (mg L-1)]]-Influent9[[#This Row],[NO2- (mg L-1)]])*4.426</f>
        <v>-489.16003286399996</v>
      </c>
      <c r="O38" s="6">
        <f>Influent9[[#This Row],[NO2-N (mg L-1)]]*3.284</f>
        <v>128.71966399999999</v>
      </c>
      <c r="P38" s="29">
        <v>1352.5</v>
      </c>
      <c r="Q38" s="29">
        <v>39.195999999999998</v>
      </c>
      <c r="R38" s="19">
        <f>IF(Influent9[[#This Row],[TON (mg L-1)]]-Influent9[[#This Row],[NO2-N (mg L-1)]]&lt;0,0.2,Influent9[[#This Row],[TON (mg L-1)]]-Influent9[[#This Row],[NO2-N (mg L-1)]])</f>
        <v>0.2</v>
      </c>
      <c r="S38" s="6">
        <f>SUM(Influent9[[#This Row],[NO3-N (mg L-1)]],Influent9[[#This Row],[NO2-N (mg L-1)]],Influent9[[#This Row],[NH4-N (mg L-1)]])</f>
        <v>1391.896</v>
      </c>
      <c r="T38" s="19">
        <f>IFERROR(Influent9[[#This Row],[sCOD (mg L-1)]]/Influent9[[#This Row],[TN (mg L-1)]], 0)</f>
        <v>1.862208096007173</v>
      </c>
      <c r="U38" s="19">
        <f>Influent9[[#This Row],[Alkalinity (mg CaCO3 L-1) ]]/Influent9[[#This Row],[TN (mg L-1)]]</f>
        <v>3.7258530809773145</v>
      </c>
      <c r="V38" s="19">
        <f>Influent9[[#This Row],[VSS (mg L-1)]]/Influent9[[#This Row],[TSS (mg L-1)]]</f>
        <v>0.10655737704918032</v>
      </c>
    </row>
    <row r="39" spans="1:22" x14ac:dyDescent="0.3">
      <c r="A39" s="128">
        <v>43365</v>
      </c>
      <c r="B39" s="29">
        <v>39</v>
      </c>
      <c r="C39" s="19">
        <v>21.398897966797342</v>
      </c>
      <c r="D39" s="19"/>
      <c r="E39" s="29">
        <v>2870</v>
      </c>
      <c r="F39" s="29">
        <f>Influent9[[#This Row],[COD (mg L-1)]]*Information!$AK$40</f>
        <v>2583</v>
      </c>
      <c r="G39" s="29">
        <v>5607</v>
      </c>
      <c r="H39" s="29">
        <v>8.5</v>
      </c>
      <c r="I39" s="29">
        <v>206</v>
      </c>
      <c r="J39" s="29">
        <v>33</v>
      </c>
      <c r="K39" s="29">
        <v>15.22</v>
      </c>
      <c r="L39" s="29">
        <v>2.8</v>
      </c>
      <c r="M39" s="6">
        <f>Influent9[[#This Row],[NH4-N (mg L-1)]]*1.288</f>
        <v>1788.1304</v>
      </c>
      <c r="N39" s="6">
        <f>(Influent9[[#This Row],[TON (mg L-1)]]-Influent9[[#This Row],[NO2- (mg L-1)]])*4.426</f>
        <v>-432.30503548000002</v>
      </c>
      <c r="O39" s="6">
        <f>Influent9[[#This Row],[NO2-N (mg L-1)]]*3.284</f>
        <v>100.47398</v>
      </c>
      <c r="P39" s="29">
        <v>1388.3</v>
      </c>
      <c r="Q39" s="29">
        <v>30.594999999999999</v>
      </c>
      <c r="R39" s="19">
        <f>IF(Influent9[[#This Row],[TON (mg L-1)]]-Influent9[[#This Row],[NO2-N (mg L-1)]]&lt;0,0.2,Influent9[[#This Row],[TON (mg L-1)]]-Influent9[[#This Row],[NO2-N (mg L-1)]])</f>
        <v>0.2</v>
      </c>
      <c r="S39" s="6">
        <f>SUM(Influent9[[#This Row],[NO3-N (mg L-1)]],Influent9[[#This Row],[NO2-N (mg L-1)]],Influent9[[#This Row],[NH4-N (mg L-1)]])</f>
        <v>1419.095</v>
      </c>
      <c r="T39" s="19">
        <f>IFERROR(Influent9[[#This Row],[sCOD (mg L-1)]]/Influent9[[#This Row],[TN (mg L-1)]], 0)</f>
        <v>1.8201741250585761</v>
      </c>
      <c r="U39" s="19">
        <f>Influent9[[#This Row],[Alkalinity (mg CaCO3 L-1) ]]/Influent9[[#This Row],[TN (mg L-1)]]</f>
        <v>3.9511096861027628</v>
      </c>
      <c r="V39" s="19">
        <f>Influent9[[#This Row],[VSS (mg L-1)]]/Influent9[[#This Row],[TSS (mg L-1)]]</f>
        <v>0.16019417475728157</v>
      </c>
    </row>
    <row r="40" spans="1:22" x14ac:dyDescent="0.3">
      <c r="A40" s="128">
        <v>43366</v>
      </c>
      <c r="B40" s="29">
        <v>40</v>
      </c>
      <c r="C40" s="19">
        <v>19.382756648647913</v>
      </c>
      <c r="D40" s="19"/>
      <c r="E40" s="29">
        <v>2825</v>
      </c>
      <c r="F40" s="29">
        <f>Influent9[[#This Row],[COD (mg L-1)]]*Information!$AK$40</f>
        <v>2542.5</v>
      </c>
      <c r="G40" s="29">
        <v>5402</v>
      </c>
      <c r="H40" s="29">
        <v>8.4</v>
      </c>
      <c r="I40" s="29">
        <v>206</v>
      </c>
      <c r="J40" s="29">
        <v>29</v>
      </c>
      <c r="K40" s="29">
        <v>12.93</v>
      </c>
      <c r="L40" s="29">
        <v>0.2</v>
      </c>
      <c r="M40" s="6">
        <f>Influent9[[#This Row],[NH4-N (mg L-1)]]*1.288</f>
        <v>1825.9976000000001</v>
      </c>
      <c r="N40" s="6">
        <f>(Influent9[[#This Row],[TON (mg L-1)]]-Influent9[[#This Row],[NO2- (mg L-1)]])*4.426</f>
        <v>0.76892012800000009</v>
      </c>
      <c r="O40" s="6">
        <f>Influent9[[#This Row],[NO2-N (mg L-1)]]*3.284</f>
        <v>2.6272E-2</v>
      </c>
      <c r="P40" s="29">
        <v>1417.7</v>
      </c>
      <c r="Q40" s="29">
        <v>8.0000000000000002E-3</v>
      </c>
      <c r="R40" s="19">
        <f>IF(Influent9[[#This Row],[TON (mg L-1)]]-Influent9[[#This Row],[NO2-N (mg L-1)]]&lt;0,0.2,Influent9[[#This Row],[TON (mg L-1)]]-Influent9[[#This Row],[NO2-N (mg L-1)]])</f>
        <v>0.192</v>
      </c>
      <c r="S40" s="6">
        <f>SUM(Influent9[[#This Row],[NO3-N (mg L-1)]],Influent9[[#This Row],[NO2-N (mg L-1)]],Influent9[[#This Row],[NH4-N (mg L-1)]])</f>
        <v>1417.9</v>
      </c>
      <c r="T40" s="19">
        <f>IFERROR(Influent9[[#This Row],[sCOD (mg L-1)]]/Influent9[[#This Row],[TN (mg L-1)]], 0)</f>
        <v>1.7931447915932011</v>
      </c>
      <c r="U40" s="19">
        <f>Influent9[[#This Row],[Alkalinity (mg CaCO3 L-1) ]]/Influent9[[#This Row],[TN (mg L-1)]]</f>
        <v>3.8098596515974328</v>
      </c>
      <c r="V40" s="19">
        <f>Influent9[[#This Row],[VSS (mg L-1)]]/Influent9[[#This Row],[TSS (mg L-1)]]</f>
        <v>0.14077669902912621</v>
      </c>
    </row>
    <row r="41" spans="1:22" x14ac:dyDescent="0.3">
      <c r="A41" s="128">
        <v>43367</v>
      </c>
      <c r="B41" s="29">
        <v>41</v>
      </c>
      <c r="C41" s="19">
        <v>23.744653550836205</v>
      </c>
      <c r="D41" s="19"/>
      <c r="E41" s="29">
        <v>2800</v>
      </c>
      <c r="F41" s="29">
        <f>Influent9[[#This Row],[COD (mg L-1)]]*Information!$AK$40</f>
        <v>2520</v>
      </c>
      <c r="G41" s="29">
        <v>5678</v>
      </c>
      <c r="H41" s="29">
        <v>8.5</v>
      </c>
      <c r="I41" s="29">
        <v>214</v>
      </c>
      <c r="J41" s="29">
        <v>39</v>
      </c>
      <c r="K41" s="29">
        <v>14.94</v>
      </c>
      <c r="L41" s="29">
        <v>12.6</v>
      </c>
      <c r="M41" s="6">
        <f>Influent9[[#This Row],[NH4-N (mg L-1)]]*1.288</f>
        <v>1757.9912000000002</v>
      </c>
      <c r="N41" s="6">
        <f>(Influent9[[#This Row],[TON (mg L-1)]]-Influent9[[#This Row],[NO2- (mg L-1)]])*4.426</f>
        <v>-470.58777559200001</v>
      </c>
      <c r="O41" s="6">
        <f>Influent9[[#This Row],[NO2-N (mg L-1)]]*3.284</f>
        <v>118.923492</v>
      </c>
      <c r="P41" s="29">
        <v>1364.9</v>
      </c>
      <c r="Q41" s="29">
        <v>36.213000000000001</v>
      </c>
      <c r="R41" s="19">
        <f>IF(Influent9[[#This Row],[TON (mg L-1)]]-Influent9[[#This Row],[NO2-N (mg L-1)]]&lt;0,0.2,Influent9[[#This Row],[TON (mg L-1)]]-Influent9[[#This Row],[NO2-N (mg L-1)]])</f>
        <v>0.2</v>
      </c>
      <c r="S41" s="6">
        <f>SUM(Influent9[[#This Row],[NO3-N (mg L-1)]],Influent9[[#This Row],[NO2-N (mg L-1)]],Influent9[[#This Row],[NH4-N (mg L-1)]])</f>
        <v>1401.3130000000001</v>
      </c>
      <c r="T41" s="19">
        <f>IFERROR(Influent9[[#This Row],[sCOD (mg L-1)]]/Influent9[[#This Row],[TN (mg L-1)]], 0)</f>
        <v>1.798313438896235</v>
      </c>
      <c r="U41" s="19">
        <f>Influent9[[#This Row],[Alkalinity (mg CaCO3 L-1) ]]/Influent9[[#This Row],[TN (mg L-1)]]</f>
        <v>4.0519141690685805</v>
      </c>
      <c r="V41" s="19">
        <f>Influent9[[#This Row],[VSS (mg L-1)]]/Influent9[[#This Row],[TSS (mg L-1)]]</f>
        <v>0.1822429906542056</v>
      </c>
    </row>
    <row r="42" spans="1:22" x14ac:dyDescent="0.3">
      <c r="A42" s="128">
        <v>43368</v>
      </c>
      <c r="B42" s="29">
        <v>42</v>
      </c>
      <c r="C42" s="19">
        <v>20.012292835125695</v>
      </c>
      <c r="D42" s="19"/>
      <c r="E42" s="29">
        <v>2295</v>
      </c>
      <c r="F42" s="29">
        <f>Influent9[[#This Row],[COD (mg L-1)]]*Information!$AK$40</f>
        <v>2065.5</v>
      </c>
      <c r="G42" s="29">
        <v>4423</v>
      </c>
      <c r="H42" s="29">
        <v>8.4</v>
      </c>
      <c r="I42" s="29">
        <v>600</v>
      </c>
      <c r="J42" s="29">
        <v>13</v>
      </c>
      <c r="K42" s="29">
        <v>10.84</v>
      </c>
      <c r="L42" s="29">
        <v>0.2</v>
      </c>
      <c r="M42" s="6">
        <f>Influent9[[#This Row],[NH4-N (mg L-1)]]*1.288</f>
        <v>1552.4264000000001</v>
      </c>
      <c r="N42" s="6">
        <f>(Influent9[[#This Row],[TON (mg L-1)]]-Influent9[[#This Row],[NO2- (mg L-1)]])*4.426</f>
        <v>-1.6148172479999996</v>
      </c>
      <c r="O42" s="6">
        <f>Influent9[[#This Row],[NO2-N (mg L-1)]]*3.284</f>
        <v>0.56484799999999991</v>
      </c>
      <c r="P42" s="29">
        <v>1205.3</v>
      </c>
      <c r="Q42" s="29">
        <v>0.17199999999999999</v>
      </c>
      <c r="R42" s="19">
        <f>IF(Influent9[[#This Row],[TON (mg L-1)]]-Influent9[[#This Row],[NO2-N (mg L-1)]]&lt;0,0.2,Influent9[[#This Row],[TON (mg L-1)]]-Influent9[[#This Row],[NO2-N (mg L-1)]])</f>
        <v>2.8000000000000025E-2</v>
      </c>
      <c r="S42" s="6">
        <f>SUM(Influent9[[#This Row],[NO3-N (mg L-1)]],Influent9[[#This Row],[NO2-N (mg L-1)]],Influent9[[#This Row],[NH4-N (mg L-1)]])</f>
        <v>1205.5</v>
      </c>
      <c r="T42" s="19">
        <f>IFERROR(Influent9[[#This Row],[sCOD (mg L-1)]]/Influent9[[#This Row],[TN (mg L-1)]], 0)</f>
        <v>1.7133969307341352</v>
      </c>
      <c r="U42" s="19">
        <f>Influent9[[#This Row],[Alkalinity (mg CaCO3 L-1) ]]/Influent9[[#This Row],[TN (mg L-1)]]</f>
        <v>3.6690170053919537</v>
      </c>
      <c r="V42" s="19">
        <f>Influent9[[#This Row],[VSS (mg L-1)]]/Influent9[[#This Row],[TSS (mg L-1)]]</f>
        <v>2.1666666666666667E-2</v>
      </c>
    </row>
    <row r="43" spans="1:22" x14ac:dyDescent="0.3">
      <c r="A43" s="128">
        <v>43369</v>
      </c>
      <c r="B43" s="29">
        <v>43</v>
      </c>
      <c r="C43" s="19">
        <v>18.772381543864892</v>
      </c>
      <c r="D43" s="19"/>
      <c r="E43" s="29">
        <v>2630</v>
      </c>
      <c r="F43" s="29">
        <f>Influent9[[#This Row],[COD (mg L-1)]]*Information!$AK$40</f>
        <v>2367</v>
      </c>
      <c r="G43" s="29">
        <v>4970</v>
      </c>
      <c r="H43" s="29">
        <v>8.4</v>
      </c>
      <c r="I43" s="29">
        <v>780</v>
      </c>
      <c r="J43" s="29">
        <v>150</v>
      </c>
      <c r="K43" s="29">
        <v>13.89</v>
      </c>
      <c r="L43" s="29">
        <v>0.2</v>
      </c>
      <c r="M43" s="6">
        <f>Influent9[[#This Row],[NH4-N (mg L-1)]]*1.288</f>
        <v>1772.0304000000001</v>
      </c>
      <c r="N43" s="6">
        <f>(Influent9[[#This Row],[TON (mg L-1)]]-Influent9[[#This Row],[NO2- (mg L-1)]])*4.426</f>
        <v>-2.5450562240000001</v>
      </c>
      <c r="O43" s="6">
        <f>Influent9[[#This Row],[NO2-N (mg L-1)]]*3.284</f>
        <v>0.77502399999999994</v>
      </c>
      <c r="P43" s="29">
        <v>1375.8</v>
      </c>
      <c r="Q43" s="29">
        <v>0.23599999999999999</v>
      </c>
      <c r="R43" s="19">
        <f>IF(Influent9[[#This Row],[TON (mg L-1)]]-Influent9[[#This Row],[NO2-N (mg L-1)]]&lt;0,0.2,Influent9[[#This Row],[TON (mg L-1)]]-Influent9[[#This Row],[NO2-N (mg L-1)]])</f>
        <v>0.2</v>
      </c>
      <c r="S43" s="6">
        <f>SUM(Influent9[[#This Row],[NO3-N (mg L-1)]],Influent9[[#This Row],[NO2-N (mg L-1)]],Influent9[[#This Row],[NH4-N (mg L-1)]])</f>
        <v>1376.2359999999999</v>
      </c>
      <c r="T43" s="19">
        <f>IFERROR(Influent9[[#This Row],[sCOD (mg L-1)]]/Influent9[[#This Row],[TN (mg L-1)]], 0)</f>
        <v>1.71990850406471</v>
      </c>
      <c r="U43" s="19">
        <f>Influent9[[#This Row],[Alkalinity (mg CaCO3 L-1) ]]/Influent9[[#This Row],[TN (mg L-1)]]</f>
        <v>3.6112992248422513</v>
      </c>
      <c r="V43" s="19">
        <f>Influent9[[#This Row],[VSS (mg L-1)]]/Influent9[[#This Row],[TSS (mg L-1)]]</f>
        <v>0.19230769230769232</v>
      </c>
    </row>
    <row r="44" spans="1:22" x14ac:dyDescent="0.3">
      <c r="A44" s="128">
        <v>43370</v>
      </c>
      <c r="B44" s="29">
        <v>44</v>
      </c>
      <c r="C44" s="19">
        <v>17.852152040210793</v>
      </c>
      <c r="D44" s="19"/>
      <c r="E44" s="29">
        <v>2810</v>
      </c>
      <c r="F44" s="29">
        <f>Influent9[[#This Row],[COD (mg L-1)]]*Information!$AK$40</f>
        <v>2529</v>
      </c>
      <c r="G44" s="29">
        <v>5247</v>
      </c>
      <c r="H44" s="29">
        <v>8.5</v>
      </c>
      <c r="I44" s="29">
        <v>740</v>
      </c>
      <c r="J44" s="29">
        <v>50</v>
      </c>
      <c r="K44" s="29">
        <v>18.79</v>
      </c>
      <c r="L44" s="29">
        <v>0.2</v>
      </c>
      <c r="M44" s="6">
        <f>Influent9[[#This Row],[NH4-N (mg L-1)]]*1.288</f>
        <v>1888.9808</v>
      </c>
      <c r="N44" s="6">
        <f>(Influent9[[#This Row],[TON (mg L-1)]]-Influent9[[#This Row],[NO2- (mg L-1)]])*4.426</f>
        <v>0.76892012800000009</v>
      </c>
      <c r="O44" s="6">
        <f>Influent9[[#This Row],[NO2-N (mg L-1)]]*3.284</f>
        <v>2.6272E-2</v>
      </c>
      <c r="P44" s="29">
        <v>1466.6</v>
      </c>
      <c r="Q44" s="29">
        <v>8.0000000000000002E-3</v>
      </c>
      <c r="R44" s="19">
        <f>IF(Influent9[[#This Row],[TON (mg L-1)]]-Influent9[[#This Row],[NO2-N (mg L-1)]]&lt;0,0.2,Influent9[[#This Row],[TON (mg L-1)]]-Influent9[[#This Row],[NO2-N (mg L-1)]])</f>
        <v>0.192</v>
      </c>
      <c r="S44" s="6">
        <f>SUM(Influent9[[#This Row],[NO3-N (mg L-1)]],Influent9[[#This Row],[NO2-N (mg L-1)]],Influent9[[#This Row],[NH4-N (mg L-1)]])</f>
        <v>1466.8</v>
      </c>
      <c r="T44" s="19">
        <f>IFERROR(Influent9[[#This Row],[sCOD (mg L-1)]]/Influent9[[#This Row],[TN (mg L-1)]], 0)</f>
        <v>1.7241614398691028</v>
      </c>
      <c r="U44" s="19">
        <f>Influent9[[#This Row],[Alkalinity (mg CaCO3 L-1) ]]/Influent9[[#This Row],[TN (mg L-1)]]</f>
        <v>3.5771748022907008</v>
      </c>
      <c r="V44" s="19">
        <f>Influent9[[#This Row],[VSS (mg L-1)]]/Influent9[[#This Row],[TSS (mg L-1)]]</f>
        <v>6.7567567567567571E-2</v>
      </c>
    </row>
    <row r="45" spans="1:22" x14ac:dyDescent="0.3">
      <c r="A45" s="128">
        <v>43371</v>
      </c>
      <c r="B45" s="29">
        <v>45</v>
      </c>
      <c r="C45" s="19">
        <v>24.552837541309426</v>
      </c>
      <c r="D45" s="19"/>
      <c r="E45" s="29">
        <v>2610</v>
      </c>
      <c r="F45" s="29">
        <f>Influent9[[#This Row],[COD (mg L-1)]]*Information!$AK$40</f>
        <v>2349</v>
      </c>
      <c r="G45" s="22">
        <v>4626</v>
      </c>
      <c r="H45" s="29">
        <v>8.5</v>
      </c>
      <c r="I45" s="29">
        <v>182</v>
      </c>
      <c r="J45" s="29">
        <v>37</v>
      </c>
      <c r="K45" s="6">
        <v>14.31</v>
      </c>
      <c r="L45" s="19">
        <v>0.2</v>
      </c>
      <c r="M45" s="6">
        <f>Influent9[[#This Row],[NH4-N (mg L-1)]]*1.288</f>
        <v>1634.7296000000001</v>
      </c>
      <c r="N45" s="6">
        <f>(Influent9[[#This Row],[TON (mg L-1)]]-Influent9[[#This Row],[NO2- (mg L-1)]])*4.426</f>
        <v>0.76892012800000009</v>
      </c>
      <c r="O45" s="6">
        <f>Influent9[[#This Row],[NO2-N (mg L-1)]]*3.284</f>
        <v>2.6272E-2</v>
      </c>
      <c r="P45" s="6">
        <v>1269.2</v>
      </c>
      <c r="Q45" s="20">
        <v>8.0000000000000002E-3</v>
      </c>
      <c r="R45" s="19">
        <f>IF(Influent9[[#This Row],[TON (mg L-1)]]-Influent9[[#This Row],[NO2-N (mg L-1)]]&lt;0,0.2,Influent9[[#This Row],[TON (mg L-1)]]-Influent9[[#This Row],[NO2-N (mg L-1)]])</f>
        <v>0.192</v>
      </c>
      <c r="S45" s="6">
        <f>SUM(Influent9[[#This Row],[NO3-N (mg L-1)]],Influent9[[#This Row],[NO2-N (mg L-1)]],Influent9[[#This Row],[NH4-N (mg L-1)]])</f>
        <v>1269.4000000000001</v>
      </c>
      <c r="T45" s="19">
        <f>IFERROR(Influent9[[#This Row],[sCOD (mg L-1)]]/Influent9[[#This Row],[TN (mg L-1)]], 0)</f>
        <v>1.8504805419883408</v>
      </c>
      <c r="U45" s="19">
        <f>Influent9[[#This Row],[Alkalinity (mg CaCO3 L-1) ]]/Influent9[[#This Row],[TN (mg L-1)]]</f>
        <v>3.644241373877422</v>
      </c>
      <c r="V45" s="19">
        <f>Influent9[[#This Row],[VSS (mg L-1)]]/Influent9[[#This Row],[TSS (mg L-1)]]</f>
        <v>0.2032967032967033</v>
      </c>
    </row>
    <row r="46" spans="1:22" x14ac:dyDescent="0.3">
      <c r="A46" s="128">
        <v>43372</v>
      </c>
      <c r="B46" s="29">
        <v>46</v>
      </c>
      <c r="C46" s="19">
        <v>20.372512805134999</v>
      </c>
      <c r="D46" s="19"/>
      <c r="E46" s="29">
        <v>2910</v>
      </c>
      <c r="F46" s="29">
        <f>Influent9[[#This Row],[COD (mg L-1)]]*Information!$AK$40</f>
        <v>2619</v>
      </c>
      <c r="G46" s="22">
        <v>4968</v>
      </c>
      <c r="H46" s="29">
        <v>8.3000000000000007</v>
      </c>
      <c r="I46" s="29">
        <v>154</v>
      </c>
      <c r="J46" s="29">
        <v>29</v>
      </c>
      <c r="K46" s="6">
        <v>16.260000000000002</v>
      </c>
      <c r="L46" s="19">
        <v>0.6</v>
      </c>
      <c r="M46" s="6">
        <f>Influent9[[#This Row],[NH4-N (mg L-1)]]*1.288</f>
        <v>1684.3176000000001</v>
      </c>
      <c r="N46" s="6">
        <f>(Influent9[[#This Row],[TON (mg L-1)]]-Influent9[[#This Row],[NO2- (mg L-1)]])*4.426</f>
        <v>2.539320128</v>
      </c>
      <c r="O46" s="6">
        <f>Influent9[[#This Row],[NO2-N (mg L-1)]]*3.284</f>
        <v>2.6272E-2</v>
      </c>
      <c r="P46" s="6">
        <v>1307.7</v>
      </c>
      <c r="Q46" s="20">
        <v>8.0000000000000002E-3</v>
      </c>
      <c r="R46" s="19">
        <f>IF(Influent9[[#This Row],[TON (mg L-1)]]-Influent9[[#This Row],[NO2-N (mg L-1)]]&lt;0,0.2,Influent9[[#This Row],[TON (mg L-1)]]-Influent9[[#This Row],[NO2-N (mg L-1)]])</f>
        <v>0.59199999999999997</v>
      </c>
      <c r="S46" s="6">
        <f>SUM(Influent9[[#This Row],[NO3-N (mg L-1)]],Influent9[[#This Row],[NO2-N (mg L-1)]],Influent9[[#This Row],[NH4-N (mg L-1)]])</f>
        <v>1308.3</v>
      </c>
      <c r="T46" s="19">
        <f>IFERROR(Influent9[[#This Row],[sCOD (mg L-1)]]/Influent9[[#This Row],[TN (mg L-1)]], 0)</f>
        <v>2.0018344416418254</v>
      </c>
      <c r="U46" s="19">
        <f>Influent9[[#This Row],[Alkalinity (mg CaCO3 L-1) ]]/Influent9[[#This Row],[TN (mg L-1)]]</f>
        <v>3.797294198578308</v>
      </c>
      <c r="V46" s="19">
        <f>Influent9[[#This Row],[VSS (mg L-1)]]/Influent9[[#This Row],[TSS (mg L-1)]]</f>
        <v>0.18831168831168832</v>
      </c>
    </row>
    <row r="47" spans="1:22" x14ac:dyDescent="0.3">
      <c r="A47" s="128">
        <v>43373</v>
      </c>
      <c r="B47" s="29">
        <v>47</v>
      </c>
      <c r="C47" s="19">
        <v>23.51787360051323</v>
      </c>
      <c r="D47" s="19"/>
      <c r="E47" s="29">
        <v>2970</v>
      </c>
      <c r="F47" s="29">
        <f>Influent9[[#This Row],[COD (mg L-1)]]*Information!$AK$40</f>
        <v>2673</v>
      </c>
      <c r="G47" s="22">
        <v>5227</v>
      </c>
      <c r="H47" s="29">
        <v>8.3000000000000007</v>
      </c>
      <c r="I47" s="29">
        <v>182</v>
      </c>
      <c r="J47" s="29">
        <v>27</v>
      </c>
      <c r="K47" s="6">
        <v>15.34</v>
      </c>
      <c r="L47" s="19">
        <v>0.2</v>
      </c>
      <c r="M47" s="6">
        <f>Influent9[[#This Row],[NH4-N (mg L-1)]]*1.288</f>
        <v>1777.9552000000001</v>
      </c>
      <c r="N47" s="6">
        <f>(Influent9[[#This Row],[TON (mg L-1)]]-Influent9[[#This Row],[NO2- (mg L-1)]])*4.426</f>
        <v>0.76892012800000009</v>
      </c>
      <c r="O47" s="6">
        <f>Influent9[[#This Row],[NO2-N (mg L-1)]]*3.284</f>
        <v>2.6272E-2</v>
      </c>
      <c r="P47" s="6">
        <v>1380.4</v>
      </c>
      <c r="Q47" s="20">
        <v>8.0000000000000002E-3</v>
      </c>
      <c r="R47" s="19">
        <f>IF(Influent9[[#This Row],[TON (mg L-1)]]-Influent9[[#This Row],[NO2-N (mg L-1)]]&lt;0,0.2,Influent9[[#This Row],[TON (mg L-1)]]-Influent9[[#This Row],[NO2-N (mg L-1)]])</f>
        <v>0.192</v>
      </c>
      <c r="S47" s="6">
        <f>SUM(Influent9[[#This Row],[NO3-N (mg L-1)]],Influent9[[#This Row],[NO2-N (mg L-1)]],Influent9[[#This Row],[NH4-N (mg L-1)]])</f>
        <v>1380.6000000000001</v>
      </c>
      <c r="T47" s="19">
        <f>IFERROR(Influent9[[#This Row],[sCOD (mg L-1)]]/Influent9[[#This Row],[TN (mg L-1)]], 0)</f>
        <v>1.936114732724902</v>
      </c>
      <c r="U47" s="19">
        <f>Influent9[[#This Row],[Alkalinity (mg CaCO3 L-1) ]]/Influent9[[#This Row],[TN (mg L-1)]]</f>
        <v>3.7860350572214974</v>
      </c>
      <c r="V47" s="19">
        <f>Influent9[[#This Row],[VSS (mg L-1)]]/Influent9[[#This Row],[TSS (mg L-1)]]</f>
        <v>0.14835164835164835</v>
      </c>
    </row>
    <row r="48" spans="1:22" x14ac:dyDescent="0.3">
      <c r="A48" s="128">
        <v>43374</v>
      </c>
      <c r="B48" s="29">
        <v>48</v>
      </c>
      <c r="C48" s="19">
        <v>23.141081658058472</v>
      </c>
      <c r="D48" s="19"/>
      <c r="E48" s="29">
        <v>2960</v>
      </c>
      <c r="F48" s="29">
        <f>Influent9[[#This Row],[COD (mg L-1)]]*Information!$AK$40</f>
        <v>2664</v>
      </c>
      <c r="G48" s="22">
        <v>4976</v>
      </c>
      <c r="H48" s="29">
        <v>8.3000000000000007</v>
      </c>
      <c r="I48" s="29">
        <v>162</v>
      </c>
      <c r="J48" s="29">
        <v>33</v>
      </c>
      <c r="K48" s="6">
        <v>13.37</v>
      </c>
      <c r="L48" s="19">
        <v>0.2</v>
      </c>
      <c r="M48" s="6">
        <f>Influent9[[#This Row],[NH4-N (mg L-1)]]*1.288</f>
        <v>1740.6032000000002</v>
      </c>
      <c r="N48" s="6">
        <f>(Influent9[[#This Row],[TON (mg L-1)]]-Influent9[[#This Row],[NO2- (mg L-1)]])*4.426</f>
        <v>-85.263650167999998</v>
      </c>
      <c r="O48" s="6">
        <f>Influent9[[#This Row],[NO2-N (mg L-1)]]*3.284</f>
        <v>19.464267999999997</v>
      </c>
      <c r="P48" s="6">
        <v>1351.4</v>
      </c>
      <c r="Q48" s="20">
        <v>5.9269999999999996</v>
      </c>
      <c r="R48" s="19">
        <f>IF(Influent9[[#This Row],[TON (mg L-1)]]-Influent9[[#This Row],[NO2-N (mg L-1)]]&lt;0,0.2,Influent9[[#This Row],[TON (mg L-1)]]-Influent9[[#This Row],[NO2-N (mg L-1)]])</f>
        <v>0.2</v>
      </c>
      <c r="S48" s="6">
        <f>SUM(Influent9[[#This Row],[NO3-N (mg L-1)]],Influent9[[#This Row],[NO2-N (mg L-1)]],Influent9[[#This Row],[NH4-N (mg L-1)]])</f>
        <v>1357.527</v>
      </c>
      <c r="T48" s="19">
        <f>IFERROR(Influent9[[#This Row],[sCOD (mg L-1)]]/Influent9[[#This Row],[TN (mg L-1)]], 0)</f>
        <v>1.9623919082272396</v>
      </c>
      <c r="U48" s="19">
        <f>Influent9[[#This Row],[Alkalinity (mg CaCO3 L-1) ]]/Influent9[[#This Row],[TN (mg L-1)]]</f>
        <v>3.6654887895415706</v>
      </c>
      <c r="V48" s="19">
        <f>Influent9[[#This Row],[VSS (mg L-1)]]/Influent9[[#This Row],[TSS (mg L-1)]]</f>
        <v>0.20370370370370369</v>
      </c>
    </row>
    <row r="49" spans="1:22" x14ac:dyDescent="0.3">
      <c r="A49" s="128">
        <v>43375</v>
      </c>
      <c r="B49" s="29">
        <v>49</v>
      </c>
      <c r="C49" s="19">
        <v>21.879192345012438</v>
      </c>
      <c r="D49" s="19"/>
      <c r="E49" s="29">
        <v>2930</v>
      </c>
      <c r="F49" s="29">
        <f>Influent9[[#This Row],[COD (mg L-1)]]*Information!$AK$40</f>
        <v>2637</v>
      </c>
      <c r="G49" s="22">
        <v>5073</v>
      </c>
      <c r="H49" s="29">
        <v>8.3000000000000007</v>
      </c>
      <c r="I49" s="29">
        <v>150</v>
      </c>
      <c r="J49" s="29">
        <v>27</v>
      </c>
      <c r="K49" s="6">
        <v>16.29</v>
      </c>
      <c r="L49" s="19">
        <v>0.2</v>
      </c>
      <c r="M49" s="6">
        <f>Influent9[[#This Row],[NH4-N (mg L-1)]]*1.288</f>
        <v>1747.5583999999999</v>
      </c>
      <c r="N49" s="6">
        <f>(Influent9[[#This Row],[TON (mg L-1)]]-Influent9[[#This Row],[NO2- (mg L-1)]])*4.426</f>
        <v>0.76892012800000009</v>
      </c>
      <c r="O49" s="6">
        <f>Influent9[[#This Row],[NO2-N (mg L-1)]]*3.284</f>
        <v>2.6272E-2</v>
      </c>
      <c r="P49" s="6">
        <v>1356.8</v>
      </c>
      <c r="Q49" s="20">
        <v>8.0000000000000002E-3</v>
      </c>
      <c r="R49" s="19">
        <f>IF(Influent9[[#This Row],[TON (mg L-1)]]-Influent9[[#This Row],[NO2-N (mg L-1)]]&lt;0,0.2,Influent9[[#This Row],[TON (mg L-1)]]-Influent9[[#This Row],[NO2-N (mg L-1)]])</f>
        <v>0.192</v>
      </c>
      <c r="S49" s="6">
        <f>SUM(Influent9[[#This Row],[NO3-N (mg L-1)]],Influent9[[#This Row],[NO2-N (mg L-1)]],Influent9[[#This Row],[NH4-N (mg L-1)]])</f>
        <v>1357</v>
      </c>
      <c r="T49" s="19">
        <f>IFERROR(Influent9[[#This Row],[sCOD (mg L-1)]]/Influent9[[#This Row],[TN (mg L-1)]], 0)</f>
        <v>1.9432571849668385</v>
      </c>
      <c r="U49" s="19">
        <f>Influent9[[#This Row],[Alkalinity (mg CaCO3 L-1) ]]/Influent9[[#This Row],[TN (mg L-1)]]</f>
        <v>3.7383935151068535</v>
      </c>
      <c r="V49" s="19">
        <f>Influent9[[#This Row],[VSS (mg L-1)]]/Influent9[[#This Row],[TSS (mg L-1)]]</f>
        <v>0.18</v>
      </c>
    </row>
    <row r="50" spans="1:22" x14ac:dyDescent="0.3">
      <c r="A50" s="128">
        <v>43376</v>
      </c>
      <c r="B50" s="29">
        <v>50</v>
      </c>
      <c r="C50" s="19">
        <v>23.876918858929006</v>
      </c>
      <c r="D50" s="19"/>
      <c r="E50" s="29">
        <v>2670</v>
      </c>
      <c r="F50" s="29">
        <f>Influent9[[#This Row],[COD (mg L-1)]]*Information!$AK$40</f>
        <v>2403</v>
      </c>
      <c r="G50" s="22">
        <v>4694</v>
      </c>
      <c r="H50" s="29">
        <v>8.5</v>
      </c>
      <c r="I50" s="29">
        <v>184</v>
      </c>
      <c r="K50" s="6">
        <v>13.31</v>
      </c>
      <c r="L50" s="19">
        <v>0.2</v>
      </c>
      <c r="M50" s="6">
        <f>Influent9[[#This Row],[NH4-N (mg L-1)]]*1.288</f>
        <v>1612.8336000000002</v>
      </c>
      <c r="N50" s="6">
        <f>(Influent9[[#This Row],[TON (mg L-1)]]-Influent9[[#This Row],[NO2- (mg L-1)]])*4.426</f>
        <v>0.76892012800000009</v>
      </c>
      <c r="O50" s="6">
        <f>Influent9[[#This Row],[NO2-N (mg L-1)]]*3.284</f>
        <v>2.6272E-2</v>
      </c>
      <c r="P50" s="6">
        <v>1252.2</v>
      </c>
      <c r="Q50" s="20">
        <v>8.0000000000000002E-3</v>
      </c>
      <c r="R50" s="19">
        <f>IF(Influent9[[#This Row],[TON (mg L-1)]]-Influent9[[#This Row],[NO2-N (mg L-1)]]&lt;0,0.2,Influent9[[#This Row],[TON (mg L-1)]]-Influent9[[#This Row],[NO2-N (mg L-1)]])</f>
        <v>0.192</v>
      </c>
      <c r="S50" s="6">
        <f>SUM(Influent9[[#This Row],[NO3-N (mg L-1)]],Influent9[[#This Row],[NO2-N (mg L-1)]],Influent9[[#This Row],[NH4-N (mg L-1)]])</f>
        <v>1252.4000000000001</v>
      </c>
      <c r="T50" s="19">
        <f>IFERROR(Influent9[[#This Row],[sCOD (mg L-1)]]/Influent9[[#This Row],[TN (mg L-1)]], 0)</f>
        <v>1.9187160651549025</v>
      </c>
      <c r="U50" s="19">
        <f>Influent9[[#This Row],[Alkalinity (mg CaCO3 L-1) ]]/Influent9[[#This Row],[TN (mg L-1)]]</f>
        <v>3.7480038326413285</v>
      </c>
      <c r="V50" s="19">
        <f>Influent9[[#This Row],[VSS (mg L-1)]]/Influent9[[#This Row],[TSS (mg L-1)]]</f>
        <v>0</v>
      </c>
    </row>
    <row r="51" spans="1:22" x14ac:dyDescent="0.3">
      <c r="A51" s="128">
        <v>43377</v>
      </c>
      <c r="B51" s="29">
        <v>51</v>
      </c>
      <c r="C51" s="19">
        <v>22.618395458778878</v>
      </c>
      <c r="D51" s="19"/>
      <c r="E51" s="29">
        <v>2250</v>
      </c>
      <c r="F51" s="29">
        <f>Influent9[[#This Row],[COD (mg L-1)]]*Information!$AK$40</f>
        <v>2025</v>
      </c>
      <c r="G51" s="22">
        <v>3822</v>
      </c>
      <c r="H51" s="29">
        <v>8.4</v>
      </c>
      <c r="I51" s="29">
        <v>234</v>
      </c>
      <c r="K51" s="6">
        <v>12.04</v>
      </c>
      <c r="L51" s="19">
        <v>0.2</v>
      </c>
      <c r="M51" s="6">
        <f>Influent9[[#This Row],[NH4-N (mg L-1)]]*1.288</f>
        <v>1342.2248</v>
      </c>
      <c r="N51" s="6">
        <f>(Influent9[[#This Row],[TON (mg L-1)]]-Influent9[[#This Row],[NO2- (mg L-1)]])*4.426</f>
        <v>0.76892012800000009</v>
      </c>
      <c r="O51" s="6">
        <f>Influent9[[#This Row],[NO2-N (mg L-1)]]*3.284</f>
        <v>2.6272E-2</v>
      </c>
      <c r="P51" s="6">
        <v>1042.0999999999999</v>
      </c>
      <c r="Q51" s="20">
        <v>8.0000000000000002E-3</v>
      </c>
      <c r="R51" s="19">
        <f>IF(Influent9[[#This Row],[TON (mg L-1)]]-Influent9[[#This Row],[NO2-N (mg L-1)]]&lt;0,0.2,Influent9[[#This Row],[TON (mg L-1)]]-Influent9[[#This Row],[NO2-N (mg L-1)]])</f>
        <v>0.192</v>
      </c>
      <c r="S51" s="6">
        <f>SUM(Influent9[[#This Row],[NO3-N (mg L-1)]],Influent9[[#This Row],[NO2-N (mg L-1)]],Influent9[[#This Row],[NH4-N (mg L-1)]])</f>
        <v>1042.3</v>
      </c>
      <c r="T51" s="19">
        <f>IFERROR(Influent9[[#This Row],[sCOD (mg L-1)]]/Influent9[[#This Row],[TN (mg L-1)]], 0)</f>
        <v>1.9428187661901564</v>
      </c>
      <c r="U51" s="19">
        <f>Influent9[[#This Row],[Alkalinity (mg CaCO3 L-1) ]]/Influent9[[#This Row],[TN (mg L-1)]]</f>
        <v>3.6668905305574211</v>
      </c>
      <c r="V51" s="19">
        <f>Influent9[[#This Row],[VSS (mg L-1)]]/Influent9[[#This Row],[TSS (mg L-1)]]</f>
        <v>0</v>
      </c>
    </row>
    <row r="52" spans="1:22" x14ac:dyDescent="0.3">
      <c r="A52" s="128">
        <v>43378</v>
      </c>
      <c r="B52" s="29">
        <v>52</v>
      </c>
      <c r="C52" s="19">
        <v>22.446016066689246</v>
      </c>
      <c r="D52" s="19"/>
      <c r="E52" s="29">
        <v>1815</v>
      </c>
      <c r="F52" s="29">
        <f>Influent9[[#This Row],[COD (mg L-1)]]*Information!$AK$40</f>
        <v>1633.5</v>
      </c>
      <c r="G52" s="22">
        <v>3907</v>
      </c>
      <c r="H52" s="29">
        <v>8.4</v>
      </c>
      <c r="I52" s="29">
        <v>340</v>
      </c>
      <c r="J52" s="29">
        <v>300</v>
      </c>
      <c r="K52" s="6">
        <v>13.34</v>
      </c>
      <c r="L52" s="19">
        <v>0.2</v>
      </c>
      <c r="M52" s="6">
        <f>Influent9[[#This Row],[NH4-N (mg L-1)]]*1.288</f>
        <v>1311.5704000000001</v>
      </c>
      <c r="N52" s="6">
        <f>(Influent9[[#This Row],[TON (mg L-1)]]-Influent9[[#This Row],[NO2- (mg L-1)]])*4.426</f>
        <v>-129.20290679999999</v>
      </c>
      <c r="O52" s="6">
        <f>Influent9[[#This Row],[NO2-N (mg L-1)]]*3.284</f>
        <v>29.391799999999996</v>
      </c>
      <c r="P52" s="6">
        <v>1018.3</v>
      </c>
      <c r="Q52" s="20">
        <v>8.9499999999999993</v>
      </c>
      <c r="R52" s="19">
        <f>IF(Influent9[[#This Row],[TON (mg L-1)]]-Influent9[[#This Row],[NO2-N (mg L-1)]]&lt;0,0.2,Influent9[[#This Row],[TON (mg L-1)]]-Influent9[[#This Row],[NO2-N (mg L-1)]])</f>
        <v>0.2</v>
      </c>
      <c r="S52" s="6">
        <f>SUM(Influent9[[#This Row],[NO3-N (mg L-1)]],Influent9[[#This Row],[NO2-N (mg L-1)]],Influent9[[#This Row],[NH4-N (mg L-1)]])</f>
        <v>1027.45</v>
      </c>
      <c r="T52" s="19">
        <f>IFERROR(Influent9[[#This Row],[sCOD (mg L-1)]]/Influent9[[#This Row],[TN (mg L-1)]], 0)</f>
        <v>1.5898583872694534</v>
      </c>
      <c r="U52" s="19">
        <f>Influent9[[#This Row],[Alkalinity (mg CaCO3 L-1) ]]/Influent9[[#This Row],[TN (mg L-1)]]</f>
        <v>3.8026181322692101</v>
      </c>
      <c r="V52" s="19">
        <f>Influent9[[#This Row],[VSS (mg L-1)]]/Influent9[[#This Row],[TSS (mg L-1)]]</f>
        <v>0.88235294117647056</v>
      </c>
    </row>
    <row r="53" spans="1:22" x14ac:dyDescent="0.3">
      <c r="A53" s="128">
        <v>43379</v>
      </c>
      <c r="B53" s="29">
        <v>53</v>
      </c>
      <c r="C53" s="19">
        <v>22.893406175151959</v>
      </c>
      <c r="D53" s="19"/>
      <c r="E53" s="29">
        <v>2225</v>
      </c>
      <c r="F53" s="29">
        <f>Influent9[[#This Row],[COD (mg L-1)]]*Information!$AK$40</f>
        <v>2002.5</v>
      </c>
      <c r="G53" s="22">
        <v>4556</v>
      </c>
      <c r="H53" s="29">
        <v>8.4</v>
      </c>
      <c r="I53" s="29">
        <v>320</v>
      </c>
      <c r="J53" s="29">
        <v>360</v>
      </c>
      <c r="K53" s="6">
        <v>13.83</v>
      </c>
      <c r="L53" s="19">
        <v>0.2</v>
      </c>
      <c r="M53" s="6">
        <f>Influent9[[#This Row],[NH4-N (mg L-1)]]*1.288</f>
        <v>1547.5320000000002</v>
      </c>
      <c r="N53" s="6">
        <f>(Influent9[[#This Row],[TON (mg L-1)]]-Influent9[[#This Row],[NO2- (mg L-1)]])*4.426</f>
        <v>0.76892012800000009</v>
      </c>
      <c r="O53" s="6">
        <f>Influent9[[#This Row],[NO2-N (mg L-1)]]*3.284</f>
        <v>2.6272E-2</v>
      </c>
      <c r="P53" s="6">
        <v>1201.5</v>
      </c>
      <c r="Q53" s="20">
        <v>8.0000000000000002E-3</v>
      </c>
      <c r="R53" s="19">
        <f>IF(Influent9[[#This Row],[TON (mg L-1)]]-Influent9[[#This Row],[NO2-N (mg L-1)]]&lt;0,0.2,Influent9[[#This Row],[TON (mg L-1)]]-Influent9[[#This Row],[NO2-N (mg L-1)]])</f>
        <v>0.192</v>
      </c>
      <c r="S53" s="6">
        <f>SUM(Influent9[[#This Row],[NO3-N (mg L-1)]],Influent9[[#This Row],[NO2-N (mg L-1)]],Influent9[[#This Row],[NH4-N (mg L-1)]])</f>
        <v>1201.7</v>
      </c>
      <c r="T53" s="19">
        <f>IFERROR(Influent9[[#This Row],[sCOD (mg L-1)]]/Influent9[[#This Row],[TN (mg L-1)]], 0)</f>
        <v>1.6663892818507113</v>
      </c>
      <c r="U53" s="19">
        <f>Influent9[[#This Row],[Alkalinity (mg CaCO3 L-1) ]]/Influent9[[#This Row],[TN (mg L-1)]]</f>
        <v>3.7912956644753266</v>
      </c>
      <c r="V53" s="19">
        <f>Influent9[[#This Row],[VSS (mg L-1)]]/Influent9[[#This Row],[TSS (mg L-1)]]</f>
        <v>1.125</v>
      </c>
    </row>
    <row r="54" spans="1:22" x14ac:dyDescent="0.3">
      <c r="A54" s="128">
        <v>43380</v>
      </c>
      <c r="B54" s="29">
        <v>54</v>
      </c>
      <c r="C54" s="19">
        <v>21.586830765453737</v>
      </c>
      <c r="D54" s="19"/>
      <c r="E54" s="29">
        <v>2235</v>
      </c>
      <c r="F54" s="29">
        <f>Influent9[[#This Row],[COD (mg L-1)]]*Information!$AK$40</f>
        <v>2011.5</v>
      </c>
      <c r="G54" s="22">
        <v>4630</v>
      </c>
      <c r="H54" s="29">
        <v>8.4</v>
      </c>
      <c r="I54" s="29">
        <v>400</v>
      </c>
      <c r="J54" s="29">
        <v>280</v>
      </c>
      <c r="K54" s="6">
        <v>13.1</v>
      </c>
      <c r="L54" s="19">
        <v>1.5</v>
      </c>
      <c r="M54" s="6">
        <f>Influent9[[#This Row],[NH4-N (mg L-1)]]*1.288</f>
        <v>1645.0336000000002</v>
      </c>
      <c r="N54" s="6">
        <f>(Influent9[[#This Row],[TON (mg L-1)]]-Influent9[[#This Row],[NO2- (mg L-1)]])*4.426</f>
        <v>6.5227201279999996</v>
      </c>
      <c r="O54" s="6">
        <f>Influent9[[#This Row],[NO2-N (mg L-1)]]*3.284</f>
        <v>2.6272E-2</v>
      </c>
      <c r="P54" s="6">
        <v>1277.2</v>
      </c>
      <c r="Q54" s="20">
        <v>8.0000000000000002E-3</v>
      </c>
      <c r="R54" s="19">
        <f>IF(Influent9[[#This Row],[TON (mg L-1)]]-Influent9[[#This Row],[NO2-N (mg L-1)]]&lt;0,0.2,Influent9[[#This Row],[TON (mg L-1)]]-Influent9[[#This Row],[NO2-N (mg L-1)]])</f>
        <v>1.492</v>
      </c>
      <c r="S54" s="6">
        <f>SUM(Influent9[[#This Row],[NO3-N (mg L-1)]],Influent9[[#This Row],[NO2-N (mg L-1)]],Influent9[[#This Row],[NH4-N (mg L-1)]])</f>
        <v>1278.7</v>
      </c>
      <c r="T54" s="19">
        <f>IFERROR(Influent9[[#This Row],[sCOD (mg L-1)]]/Influent9[[#This Row],[TN (mg L-1)]], 0)</f>
        <v>1.5730820364432627</v>
      </c>
      <c r="U54" s="19">
        <f>Influent9[[#This Row],[Alkalinity (mg CaCO3 L-1) ]]/Influent9[[#This Row],[TN (mg L-1)]]</f>
        <v>3.6208649409556579</v>
      </c>
      <c r="V54" s="19">
        <f>Influent9[[#This Row],[VSS (mg L-1)]]/Influent9[[#This Row],[TSS (mg L-1)]]</f>
        <v>0.7</v>
      </c>
    </row>
    <row r="55" spans="1:22" x14ac:dyDescent="0.3">
      <c r="A55" s="128">
        <v>43381</v>
      </c>
      <c r="B55" s="29">
        <v>55</v>
      </c>
      <c r="C55" s="19">
        <v>20.871553973827211</v>
      </c>
      <c r="D55" s="19"/>
      <c r="E55" s="29">
        <v>2415</v>
      </c>
      <c r="F55" s="29">
        <f>Influent9[[#This Row],[COD (mg L-1)]]*Information!$AK$40</f>
        <v>2173.5</v>
      </c>
      <c r="G55" s="22">
        <v>4598</v>
      </c>
      <c r="H55" s="29">
        <v>8.4</v>
      </c>
      <c r="I55" s="29">
        <v>280</v>
      </c>
      <c r="K55" s="6">
        <v>14.63</v>
      </c>
      <c r="L55" s="19">
        <v>0.2</v>
      </c>
      <c r="M55" s="6">
        <f>Influent9[[#This Row],[NH4-N (mg L-1)]]*1.288</f>
        <v>1636.404</v>
      </c>
      <c r="N55" s="6">
        <f>(Influent9[[#This Row],[TON (mg L-1)]]-Influent9[[#This Row],[NO2- (mg L-1)]])*4.426</f>
        <v>-246.13685307999998</v>
      </c>
      <c r="O55" s="6">
        <f>Influent9[[#This Row],[NO2-N (mg L-1)]]*3.284</f>
        <v>55.811579999999999</v>
      </c>
      <c r="P55" s="6">
        <v>1270.5</v>
      </c>
      <c r="Q55" s="20">
        <v>16.995000000000001</v>
      </c>
      <c r="R55" s="19">
        <f>IF(Influent9[[#This Row],[TON (mg L-1)]]-Influent9[[#This Row],[NO2-N (mg L-1)]]&lt;0,0.2,Influent9[[#This Row],[TON (mg L-1)]]-Influent9[[#This Row],[NO2-N (mg L-1)]])</f>
        <v>0.2</v>
      </c>
      <c r="S55" s="6">
        <f>SUM(Influent9[[#This Row],[NO3-N (mg L-1)]],Influent9[[#This Row],[NO2-N (mg L-1)]],Influent9[[#This Row],[NH4-N (mg L-1)]])</f>
        <v>1287.6949999999999</v>
      </c>
      <c r="T55" s="19">
        <f>IFERROR(Influent9[[#This Row],[sCOD (mg L-1)]]/Influent9[[#This Row],[TN (mg L-1)]], 0)</f>
        <v>1.6878996967449591</v>
      </c>
      <c r="U55" s="19">
        <f>Influent9[[#This Row],[Alkalinity (mg CaCO3 L-1) ]]/Influent9[[#This Row],[TN (mg L-1)]]</f>
        <v>3.5707213276435805</v>
      </c>
      <c r="V55" s="19">
        <f>Influent9[[#This Row],[VSS (mg L-1)]]/Influent9[[#This Row],[TSS (mg L-1)]]</f>
        <v>0</v>
      </c>
    </row>
    <row r="56" spans="1:22" s="127" customFormat="1" x14ac:dyDescent="0.3">
      <c r="A56" s="213">
        <v>43382</v>
      </c>
      <c r="B56" s="127">
        <v>56</v>
      </c>
      <c r="C56" s="222">
        <v>23.214277783850338</v>
      </c>
      <c r="D56" s="222"/>
      <c r="E56" s="127">
        <v>2425</v>
      </c>
      <c r="F56" s="127">
        <f>Influent9[[#This Row],[COD (mg L-1)]]*Information!$AK$40</f>
        <v>2182.5</v>
      </c>
      <c r="G56" s="225">
        <v>4763</v>
      </c>
      <c r="H56" s="127">
        <v>8.6</v>
      </c>
      <c r="I56" s="127">
        <v>224</v>
      </c>
      <c r="J56" s="127">
        <v>74</v>
      </c>
      <c r="K56" s="219">
        <v>19.89</v>
      </c>
      <c r="L56" s="222">
        <v>0.2</v>
      </c>
      <c r="M56" s="219">
        <f>Influent9[[#This Row],[NH4-N (mg L-1)]]*1.288</f>
        <v>1694.8792000000001</v>
      </c>
      <c r="N56" s="219">
        <f>(Influent9[[#This Row],[TON (mg L-1)]]-Influent9[[#This Row],[NO2- (mg L-1)]])*4.426</f>
        <v>0.76892012800000009</v>
      </c>
      <c r="O56" s="219">
        <f>Influent9[[#This Row],[NO2-N (mg L-1)]]*3.284</f>
        <v>2.6272E-2</v>
      </c>
      <c r="P56" s="219">
        <v>1315.9</v>
      </c>
      <c r="Q56" s="218">
        <v>8.0000000000000002E-3</v>
      </c>
      <c r="R56" s="222">
        <f>IF(Influent9[[#This Row],[TON (mg L-1)]]-Influent9[[#This Row],[NO2-N (mg L-1)]]&lt;0,0.2,Influent9[[#This Row],[TON (mg L-1)]]-Influent9[[#This Row],[NO2-N (mg L-1)]])</f>
        <v>0.192</v>
      </c>
      <c r="S56" s="219">
        <f>SUM(Influent9[[#This Row],[NO3-N (mg L-1)]],Influent9[[#This Row],[NO2-N (mg L-1)]],Influent9[[#This Row],[NH4-N (mg L-1)]])</f>
        <v>1316.1000000000001</v>
      </c>
      <c r="T56" s="222">
        <f>IFERROR(Influent9[[#This Row],[sCOD (mg L-1)]]/Influent9[[#This Row],[TN (mg L-1)]], 0)</f>
        <v>1.6583086391611579</v>
      </c>
      <c r="U56" s="222">
        <f>Influent9[[#This Row],[Alkalinity (mg CaCO3 L-1) ]]/Influent9[[#This Row],[TN (mg L-1)]]</f>
        <v>3.6190259098852668</v>
      </c>
      <c r="V56" s="222">
        <f>Influent9[[#This Row],[VSS (mg L-1)]]/Influent9[[#This Row],[TSS (mg L-1)]]</f>
        <v>0.33035714285714285</v>
      </c>
    </row>
    <row r="57" spans="1:22" x14ac:dyDescent="0.3">
      <c r="A57" s="128">
        <v>43355</v>
      </c>
      <c r="B57" s="29">
        <v>29</v>
      </c>
      <c r="C57" s="19">
        <v>25.880467938863745</v>
      </c>
      <c r="D57" s="19"/>
      <c r="E57" s="29">
        <v>2630</v>
      </c>
      <c r="F57" s="29">
        <f>Influent9[[#This Row],[COD (mg L-1)]]*Information!$AK$40</f>
        <v>2367</v>
      </c>
      <c r="G57" s="29">
        <v>4297</v>
      </c>
      <c r="H57" s="29">
        <v>8.4</v>
      </c>
      <c r="I57" s="29">
        <v>532</v>
      </c>
      <c r="K57" s="29">
        <v>15.07</v>
      </c>
      <c r="L57" s="29">
        <v>0.2</v>
      </c>
      <c r="M57" s="6">
        <f>Influent9[[#This Row],[NH4-N (mg L-1)]]*1.288</f>
        <v>1516.4912000000002</v>
      </c>
      <c r="N57" s="6">
        <f>(Influent9[[#This Row],[TON (mg L-1)]]-Influent9[[#This Row],[NO2- (mg L-1)]])*4.426</f>
        <v>0.76892012800000009</v>
      </c>
      <c r="O57" s="6">
        <f>Influent9[[#This Row],[NO2-N (mg L-1)]]*3.284</f>
        <v>2.6272E-2</v>
      </c>
      <c r="P57" s="29">
        <v>1177.4000000000001</v>
      </c>
      <c r="Q57" s="29">
        <v>8.0000000000000002E-3</v>
      </c>
      <c r="R57" s="19">
        <f>IF(Influent9[[#This Row],[TON (mg L-1)]]-Influent9[[#This Row],[NO2-N (mg L-1)]]&lt;0,0.2,Influent9[[#This Row],[TON (mg L-1)]]-Influent9[[#This Row],[NO2-N (mg L-1)]])</f>
        <v>0.192</v>
      </c>
      <c r="S57" s="6">
        <f>SUM(Influent9[[#This Row],[NO3-N (mg L-1)]],Influent9[[#This Row],[NO2-N (mg L-1)]],Influent9[[#This Row],[NH4-N (mg L-1)]])</f>
        <v>1177.6000000000001</v>
      </c>
      <c r="T57" s="19">
        <f>IFERROR(Influent9[[#This Row],[sCOD (mg L-1)]]/Influent9[[#This Row],[TN (mg L-1)]], 0)</f>
        <v>2.0100203804347823</v>
      </c>
      <c r="U57" s="19">
        <f>Influent9[[#This Row],[Alkalinity (mg CaCO3 L-1) ]]/Influent9[[#This Row],[TN (mg L-1)]]</f>
        <v>3.648947010869565</v>
      </c>
      <c r="V57" s="19">
        <f>Influent9[[#This Row],[VSS (mg L-1)]]/Influent9[[#This Row],[TSS (mg L-1)]]</f>
        <v>0</v>
      </c>
    </row>
    <row r="58" spans="1:22" x14ac:dyDescent="0.3">
      <c r="A58" s="128">
        <v>43356</v>
      </c>
      <c r="B58" s="29">
        <v>30</v>
      </c>
      <c r="C58" s="19">
        <v>23.529995007632465</v>
      </c>
      <c r="D58" s="19"/>
      <c r="E58" s="29">
        <v>2810</v>
      </c>
      <c r="F58" s="29">
        <f>Influent9[[#This Row],[COD (mg L-1)]]*Information!$AK$40</f>
        <v>2529</v>
      </c>
      <c r="G58" s="29">
        <v>4824</v>
      </c>
      <c r="H58" s="29">
        <v>8.5</v>
      </c>
      <c r="I58" s="29">
        <v>246</v>
      </c>
      <c r="K58" s="29">
        <v>12.36</v>
      </c>
      <c r="L58" s="29">
        <v>0.2</v>
      </c>
      <c r="M58" s="6">
        <f>Influent9[[#This Row],[NH4-N (mg L-1)]]*1.288</f>
        <v>1730.6856</v>
      </c>
      <c r="N58" s="6">
        <f>(Influent9[[#This Row],[TON (mg L-1)]]-Influent9[[#This Row],[NO2- (mg L-1)]])*4.426</f>
        <v>-88.970071087999997</v>
      </c>
      <c r="O58" s="6">
        <f>Influent9[[#This Row],[NO2-N (mg L-1)]]*3.284</f>
        <v>20.301687999999999</v>
      </c>
      <c r="P58" s="29">
        <v>1343.7</v>
      </c>
      <c r="Q58" s="29">
        <v>6.1820000000000004</v>
      </c>
      <c r="R58" s="19">
        <f>IF(Influent9[[#This Row],[TON (mg L-1)]]-Influent9[[#This Row],[NO2-N (mg L-1)]]&lt;0,0.2,Influent9[[#This Row],[TON (mg L-1)]]-Influent9[[#This Row],[NO2-N (mg L-1)]])</f>
        <v>0.2</v>
      </c>
      <c r="S58" s="6">
        <f>SUM(Influent9[[#This Row],[NO3-N (mg L-1)]],Influent9[[#This Row],[NO2-N (mg L-1)]],Influent9[[#This Row],[NH4-N (mg L-1)]])</f>
        <v>1350.0820000000001</v>
      </c>
      <c r="T58" s="19">
        <f>IFERROR(Influent9[[#This Row],[sCOD (mg L-1)]]/Influent9[[#This Row],[TN (mg L-1)]], 0)</f>
        <v>1.8732195525901387</v>
      </c>
      <c r="U58" s="19">
        <f>Influent9[[#This Row],[Alkalinity (mg CaCO3 L-1) ]]/Influent9[[#This Row],[TN (mg L-1)]]</f>
        <v>3.5731162996025425</v>
      </c>
      <c r="V58" s="19">
        <f>Influent9[[#This Row],[VSS (mg L-1)]]/Influent9[[#This Row],[TSS (mg L-1)]]</f>
        <v>0</v>
      </c>
    </row>
    <row r="59" spans="1:22" x14ac:dyDescent="0.3">
      <c r="A59" s="128">
        <v>43357</v>
      </c>
      <c r="B59" s="29">
        <v>31</v>
      </c>
      <c r="C59" s="19">
        <v>23.110892493457523</v>
      </c>
      <c r="D59" s="19"/>
      <c r="E59" s="29">
        <v>2755</v>
      </c>
      <c r="F59" s="29">
        <f>Influent9[[#This Row],[COD (mg L-1)]]*Information!$AK$40</f>
        <v>2479.5</v>
      </c>
      <c r="G59" s="29">
        <v>5050</v>
      </c>
      <c r="H59" s="29">
        <v>8.4</v>
      </c>
      <c r="I59" s="29">
        <v>140</v>
      </c>
      <c r="K59" s="29">
        <v>15.81</v>
      </c>
      <c r="L59" s="29">
        <v>0.2</v>
      </c>
      <c r="M59" s="6">
        <f>Influent9[[#This Row],[NH4-N (mg L-1)]]*1.288</f>
        <v>1877.3887999999999</v>
      </c>
      <c r="N59" s="6">
        <f>(Influent9[[#This Row],[TON (mg L-1)]]-Influent9[[#This Row],[NO2- (mg L-1)]])*4.426</f>
        <v>0.76892012800000009</v>
      </c>
      <c r="O59" s="6">
        <f>Influent9[[#This Row],[NO2-N (mg L-1)]]*3.284</f>
        <v>2.6272E-2</v>
      </c>
      <c r="P59" s="29">
        <v>1457.6</v>
      </c>
      <c r="Q59" s="29">
        <v>8.0000000000000002E-3</v>
      </c>
      <c r="R59" s="19">
        <f>IF(Influent9[[#This Row],[TON (mg L-1)]]-Influent9[[#This Row],[NO2-N (mg L-1)]]&lt;0,0.2,Influent9[[#This Row],[TON (mg L-1)]]-Influent9[[#This Row],[NO2-N (mg L-1)]])</f>
        <v>0.192</v>
      </c>
      <c r="S59" s="6">
        <f>SUM(Influent9[[#This Row],[NO3-N (mg L-1)]],Influent9[[#This Row],[NO2-N (mg L-1)]],Influent9[[#This Row],[NH4-N (mg L-1)]])</f>
        <v>1457.8</v>
      </c>
      <c r="T59" s="19">
        <f>IFERROR(Influent9[[#This Row],[sCOD (mg L-1)]]/Influent9[[#This Row],[TN (mg L-1)]], 0)</f>
        <v>1.7008505967896832</v>
      </c>
      <c r="U59" s="19">
        <f>Influent9[[#This Row],[Alkalinity (mg CaCO3 L-1) ]]/Influent9[[#This Row],[TN (mg L-1)]]</f>
        <v>3.4641240224996572</v>
      </c>
      <c r="V59" s="19">
        <f>Influent9[[#This Row],[VSS (mg L-1)]]/Influent9[[#This Row],[TSS (mg L-1)]]</f>
        <v>0</v>
      </c>
    </row>
    <row r="60" spans="1:22" x14ac:dyDescent="0.3">
      <c r="A60" s="128">
        <v>43383</v>
      </c>
      <c r="B60" s="29">
        <v>57</v>
      </c>
      <c r="C60" s="19">
        <v>24.013450182961407</v>
      </c>
      <c r="D60" s="19"/>
      <c r="E60" s="29">
        <v>2445</v>
      </c>
      <c r="F60" s="29">
        <f>Influent9[[#This Row],[COD (mg L-1)]]*Information!$AK$40</f>
        <v>2200.5</v>
      </c>
      <c r="G60" s="22">
        <v>4818</v>
      </c>
      <c r="H60" s="29">
        <v>8.5</v>
      </c>
      <c r="I60" s="29">
        <v>250</v>
      </c>
      <c r="J60" s="29">
        <v>86</v>
      </c>
      <c r="K60" s="6">
        <v>16.91</v>
      </c>
      <c r="L60" s="19">
        <v>0.2</v>
      </c>
      <c r="M60" s="6">
        <f>Influent9[[#This Row],[NH4-N (mg L-1)]]*1.288</f>
        <v>1690.8864000000001</v>
      </c>
      <c r="N60" s="6">
        <f>(Influent9[[#This Row],[TON (mg L-1)]]-Influent9[[#This Row],[NO2- (mg L-1)]])*4.426</f>
        <v>0.76892012800000009</v>
      </c>
      <c r="O60" s="6">
        <f>Influent9[[#This Row],[NO2-N (mg L-1)]]*3.284</f>
        <v>2.6272E-2</v>
      </c>
      <c r="P60" s="6">
        <v>1312.8</v>
      </c>
      <c r="Q60" s="20">
        <v>8.0000000000000002E-3</v>
      </c>
      <c r="R60" s="19">
        <f>IF(Influent9[[#This Row],[TON (mg L-1)]]-Influent9[[#This Row],[NO2-N (mg L-1)]]&lt;0,0.2,Influent9[[#This Row],[TON (mg L-1)]]-Influent9[[#This Row],[NO2-N (mg L-1)]])</f>
        <v>0.192</v>
      </c>
      <c r="S60" s="6">
        <f>SUM(Influent9[[#This Row],[NO3-N (mg L-1)]],Influent9[[#This Row],[NO2-N (mg L-1)]],Influent9[[#This Row],[NH4-N (mg L-1)]])</f>
        <v>1313</v>
      </c>
      <c r="T60" s="19">
        <f>IFERROR(Influent9[[#This Row],[sCOD (mg L-1)]]/Influent9[[#This Row],[TN (mg L-1)]], 0)</f>
        <v>1.675932977913176</v>
      </c>
      <c r="U60" s="19">
        <f>Influent9[[#This Row],[Alkalinity (mg CaCO3 L-1) ]]/Influent9[[#This Row],[TN (mg L-1)]]</f>
        <v>3.6694592536176693</v>
      </c>
      <c r="V60" s="19">
        <f>Influent9[[#This Row],[VSS (mg L-1)]]/Influent9[[#This Row],[TSS (mg L-1)]]</f>
        <v>0.34399999999999997</v>
      </c>
    </row>
    <row r="61" spans="1:22" x14ac:dyDescent="0.3">
      <c r="A61" s="128">
        <v>43384</v>
      </c>
      <c r="B61" s="29">
        <v>58</v>
      </c>
      <c r="C61" s="19">
        <v>24.692081802299313</v>
      </c>
      <c r="D61" s="19"/>
      <c r="E61" s="29">
        <v>2440</v>
      </c>
      <c r="F61" s="29">
        <f>Influent9[[#This Row],[COD (mg L-1)]]*Information!$AK$40</f>
        <v>2196</v>
      </c>
      <c r="G61" s="22">
        <v>4778</v>
      </c>
      <c r="H61" s="29">
        <v>8.5</v>
      </c>
      <c r="I61" s="29">
        <v>164</v>
      </c>
      <c r="J61" s="29">
        <v>54</v>
      </c>
      <c r="K61" s="6">
        <v>16.88</v>
      </c>
      <c r="L61" s="19">
        <v>9.4</v>
      </c>
      <c r="M61" s="6">
        <f>Influent9[[#This Row],[NH4-N (mg L-1)]]*1.288</f>
        <v>1707.8880000000001</v>
      </c>
      <c r="N61" s="6">
        <f>(Influent9[[#This Row],[TON (mg L-1)]]-Influent9[[#This Row],[NO2- (mg L-1)]])*4.426</f>
        <v>41.488120127999998</v>
      </c>
      <c r="O61" s="6">
        <f>Influent9[[#This Row],[NO2-N (mg L-1)]]*3.284</f>
        <v>2.6272E-2</v>
      </c>
      <c r="P61" s="6">
        <v>1326</v>
      </c>
      <c r="Q61" s="20">
        <v>8.0000000000000002E-3</v>
      </c>
      <c r="R61" s="19">
        <f>IF(Influent9[[#This Row],[TON (mg L-1)]]-Influent9[[#This Row],[NO2-N (mg L-1)]]&lt;0,0.2,Influent9[[#This Row],[TON (mg L-1)]]-Influent9[[#This Row],[NO2-N (mg L-1)]])</f>
        <v>9.3920000000000012</v>
      </c>
      <c r="S61" s="6">
        <f>SUM(Influent9[[#This Row],[NO3-N (mg L-1)]],Influent9[[#This Row],[NO2-N (mg L-1)]],Influent9[[#This Row],[NH4-N (mg L-1)]])</f>
        <v>1335.4</v>
      </c>
      <c r="T61" s="19">
        <f>IFERROR(Influent9[[#This Row],[sCOD (mg L-1)]]/Influent9[[#This Row],[TN (mg L-1)]], 0)</f>
        <v>1.6444511007937694</v>
      </c>
      <c r="U61" s="19">
        <f>Influent9[[#This Row],[Alkalinity (mg CaCO3 L-1) ]]/Influent9[[#This Row],[TN (mg L-1)]]</f>
        <v>3.5779541710348957</v>
      </c>
      <c r="V61" s="19">
        <f>Influent9[[#This Row],[VSS (mg L-1)]]/Influent9[[#This Row],[TSS (mg L-1)]]</f>
        <v>0.32926829268292684</v>
      </c>
    </row>
    <row r="62" spans="1:22" x14ac:dyDescent="0.3">
      <c r="A62" s="128">
        <v>43385</v>
      </c>
      <c r="B62" s="29">
        <v>59</v>
      </c>
      <c r="C62" s="19">
        <v>24.450520611107248</v>
      </c>
      <c r="D62" s="19"/>
      <c r="E62" s="29">
        <v>2495</v>
      </c>
      <c r="F62" s="29">
        <f>Influent9[[#This Row],[COD (mg L-1)]]*Information!$AK$40</f>
        <v>2245.5</v>
      </c>
      <c r="G62" s="22">
        <v>4701</v>
      </c>
      <c r="H62" s="29">
        <v>8.4</v>
      </c>
      <c r="I62" s="29">
        <v>200</v>
      </c>
      <c r="J62" s="29">
        <v>122</v>
      </c>
      <c r="K62" s="6">
        <v>19.3</v>
      </c>
      <c r="L62" s="19">
        <v>0.2</v>
      </c>
      <c r="M62" s="6">
        <f>Influent9[[#This Row],[NH4-N (mg L-1)]]*1.288</f>
        <v>1804.3592000000001</v>
      </c>
      <c r="N62" s="6">
        <f>(Influent9[[#This Row],[TON (mg L-1)]]-Influent9[[#This Row],[NO2- (mg L-1)]])*4.426</f>
        <v>-117.92375921599999</v>
      </c>
      <c r="O62" s="6">
        <f>Influent9[[#This Row],[NO2-N (mg L-1)]]*3.284</f>
        <v>26.843415999999998</v>
      </c>
      <c r="P62" s="6">
        <v>1400.9</v>
      </c>
      <c r="Q62" s="20">
        <v>8.1739999999999995</v>
      </c>
      <c r="R62" s="19">
        <f>IF(Influent9[[#This Row],[TON (mg L-1)]]-Influent9[[#This Row],[NO2-N (mg L-1)]]&lt;0,0.2,Influent9[[#This Row],[TON (mg L-1)]]-Influent9[[#This Row],[NO2-N (mg L-1)]])</f>
        <v>0.2</v>
      </c>
      <c r="S62" s="6">
        <f>SUM(Influent9[[#This Row],[NO3-N (mg L-1)]],Influent9[[#This Row],[NO2-N (mg L-1)]],Influent9[[#This Row],[NH4-N (mg L-1)]])</f>
        <v>1409.2740000000001</v>
      </c>
      <c r="T62" s="19">
        <f>IFERROR(Influent9[[#This Row],[sCOD (mg L-1)]]/Influent9[[#This Row],[TN (mg L-1)]], 0)</f>
        <v>1.5933736093903668</v>
      </c>
      <c r="U62" s="19">
        <f>Influent9[[#This Row],[Alkalinity (mg CaCO3 L-1) ]]/Influent9[[#This Row],[TN (mg L-1)]]</f>
        <v>3.3357601147825049</v>
      </c>
      <c r="V62" s="19">
        <f>Influent9[[#This Row],[VSS (mg L-1)]]/Influent9[[#This Row],[TSS (mg L-1)]]</f>
        <v>0.61</v>
      </c>
    </row>
    <row r="63" spans="1:22" x14ac:dyDescent="0.3">
      <c r="A63" s="128">
        <v>43386</v>
      </c>
      <c r="B63" s="29">
        <v>60</v>
      </c>
      <c r="C63" s="19">
        <v>25.151143185590051</v>
      </c>
      <c r="D63" s="19"/>
      <c r="E63" s="29">
        <v>2445</v>
      </c>
      <c r="F63" s="29">
        <f>Influent9[[#This Row],[COD (mg L-1)]]*Information!$AK$40</f>
        <v>2200.5</v>
      </c>
      <c r="G63" s="22">
        <v>4773</v>
      </c>
      <c r="H63" s="29">
        <v>8.5</v>
      </c>
      <c r="I63" s="29">
        <v>216</v>
      </c>
      <c r="J63" s="29">
        <v>86</v>
      </c>
      <c r="K63" s="6">
        <v>15.65</v>
      </c>
      <c r="L63" s="19">
        <v>0.2</v>
      </c>
      <c r="M63" s="6">
        <f>Influent9[[#This Row],[NH4-N (mg L-1)]]*1.288</f>
        <v>1786.3272000000002</v>
      </c>
      <c r="N63" s="6">
        <f>(Influent9[[#This Row],[TON (mg L-1)]]-Influent9[[#This Row],[NO2- (mg L-1)]])*4.426</f>
        <v>-0.56829840000000009</v>
      </c>
      <c r="O63" s="6">
        <f>Influent9[[#This Row],[NO2-N (mg L-1)]]*3.284</f>
        <v>0.32840000000000003</v>
      </c>
      <c r="P63" s="6">
        <v>1386.9</v>
      </c>
      <c r="Q63" s="20">
        <v>0.1</v>
      </c>
      <c r="R63" s="19">
        <f>IF(Influent9[[#This Row],[TON (mg L-1)]]-Influent9[[#This Row],[NO2-N (mg L-1)]]&lt;0,0.2,Influent9[[#This Row],[TON (mg L-1)]]-Influent9[[#This Row],[NO2-N (mg L-1)]])</f>
        <v>0.1</v>
      </c>
      <c r="S63" s="6">
        <f>SUM(Influent9[[#This Row],[NO3-N (mg L-1)]],Influent9[[#This Row],[NO2-N (mg L-1)]],Influent9[[#This Row],[NH4-N (mg L-1)]])</f>
        <v>1387.1000000000001</v>
      </c>
      <c r="T63" s="19">
        <f>IFERROR(Influent9[[#This Row],[sCOD (mg L-1)]]/Influent9[[#This Row],[TN (mg L-1)]], 0)</f>
        <v>1.5864032874342151</v>
      </c>
      <c r="U63" s="19">
        <f>Influent9[[#This Row],[Alkalinity (mg CaCO3 L-1) ]]/Influent9[[#This Row],[TN (mg L-1)]]</f>
        <v>3.4409919976930281</v>
      </c>
      <c r="V63" s="19">
        <f>Influent9[[#This Row],[VSS (mg L-1)]]/Influent9[[#This Row],[TSS (mg L-1)]]</f>
        <v>0.39814814814814814</v>
      </c>
    </row>
    <row r="64" spans="1:22" x14ac:dyDescent="0.3">
      <c r="A64" s="128">
        <v>43387</v>
      </c>
      <c r="B64" s="29">
        <v>61</v>
      </c>
      <c r="C64" s="19">
        <v>25.146088593869273</v>
      </c>
      <c r="D64" s="19"/>
      <c r="E64" s="29">
        <v>2550</v>
      </c>
      <c r="F64" s="29">
        <f>Influent9[[#This Row],[COD (mg L-1)]]*Information!$AK$40</f>
        <v>2295</v>
      </c>
      <c r="G64" s="22">
        <v>4517</v>
      </c>
      <c r="H64" s="29">
        <v>8.4</v>
      </c>
      <c r="I64" s="29">
        <v>220</v>
      </c>
      <c r="J64" s="29">
        <v>78</v>
      </c>
      <c r="K64" s="6">
        <v>14.54</v>
      </c>
      <c r="L64" s="19">
        <v>0.2</v>
      </c>
      <c r="M64" s="6">
        <f>Influent9[[#This Row],[NH4-N (mg L-1)]]*1.288</f>
        <v>1670.1496000000002</v>
      </c>
      <c r="N64" s="6">
        <f>(Influent9[[#This Row],[TON (mg L-1)]]-Influent9[[#This Row],[NO2- (mg L-1)]])*4.426</f>
        <v>-6.0043824159999994</v>
      </c>
      <c r="O64" s="6">
        <f>Influent9[[#This Row],[NO2-N (mg L-1)]]*3.284</f>
        <v>1.5566159999999998</v>
      </c>
      <c r="P64" s="6">
        <v>1296.7</v>
      </c>
      <c r="Q64" s="20">
        <v>0.47399999999999998</v>
      </c>
      <c r="R64" s="19">
        <f>IF(Influent9[[#This Row],[TON (mg L-1)]]-Influent9[[#This Row],[NO2-N (mg L-1)]]&lt;0,0.2,Influent9[[#This Row],[TON (mg L-1)]]-Influent9[[#This Row],[NO2-N (mg L-1)]])</f>
        <v>0.2</v>
      </c>
      <c r="S64" s="6">
        <f>SUM(Influent9[[#This Row],[NO3-N (mg L-1)]],Influent9[[#This Row],[NO2-N (mg L-1)]],Influent9[[#This Row],[NH4-N (mg L-1)]])</f>
        <v>1297.374</v>
      </c>
      <c r="T64" s="19">
        <f>IFERROR(Influent9[[#This Row],[sCOD (mg L-1)]]/Influent9[[#This Row],[TN (mg L-1)]], 0)</f>
        <v>1.7689579103635498</v>
      </c>
      <c r="U64" s="19">
        <f>Influent9[[#This Row],[Alkalinity (mg CaCO3 L-1) ]]/Influent9[[#This Row],[TN (mg L-1)]]</f>
        <v>3.4816483142100889</v>
      </c>
      <c r="V64" s="19">
        <f>Influent9[[#This Row],[VSS (mg L-1)]]/Influent9[[#This Row],[TSS (mg L-1)]]</f>
        <v>0.35454545454545455</v>
      </c>
    </row>
    <row r="65" spans="1:22" x14ac:dyDescent="0.3">
      <c r="A65" s="128">
        <v>43388</v>
      </c>
      <c r="B65" s="29">
        <v>62</v>
      </c>
      <c r="C65" s="19">
        <v>25.152221362568447</v>
      </c>
      <c r="D65" s="19"/>
      <c r="E65" s="29">
        <v>2820</v>
      </c>
      <c r="F65" s="29">
        <f>Influent9[[#This Row],[COD (mg L-1)]]*Information!$AK$40</f>
        <v>2538</v>
      </c>
      <c r="G65" s="22">
        <v>4521</v>
      </c>
      <c r="H65" s="29">
        <v>8.3000000000000007</v>
      </c>
      <c r="I65" s="29">
        <v>168</v>
      </c>
      <c r="J65" s="29">
        <v>62</v>
      </c>
      <c r="K65" s="6">
        <v>16.82</v>
      </c>
      <c r="L65" s="19">
        <v>0.2</v>
      </c>
      <c r="M65" s="6">
        <f>Influent9[[#This Row],[NH4-N (mg L-1)]]*1.288</f>
        <v>1699.2583999999999</v>
      </c>
      <c r="N65" s="6">
        <f>(Influent9[[#This Row],[TON (mg L-1)]]-Influent9[[#This Row],[NO2- (mg L-1)]])*4.426</f>
        <v>0.76892012800000009</v>
      </c>
      <c r="O65" s="6">
        <f>Influent9[[#This Row],[NO2-N (mg L-1)]]*3.284</f>
        <v>2.6272E-2</v>
      </c>
      <c r="P65" s="6">
        <v>1319.3</v>
      </c>
      <c r="Q65" s="20">
        <v>8.0000000000000002E-3</v>
      </c>
      <c r="R65" s="19">
        <f>IF(Influent9[[#This Row],[TON (mg L-1)]]-Influent9[[#This Row],[NO2-N (mg L-1)]]&lt;0,0.2,Influent9[[#This Row],[TON (mg L-1)]]-Influent9[[#This Row],[NO2-N (mg L-1)]])</f>
        <v>0.192</v>
      </c>
      <c r="S65" s="6">
        <f>SUM(Influent9[[#This Row],[NO3-N (mg L-1)]],Influent9[[#This Row],[NO2-N (mg L-1)]],Influent9[[#This Row],[NH4-N (mg L-1)]])</f>
        <v>1319.5</v>
      </c>
      <c r="T65" s="19">
        <f>IFERROR(Influent9[[#This Row],[sCOD (mg L-1)]]/Influent9[[#This Row],[TN (mg L-1)]], 0)</f>
        <v>1.9234558544903373</v>
      </c>
      <c r="U65" s="19">
        <f>Influent9[[#This Row],[Alkalinity (mg CaCO3 L-1) ]]/Influent9[[#This Row],[TN (mg L-1)]]</f>
        <v>3.4262978400909434</v>
      </c>
      <c r="V65" s="19">
        <f>Influent9[[#This Row],[VSS (mg L-1)]]/Influent9[[#This Row],[TSS (mg L-1)]]</f>
        <v>0.36904761904761907</v>
      </c>
    </row>
    <row r="66" spans="1:22" x14ac:dyDescent="0.3">
      <c r="A66" s="128">
        <v>43389</v>
      </c>
      <c r="B66" s="29">
        <v>63</v>
      </c>
      <c r="C66" s="19">
        <v>23.011407718770993</v>
      </c>
      <c r="D66" s="19"/>
      <c r="E66" s="29">
        <v>2725</v>
      </c>
      <c r="F66" s="29">
        <f>Influent9[[#This Row],[COD (mg L-1)]]*Information!$AK$40</f>
        <v>2452.5</v>
      </c>
      <c r="G66" s="22">
        <v>4615</v>
      </c>
      <c r="H66" s="29">
        <v>8.4</v>
      </c>
      <c r="I66" s="29">
        <v>288</v>
      </c>
      <c r="J66" s="29">
        <v>107</v>
      </c>
      <c r="K66" s="6">
        <v>12.79</v>
      </c>
      <c r="L66" s="19">
        <v>0.2</v>
      </c>
      <c r="M66" s="6">
        <f>Influent9[[#This Row],[NH4-N (mg L-1)]]*1.288</f>
        <v>1557.192</v>
      </c>
      <c r="N66" s="6">
        <f>(Influent9[[#This Row],[TON (mg L-1)]]-Influent9[[#This Row],[NO2- (mg L-1)]])*4.426</f>
        <v>-1.7020271519999999</v>
      </c>
      <c r="O66" s="6">
        <f>Influent9[[#This Row],[NO2-N (mg L-1)]]*3.284</f>
        <v>0.58455199999999996</v>
      </c>
      <c r="P66" s="6">
        <v>1209</v>
      </c>
      <c r="Q66" s="20">
        <v>0.17799999999999999</v>
      </c>
      <c r="R66" s="19">
        <f>IF(Influent9[[#This Row],[TON (mg L-1)]]-Influent9[[#This Row],[NO2-N (mg L-1)]]&lt;0,0.2,Influent9[[#This Row],[TON (mg L-1)]]-Influent9[[#This Row],[NO2-N (mg L-1)]])</f>
        <v>2.200000000000002E-2</v>
      </c>
      <c r="S66" s="6">
        <f>SUM(Influent9[[#This Row],[NO3-N (mg L-1)]],Influent9[[#This Row],[NO2-N (mg L-1)]],Influent9[[#This Row],[NH4-N (mg L-1)]])</f>
        <v>1209.2</v>
      </c>
      <c r="T66" s="19">
        <f>IFERROR(Influent9[[#This Row],[sCOD (mg L-1)]]/Influent9[[#This Row],[TN (mg L-1)]], 0)</f>
        <v>2.0282004631161099</v>
      </c>
      <c r="U66" s="19">
        <f>Influent9[[#This Row],[Alkalinity (mg CaCO3 L-1) ]]/Influent9[[#This Row],[TN (mg L-1)]]</f>
        <v>3.8165729407872973</v>
      </c>
      <c r="V66" s="19">
        <f>Influent9[[#This Row],[VSS (mg L-1)]]/Influent9[[#This Row],[TSS (mg L-1)]]</f>
        <v>0.37152777777777779</v>
      </c>
    </row>
    <row r="67" spans="1:22" x14ac:dyDescent="0.3">
      <c r="A67" s="128">
        <v>43390</v>
      </c>
      <c r="B67" s="29">
        <v>64</v>
      </c>
      <c r="C67" s="19">
        <v>23.313547807036073</v>
      </c>
      <c r="D67" s="19"/>
      <c r="E67" s="29">
        <v>2820</v>
      </c>
      <c r="F67" s="29">
        <f>Influent9[[#This Row],[COD (mg L-1)]]*Information!$AK$40</f>
        <v>2538</v>
      </c>
      <c r="G67" s="22">
        <v>4534</v>
      </c>
      <c r="H67" s="29">
        <v>8.3000000000000007</v>
      </c>
      <c r="I67" s="29">
        <v>204</v>
      </c>
      <c r="J67" s="29">
        <v>65</v>
      </c>
      <c r="K67" s="6">
        <v>13.18</v>
      </c>
      <c r="L67" s="19">
        <v>0.2</v>
      </c>
      <c r="M67" s="6">
        <f>Influent9[[#This Row],[NH4-N (mg L-1)]]*1.288</f>
        <v>1581.02</v>
      </c>
      <c r="N67" s="6">
        <f>(Influent9[[#This Row],[TON (mg L-1)]]-Influent9[[#This Row],[NO2- (mg L-1)]])*4.426</f>
        <v>-2.7049410480000002</v>
      </c>
      <c r="O67" s="6">
        <f>Influent9[[#This Row],[NO2-N (mg L-1)]]*3.284</f>
        <v>0.81114799999999998</v>
      </c>
      <c r="P67" s="6">
        <v>1227.5</v>
      </c>
      <c r="Q67" s="20">
        <v>0.247</v>
      </c>
      <c r="R67" s="19">
        <f>IF(Influent9[[#This Row],[TON (mg L-1)]]-Influent9[[#This Row],[NO2-N (mg L-1)]]&lt;0,0.2,Influent9[[#This Row],[TON (mg L-1)]]-Influent9[[#This Row],[NO2-N (mg L-1)]])</f>
        <v>0.2</v>
      </c>
      <c r="S67" s="6">
        <f>SUM(Influent9[[#This Row],[NO3-N (mg L-1)]],Influent9[[#This Row],[NO2-N (mg L-1)]],Influent9[[#This Row],[NH4-N (mg L-1)]])</f>
        <v>1227.9469999999999</v>
      </c>
      <c r="T67" s="19">
        <f>IFERROR(Influent9[[#This Row],[sCOD (mg L-1)]]/Influent9[[#This Row],[TN (mg L-1)]], 0)</f>
        <v>2.0668644493614141</v>
      </c>
      <c r="U67" s="19">
        <f>Influent9[[#This Row],[Alkalinity (mg CaCO3 L-1) ]]/Influent9[[#This Row],[TN (mg L-1)]]</f>
        <v>3.6923417704510051</v>
      </c>
      <c r="V67" s="19">
        <f>Influent9[[#This Row],[VSS (mg L-1)]]/Influent9[[#This Row],[TSS (mg L-1)]]</f>
        <v>0.31862745098039214</v>
      </c>
    </row>
    <row r="68" spans="1:22" x14ac:dyDescent="0.3">
      <c r="A68" s="128">
        <v>43391</v>
      </c>
      <c r="B68" s="29">
        <v>65</v>
      </c>
      <c r="C68" s="19">
        <v>24.416641357167649</v>
      </c>
      <c r="D68" s="19"/>
      <c r="E68" s="29">
        <v>2895</v>
      </c>
      <c r="F68" s="29">
        <f>Influent9[[#This Row],[COD (mg L-1)]]*Information!$AK$40</f>
        <v>2605.5</v>
      </c>
      <c r="G68" s="22">
        <v>4629</v>
      </c>
      <c r="H68" s="29">
        <v>8.4</v>
      </c>
      <c r="I68" s="29">
        <v>166</v>
      </c>
      <c r="J68" s="29">
        <v>41</v>
      </c>
      <c r="K68" s="6">
        <v>14.08</v>
      </c>
      <c r="L68" s="19">
        <v>0.2</v>
      </c>
      <c r="M68" s="6">
        <f>Influent9[[#This Row],[NH4-N (mg L-1)]]*1.288</f>
        <v>1579.2167999999999</v>
      </c>
      <c r="N68" s="6">
        <f>(Influent9[[#This Row],[TON (mg L-1)]]-Influent9[[#This Row],[NO2- (mg L-1)]])*4.426</f>
        <v>-0.42294855999999992</v>
      </c>
      <c r="O68" s="6">
        <f>Influent9[[#This Row],[NO2-N (mg L-1)]]*3.284</f>
        <v>0.29555999999999999</v>
      </c>
      <c r="P68" s="6">
        <v>1226.0999999999999</v>
      </c>
      <c r="Q68" s="20">
        <v>0.09</v>
      </c>
      <c r="R68" s="19">
        <f>IF(Influent9[[#This Row],[TON (mg L-1)]]-Influent9[[#This Row],[NO2-N (mg L-1)]]&lt;0,0.2,Influent9[[#This Row],[TON (mg L-1)]]-Influent9[[#This Row],[NO2-N (mg L-1)]])</f>
        <v>0.11000000000000001</v>
      </c>
      <c r="S68" s="6">
        <f>SUM(Influent9[[#This Row],[NO3-N (mg L-1)]],Influent9[[#This Row],[NO2-N (mg L-1)]],Influent9[[#This Row],[NH4-N (mg L-1)]])</f>
        <v>1226.3</v>
      </c>
      <c r="T68" s="19">
        <f>IFERROR(Influent9[[#This Row],[sCOD (mg L-1)]]/Influent9[[#This Row],[TN (mg L-1)]], 0)</f>
        <v>2.1246840088069803</v>
      </c>
      <c r="U68" s="19">
        <f>Influent9[[#This Row],[Alkalinity (mg CaCO3 L-1) ]]/Influent9[[#This Row],[TN (mg L-1)]]</f>
        <v>3.7747696322270246</v>
      </c>
      <c r="V68" s="19">
        <f>Influent9[[#This Row],[VSS (mg L-1)]]/Influent9[[#This Row],[TSS (mg L-1)]]</f>
        <v>0.24698795180722891</v>
      </c>
    </row>
    <row r="69" spans="1:22" x14ac:dyDescent="0.3">
      <c r="A69" s="128">
        <v>43392</v>
      </c>
      <c r="B69" s="29">
        <v>66</v>
      </c>
      <c r="C69" s="19">
        <v>23.318502649256274</v>
      </c>
      <c r="D69" s="19"/>
      <c r="E69" s="29">
        <v>2760</v>
      </c>
      <c r="F69" s="29">
        <f>Influent9[[#This Row],[COD (mg L-1)]]*Information!$AK$40</f>
        <v>2484</v>
      </c>
      <c r="G69" s="22">
        <v>4512</v>
      </c>
      <c r="H69" s="29">
        <v>8.3000000000000007</v>
      </c>
      <c r="I69" s="29">
        <v>193.3</v>
      </c>
      <c r="J69" s="29">
        <v>13</v>
      </c>
      <c r="K69" s="6">
        <v>23.16</v>
      </c>
      <c r="L69" s="19">
        <v>0.2</v>
      </c>
      <c r="M69" s="6">
        <f>Influent9[[#This Row],[NH4-N (mg L-1)]]*1.288</f>
        <v>1572.3904</v>
      </c>
      <c r="N69" s="6">
        <f>(Influent9[[#This Row],[TON (mg L-1)]]-Influent9[[#This Row],[NO2- (mg L-1)]])*4.426</f>
        <v>0.76892012800000009</v>
      </c>
      <c r="O69" s="6">
        <f>Influent9[[#This Row],[NO2-N (mg L-1)]]*3.284</f>
        <v>2.6272E-2</v>
      </c>
      <c r="P69" s="6">
        <v>1220.8</v>
      </c>
      <c r="Q69" s="20">
        <v>8.0000000000000002E-3</v>
      </c>
      <c r="R69" s="19">
        <f>IF(Influent9[[#This Row],[TON (mg L-1)]]-Influent9[[#This Row],[NO2-N (mg L-1)]]&lt;0,0.2,Influent9[[#This Row],[TON (mg L-1)]]-Influent9[[#This Row],[NO2-N (mg L-1)]])</f>
        <v>0.192</v>
      </c>
      <c r="S69" s="6">
        <f>SUM(Influent9[[#This Row],[NO3-N (mg L-1)]],Influent9[[#This Row],[NO2-N (mg L-1)]],Influent9[[#This Row],[NH4-N (mg L-1)]])</f>
        <v>1221</v>
      </c>
      <c r="T69" s="19">
        <f>IFERROR(Influent9[[#This Row],[sCOD (mg L-1)]]/Influent9[[#This Row],[TN (mg L-1)]], 0)</f>
        <v>2.0343980343980346</v>
      </c>
      <c r="U69" s="19">
        <f>Influent9[[#This Row],[Alkalinity (mg CaCO3 L-1) ]]/Influent9[[#This Row],[TN (mg L-1)]]</f>
        <v>3.6953316953316953</v>
      </c>
      <c r="V69" s="19">
        <f>Influent9[[#This Row],[VSS (mg L-1)]]/Influent9[[#This Row],[TSS (mg L-1)]]</f>
        <v>6.7252974650801864E-2</v>
      </c>
    </row>
    <row r="70" spans="1:22" x14ac:dyDescent="0.3">
      <c r="A70" s="128">
        <v>43393</v>
      </c>
      <c r="B70" s="29">
        <v>67</v>
      </c>
      <c r="C70" s="19">
        <v>23.08850773536923</v>
      </c>
      <c r="D70" s="19"/>
      <c r="E70" s="29">
        <v>2860</v>
      </c>
      <c r="F70" s="29">
        <f>Influent9[[#This Row],[COD (mg L-1)]]*Information!$AK$40</f>
        <v>2574</v>
      </c>
      <c r="G70" s="22">
        <v>4491</v>
      </c>
      <c r="H70" s="29">
        <v>8.1999999999999993</v>
      </c>
      <c r="I70" s="29">
        <v>203.3</v>
      </c>
      <c r="J70" s="29">
        <v>60</v>
      </c>
      <c r="K70" s="6">
        <v>22.7</v>
      </c>
      <c r="L70" s="19">
        <v>0.2</v>
      </c>
      <c r="M70" s="6">
        <f>Influent9[[#This Row],[NH4-N (mg L-1)]]*1.288</f>
        <v>1585.6568</v>
      </c>
      <c r="N70" s="6">
        <f>(Influent9[[#This Row],[TON (mg L-1)]]-Influent9[[#This Row],[NO2- (mg L-1)]])*4.426</f>
        <v>-120.69994116000001</v>
      </c>
      <c r="O70" s="6">
        <f>Influent9[[#This Row],[NO2-N (mg L-1)]]*3.284</f>
        <v>27.470659999999999</v>
      </c>
      <c r="P70" s="6">
        <v>1231.0999999999999</v>
      </c>
      <c r="Q70" s="20">
        <v>8.3650000000000002</v>
      </c>
      <c r="R70" s="19">
        <f>IF(Influent9[[#This Row],[TON (mg L-1)]]-Influent9[[#This Row],[NO2-N (mg L-1)]]&lt;0,0.2,Influent9[[#This Row],[TON (mg L-1)]]-Influent9[[#This Row],[NO2-N (mg L-1)]])</f>
        <v>0.2</v>
      </c>
      <c r="S70" s="6">
        <f>SUM(Influent9[[#This Row],[NO3-N (mg L-1)]],Influent9[[#This Row],[NO2-N (mg L-1)]],Influent9[[#This Row],[NH4-N (mg L-1)]])</f>
        <v>1239.665</v>
      </c>
      <c r="T70" s="19">
        <f>IFERROR(Influent9[[#This Row],[sCOD (mg L-1)]]/Influent9[[#This Row],[TN (mg L-1)]], 0)</f>
        <v>2.0763674057104136</v>
      </c>
      <c r="U70" s="19">
        <f>Influent9[[#This Row],[Alkalinity (mg CaCO3 L-1) ]]/Influent9[[#This Row],[TN (mg L-1)]]</f>
        <v>3.6227529211520855</v>
      </c>
      <c r="V70" s="19">
        <f>Influent9[[#This Row],[VSS (mg L-1)]]/Influent9[[#This Row],[TSS (mg L-1)]]</f>
        <v>0.29513034923757991</v>
      </c>
    </row>
    <row r="71" spans="1:22" x14ac:dyDescent="0.3">
      <c r="A71" s="128">
        <v>43394</v>
      </c>
      <c r="B71" s="29">
        <v>68</v>
      </c>
      <c r="C71" s="19">
        <v>23.831062398325937</v>
      </c>
      <c r="D71" s="19"/>
      <c r="E71" s="29">
        <v>2705</v>
      </c>
      <c r="F71" s="29">
        <f>Influent9[[#This Row],[COD (mg L-1)]]*Information!$AK$40</f>
        <v>2434.5</v>
      </c>
      <c r="G71" s="22">
        <v>4466</v>
      </c>
      <c r="H71" s="29">
        <v>8.3000000000000007</v>
      </c>
      <c r="I71" s="29">
        <v>173.3</v>
      </c>
      <c r="J71" s="29">
        <v>13</v>
      </c>
      <c r="K71" s="6">
        <v>21.96</v>
      </c>
      <c r="L71" s="19">
        <v>0.2</v>
      </c>
      <c r="M71" s="6">
        <f>Influent9[[#This Row],[NH4-N (mg L-1)]]*1.288</f>
        <v>1573.2920000000001</v>
      </c>
      <c r="N71" s="6">
        <f>(Influent9[[#This Row],[TON (mg L-1)]]-Influent9[[#This Row],[NO2- (mg L-1)]])*4.426</f>
        <v>0.76892012800000009</v>
      </c>
      <c r="O71" s="6">
        <f>Influent9[[#This Row],[NO2-N (mg L-1)]]*3.284</f>
        <v>2.6272E-2</v>
      </c>
      <c r="P71" s="6">
        <v>1221.5</v>
      </c>
      <c r="Q71" s="20">
        <v>8.0000000000000002E-3</v>
      </c>
      <c r="R71" s="19">
        <f>IF(Influent9[[#This Row],[TON (mg L-1)]]-Influent9[[#This Row],[NO2-N (mg L-1)]]&lt;0,0.2,Influent9[[#This Row],[TON (mg L-1)]]-Influent9[[#This Row],[NO2-N (mg L-1)]])</f>
        <v>0.192</v>
      </c>
      <c r="S71" s="6">
        <f>SUM(Influent9[[#This Row],[NO3-N (mg L-1)]],Influent9[[#This Row],[NO2-N (mg L-1)]],Influent9[[#This Row],[NH4-N (mg L-1)]])</f>
        <v>1221.7</v>
      </c>
      <c r="T71" s="19">
        <f>IFERROR(Influent9[[#This Row],[sCOD (mg L-1)]]/Influent9[[#This Row],[TN (mg L-1)]], 0)</f>
        <v>1.9927150691659163</v>
      </c>
      <c r="U71" s="19">
        <f>Influent9[[#This Row],[Alkalinity (mg CaCO3 L-1) ]]/Influent9[[#This Row],[TN (mg L-1)]]</f>
        <v>3.6555619219120894</v>
      </c>
      <c r="V71" s="19">
        <f>Influent9[[#This Row],[VSS (mg L-1)]]/Influent9[[#This Row],[TSS (mg L-1)]]</f>
        <v>7.5014425851125208E-2</v>
      </c>
    </row>
    <row r="72" spans="1:22" x14ac:dyDescent="0.3">
      <c r="A72" s="128">
        <v>43395</v>
      </c>
      <c r="B72" s="29">
        <v>69</v>
      </c>
      <c r="C72" s="19">
        <v>24.02365066689859</v>
      </c>
      <c r="D72" s="19"/>
      <c r="E72" s="29">
        <v>2270</v>
      </c>
      <c r="F72" s="29">
        <f>Influent9[[#This Row],[COD (mg L-1)]]*Information!$AK$40</f>
        <v>2043</v>
      </c>
      <c r="G72" s="22">
        <v>4524</v>
      </c>
      <c r="H72" s="29">
        <v>8.3000000000000007</v>
      </c>
      <c r="I72" s="29">
        <v>163.30000000000001</v>
      </c>
      <c r="J72" s="29">
        <v>27</v>
      </c>
      <c r="K72" s="6">
        <v>19.63</v>
      </c>
      <c r="L72" s="19">
        <v>0.2</v>
      </c>
      <c r="M72" s="6">
        <f>Influent9[[#This Row],[NH4-N (mg L-1)]]*1.288</f>
        <v>1611.288</v>
      </c>
      <c r="N72" s="6">
        <f>(Influent9[[#This Row],[TON (mg L-1)]]-Influent9[[#This Row],[NO2- (mg L-1)]])*4.426</f>
        <v>0.76892012800000009</v>
      </c>
      <c r="O72" s="6">
        <f>Influent9[[#This Row],[NO2-N (mg L-1)]]*3.284</f>
        <v>2.6272E-2</v>
      </c>
      <c r="P72" s="6">
        <v>1251</v>
      </c>
      <c r="Q72" s="20">
        <v>8.0000000000000002E-3</v>
      </c>
      <c r="R72" s="19">
        <f>IF(Influent9[[#This Row],[TON (mg L-1)]]-Influent9[[#This Row],[NO2-N (mg L-1)]]&lt;0,0.2,Influent9[[#This Row],[TON (mg L-1)]]-Influent9[[#This Row],[NO2-N (mg L-1)]])</f>
        <v>0.192</v>
      </c>
      <c r="S72" s="6">
        <f>SUM(Influent9[[#This Row],[NO3-N (mg L-1)]],Influent9[[#This Row],[NO2-N (mg L-1)]],Influent9[[#This Row],[NH4-N (mg L-1)]])</f>
        <v>1251.2</v>
      </c>
      <c r="T72" s="19">
        <f>IFERROR(Influent9[[#This Row],[sCOD (mg L-1)]]/Influent9[[#This Row],[TN (mg L-1)]], 0)</f>
        <v>1.6328324808184143</v>
      </c>
      <c r="U72" s="19">
        <f>Influent9[[#This Row],[Alkalinity (mg CaCO3 L-1) ]]/Influent9[[#This Row],[TN (mg L-1)]]</f>
        <v>3.6157289002557542</v>
      </c>
      <c r="V72" s="19">
        <f>Influent9[[#This Row],[VSS (mg L-1)]]/Influent9[[#This Row],[TSS (mg L-1)]]</f>
        <v>0.16533986527862829</v>
      </c>
    </row>
    <row r="73" spans="1:22" x14ac:dyDescent="0.3">
      <c r="A73" s="128">
        <v>43396</v>
      </c>
      <c r="B73" s="29">
        <v>70</v>
      </c>
      <c r="C73" s="19">
        <v>22.414409030356865</v>
      </c>
      <c r="D73" s="19"/>
      <c r="E73" s="29">
        <v>2195</v>
      </c>
      <c r="F73" s="29">
        <f>Influent9[[#This Row],[COD (mg L-1)]]*Information!$AK$40</f>
        <v>1975.5</v>
      </c>
      <c r="G73" s="22">
        <v>4524</v>
      </c>
      <c r="H73" s="29">
        <v>8.3000000000000007</v>
      </c>
      <c r="I73" s="29">
        <v>193.3</v>
      </c>
      <c r="J73" s="29">
        <v>45</v>
      </c>
      <c r="K73" s="6">
        <v>18.71</v>
      </c>
      <c r="L73" s="19">
        <v>0.2</v>
      </c>
      <c r="M73" s="6">
        <f>Influent9[[#This Row],[NH4-N (mg L-1)]]*1.288</f>
        <v>1590.68</v>
      </c>
      <c r="N73" s="6">
        <f>(Influent9[[#This Row],[TON (mg L-1)]]-Influent9[[#This Row],[NO2- (mg L-1)]])*4.426</f>
        <v>0.76892012800000009</v>
      </c>
      <c r="O73" s="6">
        <f>Influent9[[#This Row],[NO2-N (mg L-1)]]*3.284</f>
        <v>2.6272E-2</v>
      </c>
      <c r="P73" s="6">
        <v>1235</v>
      </c>
      <c r="Q73" s="20">
        <v>8.0000000000000002E-3</v>
      </c>
      <c r="R73" s="19">
        <f>IF(Influent9[[#This Row],[TON (mg L-1)]]-Influent9[[#This Row],[NO2-N (mg L-1)]]&lt;0,0.2,Influent9[[#This Row],[TON (mg L-1)]]-Influent9[[#This Row],[NO2-N (mg L-1)]])</f>
        <v>0.192</v>
      </c>
      <c r="S73" s="6">
        <f>SUM(Influent9[[#This Row],[NO3-N (mg L-1)]],Influent9[[#This Row],[NO2-N (mg L-1)]],Influent9[[#This Row],[NH4-N (mg L-1)]])</f>
        <v>1235.2</v>
      </c>
      <c r="T73" s="19">
        <f>IFERROR(Influent9[[#This Row],[sCOD (mg L-1)]]/Influent9[[#This Row],[TN (mg L-1)]], 0)</f>
        <v>1.599336139896373</v>
      </c>
      <c r="U73" s="19">
        <f>Influent9[[#This Row],[Alkalinity (mg CaCO3 L-1) ]]/Influent9[[#This Row],[TN (mg L-1)]]</f>
        <v>3.6625647668393779</v>
      </c>
      <c r="V73" s="19">
        <f>Influent9[[#This Row],[VSS (mg L-1)]]/Influent9[[#This Row],[TSS (mg L-1)]]</f>
        <v>0.23279875840662181</v>
      </c>
    </row>
    <row r="74" spans="1:22" x14ac:dyDescent="0.3">
      <c r="A74" s="128">
        <v>43397</v>
      </c>
      <c r="B74" s="29">
        <v>71</v>
      </c>
      <c r="C74" s="19">
        <v>22.067876716489305</v>
      </c>
      <c r="D74" s="19"/>
      <c r="E74" s="29">
        <v>2040</v>
      </c>
      <c r="F74" s="29">
        <f>Influent9[[#This Row],[COD (mg L-1)]]*Information!$AK$40</f>
        <v>1836</v>
      </c>
      <c r="G74" s="22">
        <v>4383</v>
      </c>
      <c r="H74" s="29">
        <v>8.4</v>
      </c>
      <c r="I74" s="29">
        <v>148</v>
      </c>
      <c r="J74" s="29">
        <v>25</v>
      </c>
      <c r="K74" s="6">
        <v>15.63</v>
      </c>
      <c r="L74" s="19">
        <v>20.8</v>
      </c>
      <c r="M74" s="6">
        <f>Influent9[[#This Row],[NH4-N (mg L-1)]]*1.288</f>
        <v>1604.848</v>
      </c>
      <c r="N74" s="6">
        <f>(Influent9[[#This Row],[TON (mg L-1)]]-Influent9[[#This Row],[NO2- (mg L-1)]])*4.426</f>
        <v>-151.50192688800004</v>
      </c>
      <c r="O74" s="6">
        <f>Influent9[[#This Row],[NO2-N (mg L-1)]]*3.284</f>
        <v>55.029988000000003</v>
      </c>
      <c r="P74" s="6">
        <v>1246</v>
      </c>
      <c r="Q74" s="20">
        <v>16.757000000000001</v>
      </c>
      <c r="R74" s="19">
        <f>IF(Influent9[[#This Row],[TON (mg L-1)]]-Influent9[[#This Row],[NO2-N (mg L-1)]]&lt;0,0.2,Influent9[[#This Row],[TON (mg L-1)]]-Influent9[[#This Row],[NO2-N (mg L-1)]])</f>
        <v>4.0429999999999993</v>
      </c>
      <c r="S74" s="6">
        <f>SUM(Influent9[[#This Row],[NO3-N (mg L-1)]],Influent9[[#This Row],[NO2-N (mg L-1)]],Influent9[[#This Row],[NH4-N (mg L-1)]])</f>
        <v>1266.8</v>
      </c>
      <c r="T74" s="19">
        <f>IFERROR(Influent9[[#This Row],[sCOD (mg L-1)]]/Influent9[[#This Row],[TN (mg L-1)]], 0)</f>
        <v>1.4493211240922008</v>
      </c>
      <c r="U74" s="19">
        <f>Influent9[[#This Row],[Alkalinity (mg CaCO3 L-1) ]]/Influent9[[#This Row],[TN (mg L-1)]]</f>
        <v>3.4598989580044206</v>
      </c>
      <c r="V74" s="19">
        <f>Influent9[[#This Row],[VSS (mg L-1)]]/Influent9[[#This Row],[TSS (mg L-1)]]</f>
        <v>0.16891891891891891</v>
      </c>
    </row>
    <row r="75" spans="1:22" x14ac:dyDescent="0.3">
      <c r="A75" s="128">
        <v>43398</v>
      </c>
      <c r="B75" s="29">
        <v>72</v>
      </c>
      <c r="C75" s="19">
        <v>22.066981901190669</v>
      </c>
      <c r="D75" s="19"/>
      <c r="E75" s="29">
        <v>1060</v>
      </c>
      <c r="F75" s="29">
        <f>Influent9[[#This Row],[COD (mg L-1)]]*Information!$AK$40</f>
        <v>954</v>
      </c>
      <c r="G75" s="22">
        <v>4365</v>
      </c>
      <c r="H75" s="29">
        <v>8.4</v>
      </c>
      <c r="I75" s="29">
        <v>400</v>
      </c>
      <c r="J75" s="29">
        <v>148</v>
      </c>
      <c r="K75" s="6">
        <v>17.68</v>
      </c>
      <c r="L75" s="19">
        <v>0.2</v>
      </c>
      <c r="M75" s="6">
        <f>Influent9[[#This Row],[NH4-N (mg L-1)]]*1.288</f>
        <v>1485.4503999999999</v>
      </c>
      <c r="N75" s="6">
        <f>(Influent9[[#This Row],[TON (mg L-1)]]-Influent9[[#This Row],[NO2- (mg L-1)]])*4.426</f>
        <v>-57.545435679999997</v>
      </c>
      <c r="O75" s="6">
        <f>Influent9[[#This Row],[NO2-N (mg L-1)]]*3.284</f>
        <v>13.201679999999998</v>
      </c>
      <c r="P75" s="6">
        <v>1153.3</v>
      </c>
      <c r="Q75" s="20">
        <v>4.0199999999999996</v>
      </c>
      <c r="R75" s="19">
        <f>IF(Influent9[[#This Row],[TON (mg L-1)]]-Influent9[[#This Row],[NO2-N (mg L-1)]]&lt;0,0.2,Influent9[[#This Row],[TON (mg L-1)]]-Influent9[[#This Row],[NO2-N (mg L-1)]])</f>
        <v>0.2</v>
      </c>
      <c r="S75" s="6">
        <f>SUM(Influent9[[#This Row],[NO3-N (mg L-1)]],Influent9[[#This Row],[NO2-N (mg L-1)]],Influent9[[#This Row],[NH4-N (mg L-1)]])</f>
        <v>1157.52</v>
      </c>
      <c r="T75" s="19">
        <f>IFERROR(Influent9[[#This Row],[sCOD (mg L-1)]]/Influent9[[#This Row],[TN (mg L-1)]], 0)</f>
        <v>0.82417582417582413</v>
      </c>
      <c r="U75" s="19">
        <f>Influent9[[#This Row],[Alkalinity (mg CaCO3 L-1) ]]/Influent9[[#This Row],[TN (mg L-1)]]</f>
        <v>3.7709931577856106</v>
      </c>
      <c r="V75" s="19">
        <f>Influent9[[#This Row],[VSS (mg L-1)]]/Influent9[[#This Row],[TSS (mg L-1)]]</f>
        <v>0.37</v>
      </c>
    </row>
    <row r="76" spans="1:22" x14ac:dyDescent="0.3">
      <c r="A76" s="128">
        <v>43399</v>
      </c>
      <c r="B76" s="29">
        <v>73</v>
      </c>
      <c r="C76" s="19">
        <v>22.070931153593691</v>
      </c>
      <c r="D76" s="19"/>
      <c r="E76" s="29">
        <v>1130</v>
      </c>
      <c r="F76" s="29">
        <f>Influent9[[#This Row],[COD (mg L-1)]]*Information!$AK$40</f>
        <v>1017</v>
      </c>
      <c r="G76" s="22">
        <v>4601</v>
      </c>
      <c r="H76" s="29">
        <v>8.4</v>
      </c>
      <c r="I76" s="29">
        <v>228</v>
      </c>
      <c r="J76" s="29">
        <v>80</v>
      </c>
      <c r="K76" s="6">
        <v>16.84</v>
      </c>
      <c r="L76" s="19">
        <v>0.2</v>
      </c>
      <c r="M76" s="6">
        <f>Influent9[[#This Row],[NH4-N (mg L-1)]]*1.288</f>
        <v>1635.2447999999999</v>
      </c>
      <c r="N76" s="6">
        <f>(Influent9[[#This Row],[TON (mg L-1)]]-Influent9[[#This Row],[NO2- (mg L-1)]])*4.426</f>
        <v>-212.67731991199997</v>
      </c>
      <c r="O76" s="6">
        <f>Influent9[[#This Row],[NO2-N (mg L-1)]]*3.284</f>
        <v>48.251811999999994</v>
      </c>
      <c r="P76" s="6">
        <v>1269.5999999999999</v>
      </c>
      <c r="Q76" s="20">
        <v>14.693</v>
      </c>
      <c r="R76" s="19">
        <f>IF(Influent9[[#This Row],[TON (mg L-1)]]-Influent9[[#This Row],[NO2-N (mg L-1)]]&lt;0,0.2,Influent9[[#This Row],[TON (mg L-1)]]-Influent9[[#This Row],[NO2-N (mg L-1)]])</f>
        <v>0.2</v>
      </c>
      <c r="S76" s="6">
        <f>SUM(Influent9[[#This Row],[NO3-N (mg L-1)]],Influent9[[#This Row],[NO2-N (mg L-1)]],Influent9[[#This Row],[NH4-N (mg L-1)]])</f>
        <v>1284.4929999999999</v>
      </c>
      <c r="T76" s="19">
        <f>IFERROR(Influent9[[#This Row],[sCOD (mg L-1)]]/Influent9[[#This Row],[TN (mg L-1)]], 0)</f>
        <v>0.79175207650022228</v>
      </c>
      <c r="U76" s="19">
        <f>Influent9[[#This Row],[Alkalinity (mg CaCO3 L-1) ]]/Influent9[[#This Row],[TN (mg L-1)]]</f>
        <v>3.5819580176770134</v>
      </c>
      <c r="V76" s="19">
        <f>Influent9[[#This Row],[VSS (mg L-1)]]/Influent9[[#This Row],[TSS (mg L-1)]]</f>
        <v>0.35087719298245612</v>
      </c>
    </row>
    <row r="77" spans="1:22" x14ac:dyDescent="0.3">
      <c r="A77" s="128">
        <v>43400</v>
      </c>
      <c r="B77" s="29">
        <v>74</v>
      </c>
      <c r="C77" s="19">
        <v>20.416551277481073</v>
      </c>
      <c r="D77" s="19"/>
      <c r="E77" s="29">
        <v>2230</v>
      </c>
      <c r="F77" s="29">
        <f>Influent9[[#This Row],[COD (mg L-1)]]*Information!$AK$40</f>
        <v>2007</v>
      </c>
      <c r="G77" s="22">
        <v>4350</v>
      </c>
      <c r="H77" s="29">
        <v>8.5</v>
      </c>
      <c r="I77" s="29">
        <v>246</v>
      </c>
      <c r="J77" s="29">
        <v>79</v>
      </c>
      <c r="K77" s="6">
        <v>17.010000000000002</v>
      </c>
      <c r="L77" s="19">
        <v>0.2</v>
      </c>
      <c r="M77" s="6">
        <f>Influent9[[#This Row],[NH4-N (mg L-1)]]*1.288</f>
        <v>1546.1152000000002</v>
      </c>
      <c r="N77" s="6">
        <f>(Influent9[[#This Row],[TON (mg L-1)]]-Influent9[[#This Row],[NO2- (mg L-1)]])*4.426</f>
        <v>0.76892012800000009</v>
      </c>
      <c r="O77" s="6">
        <f>Influent9[[#This Row],[NO2-N (mg L-1)]]*3.284</f>
        <v>2.6272E-2</v>
      </c>
      <c r="P77" s="6">
        <v>1200.4000000000001</v>
      </c>
      <c r="Q77" s="20">
        <v>8.0000000000000002E-3</v>
      </c>
      <c r="R77" s="19">
        <f>IF(Influent9[[#This Row],[TON (mg L-1)]]-Influent9[[#This Row],[NO2-N (mg L-1)]]&lt;0,0.2,Influent9[[#This Row],[TON (mg L-1)]]-Influent9[[#This Row],[NO2-N (mg L-1)]])</f>
        <v>0.192</v>
      </c>
      <c r="S77" s="6">
        <f>SUM(Influent9[[#This Row],[NO3-N (mg L-1)]],Influent9[[#This Row],[NO2-N (mg L-1)]],Influent9[[#This Row],[NH4-N (mg L-1)]])</f>
        <v>1200.6000000000001</v>
      </c>
      <c r="T77" s="19">
        <f>IFERROR(Influent9[[#This Row],[sCOD (mg L-1)]]/Influent9[[#This Row],[TN (mg L-1)]], 0)</f>
        <v>1.6716641679160418</v>
      </c>
      <c r="U77" s="19">
        <f>Influent9[[#This Row],[Alkalinity (mg CaCO3 L-1) ]]/Influent9[[#This Row],[TN (mg L-1)]]</f>
        <v>3.6231884057971011</v>
      </c>
      <c r="V77" s="19">
        <f>Influent9[[#This Row],[VSS (mg L-1)]]/Influent9[[#This Row],[TSS (mg L-1)]]</f>
        <v>0.32113821138211385</v>
      </c>
    </row>
    <row r="78" spans="1:22" x14ac:dyDescent="0.3">
      <c r="A78" s="128">
        <v>43401</v>
      </c>
      <c r="B78" s="29">
        <v>75</v>
      </c>
      <c r="C78" s="19">
        <v>20.58372953309652</v>
      </c>
      <c r="D78" s="19"/>
      <c r="E78" s="29">
        <v>2320</v>
      </c>
      <c r="F78" s="29">
        <f>Influent9[[#This Row],[COD (mg L-1)]]*Information!$AK$40</f>
        <v>2088</v>
      </c>
      <c r="G78" s="22">
        <v>4425</v>
      </c>
      <c r="H78" s="29">
        <v>8.6</v>
      </c>
      <c r="I78" s="29">
        <v>242</v>
      </c>
      <c r="J78" s="29">
        <v>77</v>
      </c>
      <c r="K78" s="6">
        <v>19.88</v>
      </c>
      <c r="L78" s="19">
        <v>6.6</v>
      </c>
      <c r="M78" s="6">
        <f>Influent9[[#This Row],[NH4-N (mg L-1)]]*1.288</f>
        <v>1569.1704</v>
      </c>
      <c r="N78" s="6">
        <f>(Influent9[[#This Row],[TON (mg L-1)]]-Influent9[[#This Row],[NO2- (mg L-1)]])*4.426</f>
        <v>-228.55180625599999</v>
      </c>
      <c r="O78" s="6">
        <f>Influent9[[#This Row],[NO2-N (mg L-1)]]*3.284</f>
        <v>58.238455999999999</v>
      </c>
      <c r="P78" s="6">
        <v>1218.3</v>
      </c>
      <c r="Q78" s="20">
        <v>17.734000000000002</v>
      </c>
      <c r="R78" s="19">
        <f>IF(Influent9[[#This Row],[TON (mg L-1)]]-Influent9[[#This Row],[NO2-N (mg L-1)]]&lt;0,0.2,Influent9[[#This Row],[TON (mg L-1)]]-Influent9[[#This Row],[NO2-N (mg L-1)]])</f>
        <v>0.2</v>
      </c>
      <c r="S78" s="6">
        <f>SUM(Influent9[[#This Row],[NO3-N (mg L-1)]],Influent9[[#This Row],[NO2-N (mg L-1)]],Influent9[[#This Row],[NH4-N (mg L-1)]])</f>
        <v>1236.2339999999999</v>
      </c>
      <c r="T78" s="19">
        <f>IFERROR(Influent9[[#This Row],[sCOD (mg L-1)]]/Influent9[[#This Row],[TN (mg L-1)]], 0)</f>
        <v>1.6890006260950599</v>
      </c>
      <c r="U78" s="19">
        <f>Influent9[[#This Row],[Alkalinity (mg CaCO3 L-1) ]]/Influent9[[#This Row],[TN (mg L-1)]]</f>
        <v>3.5794194303020306</v>
      </c>
      <c r="V78" s="19">
        <f>Influent9[[#This Row],[VSS (mg L-1)]]/Influent9[[#This Row],[TSS (mg L-1)]]</f>
        <v>0.31818181818181818</v>
      </c>
    </row>
    <row r="79" spans="1:22" x14ac:dyDescent="0.3">
      <c r="A79" s="128">
        <v>43402</v>
      </c>
      <c r="B79" s="29">
        <v>76</v>
      </c>
      <c r="C79" s="19">
        <v>20.590429833679305</v>
      </c>
      <c r="D79" s="19"/>
      <c r="E79" s="29">
        <v>2240</v>
      </c>
      <c r="F79" s="29">
        <f>Influent9[[#This Row],[COD (mg L-1)]]*Information!$AK$40</f>
        <v>2016</v>
      </c>
      <c r="G79" s="22">
        <v>4701</v>
      </c>
      <c r="H79" s="29">
        <v>8.6</v>
      </c>
      <c r="I79" s="29">
        <v>216</v>
      </c>
      <c r="J79" s="29">
        <v>57</v>
      </c>
      <c r="K79" s="6">
        <v>17.190000000000001</v>
      </c>
      <c r="L79" s="19">
        <v>12.7</v>
      </c>
      <c r="M79" s="6">
        <f>Influent9[[#This Row],[NH4-N (mg L-1)]]*1.288</f>
        <v>1609.0984000000001</v>
      </c>
      <c r="N79" s="6">
        <f>(Influent9[[#This Row],[TON (mg L-1)]]-Influent9[[#This Row],[NO2- (mg L-1)]])*4.426</f>
        <v>-98.849009311999978</v>
      </c>
      <c r="O79" s="6">
        <f>Influent9[[#This Row],[NO2-N (mg L-1)]]*3.284</f>
        <v>35.033711999999994</v>
      </c>
      <c r="P79" s="6">
        <v>1249.3</v>
      </c>
      <c r="Q79" s="20">
        <v>10.667999999999999</v>
      </c>
      <c r="R79" s="19">
        <f>IF(Influent9[[#This Row],[TON (mg L-1)]]-Influent9[[#This Row],[NO2-N (mg L-1)]]&lt;0,0.2,Influent9[[#This Row],[TON (mg L-1)]]-Influent9[[#This Row],[NO2-N (mg L-1)]])</f>
        <v>2.032</v>
      </c>
      <c r="S79" s="6">
        <f>SUM(Influent9[[#This Row],[NO3-N (mg L-1)]],Influent9[[#This Row],[NO2-N (mg L-1)]],Influent9[[#This Row],[NH4-N (mg L-1)]])</f>
        <v>1262</v>
      </c>
      <c r="T79" s="19">
        <f>IFERROR(Influent9[[#This Row],[sCOD (mg L-1)]]/Influent9[[#This Row],[TN (mg L-1)]], 0)</f>
        <v>1.5974643423137875</v>
      </c>
      <c r="U79" s="19">
        <f>Influent9[[#This Row],[Alkalinity (mg CaCO3 L-1) ]]/Influent9[[#This Row],[TN (mg L-1)]]</f>
        <v>3.7250396196513469</v>
      </c>
      <c r="V79" s="19">
        <f>Influent9[[#This Row],[VSS (mg L-1)]]/Influent9[[#This Row],[TSS (mg L-1)]]</f>
        <v>0.2638888888888889</v>
      </c>
    </row>
    <row r="80" spans="1:22" x14ac:dyDescent="0.3">
      <c r="A80" s="128">
        <v>43403</v>
      </c>
      <c r="B80" s="29">
        <v>77</v>
      </c>
      <c r="C80" s="19">
        <v>15.039105337885095</v>
      </c>
      <c r="D80" s="19"/>
      <c r="E80" s="29">
        <v>2575</v>
      </c>
      <c r="F80" s="29">
        <f>Influent9[[#This Row],[COD (mg L-1)]]*Information!$AK$40</f>
        <v>2317.5</v>
      </c>
      <c r="G80" s="29">
        <v>4751</v>
      </c>
      <c r="H80" s="29">
        <v>8.5</v>
      </c>
      <c r="I80" s="29">
        <v>416</v>
      </c>
      <c r="J80" s="29">
        <v>140</v>
      </c>
      <c r="K80" s="29">
        <v>12.45</v>
      </c>
      <c r="L80" s="29">
        <v>0.2</v>
      </c>
      <c r="M80" s="6"/>
      <c r="N80" s="20"/>
      <c r="O80" s="6"/>
      <c r="P80" s="6">
        <v>1305.3</v>
      </c>
      <c r="Q80" s="20">
        <v>8.0000000000000002E-3</v>
      </c>
      <c r="R80" s="19">
        <f>IF(Influent9[[#This Row],[TON (mg L-1)]]-Influent9[[#This Row],[NO2-N (mg L-1)]]&lt;0,0.2,Influent9[[#This Row],[TON (mg L-1)]]-Influent9[[#This Row],[NO2-N (mg L-1)]])</f>
        <v>0.192</v>
      </c>
      <c r="S80" s="6">
        <f>SUM(Influent9[[#This Row],[NO3-N (mg L-1)]],Influent9[[#This Row],[NO2-N (mg L-1)]],Influent9[[#This Row],[NH4-N (mg L-1)]])</f>
        <v>1305.5</v>
      </c>
      <c r="T80" s="19">
        <f>IFERROR(Influent9[[#This Row],[sCOD (mg L-1)]]/Influent9[[#This Row],[TN (mg L-1)]], 0)</f>
        <v>1.7751819226350058</v>
      </c>
      <c r="U80" s="19">
        <f>Influent9[[#This Row],[Alkalinity (mg CaCO3 L-1) ]]/Influent9[[#This Row],[TN (mg L-1)]]</f>
        <v>3.639218690157028</v>
      </c>
      <c r="V80" s="19">
        <f>Influent9[[#This Row],[VSS (mg L-1)]]/Influent9[[#This Row],[TSS (mg L-1)]]</f>
        <v>0.33653846153846156</v>
      </c>
    </row>
    <row r="81" spans="1:22" x14ac:dyDescent="0.3">
      <c r="A81" s="128">
        <v>43404</v>
      </c>
      <c r="B81" s="29">
        <v>78</v>
      </c>
      <c r="C81" s="19">
        <v>15.29852049171159</v>
      </c>
      <c r="D81" s="19"/>
      <c r="E81" s="29">
        <v>2440</v>
      </c>
      <c r="F81" s="29">
        <f>Influent9[[#This Row],[COD (mg L-1)]]*Information!$AK$40</f>
        <v>2196</v>
      </c>
      <c r="G81" s="29">
        <v>4719</v>
      </c>
      <c r="H81" s="29">
        <v>8.5</v>
      </c>
      <c r="I81" s="29">
        <v>554</v>
      </c>
      <c r="J81" s="29">
        <v>200</v>
      </c>
      <c r="K81" s="29">
        <v>12.2</v>
      </c>
      <c r="L81" s="29">
        <v>0.2</v>
      </c>
      <c r="M81" s="6"/>
      <c r="N81" s="20"/>
      <c r="O81" s="6"/>
      <c r="P81" s="6">
        <v>1289.3</v>
      </c>
      <c r="Q81" s="20">
        <v>8.0000000000000002E-3</v>
      </c>
      <c r="R81" s="19">
        <f>IF(Influent9[[#This Row],[TON (mg L-1)]]-Influent9[[#This Row],[NO2-N (mg L-1)]]&lt;0,0.2,Influent9[[#This Row],[TON (mg L-1)]]-Influent9[[#This Row],[NO2-N (mg L-1)]])</f>
        <v>0.192</v>
      </c>
      <c r="S81" s="6">
        <f>SUM(Influent9[[#This Row],[NO3-N (mg L-1)]],Influent9[[#This Row],[NO2-N (mg L-1)]],Influent9[[#This Row],[NH4-N (mg L-1)]])</f>
        <v>1289.5</v>
      </c>
      <c r="T81" s="19">
        <f>IFERROR(Influent9[[#This Row],[sCOD (mg L-1)]]/Influent9[[#This Row],[TN (mg L-1)]], 0)</f>
        <v>1.7029856533540131</v>
      </c>
      <c r="U81" s="19">
        <f>Influent9[[#This Row],[Alkalinity (mg CaCO3 L-1) ]]/Influent9[[#This Row],[TN (mg L-1)]]</f>
        <v>3.6595579682047306</v>
      </c>
      <c r="V81" s="19">
        <f>Influent9[[#This Row],[VSS (mg L-1)]]/Influent9[[#This Row],[TSS (mg L-1)]]</f>
        <v>0.36101083032490977</v>
      </c>
    </row>
    <row r="82" spans="1:22" x14ac:dyDescent="0.3">
      <c r="A82" s="128">
        <v>43405</v>
      </c>
      <c r="B82" s="29">
        <v>79</v>
      </c>
      <c r="C82" s="19">
        <v>18.136163661232512</v>
      </c>
      <c r="D82" s="19"/>
      <c r="E82" s="29">
        <v>2950</v>
      </c>
      <c r="F82" s="29">
        <f>Influent9[[#This Row],[COD (mg L-1)]]*Information!$AK$40</f>
        <v>2655</v>
      </c>
      <c r="G82" s="29">
        <v>4893</v>
      </c>
      <c r="H82" s="29">
        <v>8.1999999999999993</v>
      </c>
      <c r="I82" s="29">
        <v>88</v>
      </c>
      <c r="K82" s="29">
        <v>18.850000000000001</v>
      </c>
      <c r="L82" s="29">
        <v>0.2</v>
      </c>
      <c r="M82" s="6"/>
      <c r="N82" s="20"/>
      <c r="O82" s="6"/>
      <c r="P82" s="6">
        <v>1412.31</v>
      </c>
      <c r="Q82" s="20">
        <v>8.0000000000000002E-3</v>
      </c>
      <c r="R82" s="19">
        <f>IF(Influent9[[#This Row],[TON (mg L-1)]]-Influent9[[#This Row],[NO2-N (mg L-1)]]&lt;0,0.2,Influent9[[#This Row],[TON (mg L-1)]]-Influent9[[#This Row],[NO2-N (mg L-1)]])</f>
        <v>0.192</v>
      </c>
      <c r="S82" s="6">
        <f>SUM(Influent9[[#This Row],[NO3-N (mg L-1)]],Influent9[[#This Row],[NO2-N (mg L-1)]],Influent9[[#This Row],[NH4-N (mg L-1)]])</f>
        <v>1412.51</v>
      </c>
      <c r="T82" s="19">
        <f>IFERROR(Influent9[[#This Row],[sCOD (mg L-1)]]/Influent9[[#This Row],[TN (mg L-1)]], 0)</f>
        <v>1.8796327105648809</v>
      </c>
      <c r="U82" s="19">
        <f>Influent9[[#This Row],[Alkalinity (mg CaCO3 L-1) ]]/Influent9[[#This Row],[TN (mg L-1)]]</f>
        <v>3.4640462722387806</v>
      </c>
      <c r="V82" s="19">
        <f>Influent9[[#This Row],[VSS (mg L-1)]]/Influent9[[#This Row],[TSS (mg L-1)]]</f>
        <v>0</v>
      </c>
    </row>
    <row r="83" spans="1:22" x14ac:dyDescent="0.3">
      <c r="A83" s="128">
        <v>43406</v>
      </c>
      <c r="B83" s="29">
        <v>80</v>
      </c>
      <c r="C83" s="19">
        <v>19.4319876062088</v>
      </c>
      <c r="D83" s="19"/>
      <c r="E83" s="29">
        <v>2955</v>
      </c>
      <c r="F83" s="29">
        <f>Influent9[[#This Row],[COD (mg L-1)]]*Information!$AK$40</f>
        <v>2659.5</v>
      </c>
      <c r="G83" s="29">
        <v>4853</v>
      </c>
      <c r="H83" s="29">
        <v>8.1999999999999993</v>
      </c>
      <c r="I83" s="29">
        <v>92</v>
      </c>
      <c r="K83" s="29">
        <v>16.97</v>
      </c>
      <c r="L83" s="29">
        <v>0.2</v>
      </c>
      <c r="M83" s="6"/>
      <c r="N83" s="20"/>
      <c r="O83" s="6"/>
      <c r="P83" s="6">
        <v>1442.7</v>
      </c>
      <c r="Q83" s="20">
        <v>8.0000000000000002E-3</v>
      </c>
      <c r="R83" s="19">
        <f>IF(Influent9[[#This Row],[TON (mg L-1)]]-Influent9[[#This Row],[NO2-N (mg L-1)]]&lt;0,0.2,Influent9[[#This Row],[TON (mg L-1)]]-Influent9[[#This Row],[NO2-N (mg L-1)]])</f>
        <v>0.192</v>
      </c>
      <c r="S83" s="6">
        <f>SUM(Influent9[[#This Row],[NO3-N (mg L-1)]],Influent9[[#This Row],[NO2-N (mg L-1)]],Influent9[[#This Row],[NH4-N (mg L-1)]])</f>
        <v>1442.9</v>
      </c>
      <c r="T83" s="19">
        <f>IFERROR(Influent9[[#This Row],[sCOD (mg L-1)]]/Influent9[[#This Row],[TN (mg L-1)]], 0)</f>
        <v>1.8431630743641276</v>
      </c>
      <c r="U83" s="19">
        <f>Influent9[[#This Row],[Alkalinity (mg CaCO3 L-1) ]]/Influent9[[#This Row],[TN (mg L-1)]]</f>
        <v>3.3633654445907544</v>
      </c>
      <c r="V83" s="19">
        <f>Influent9[[#This Row],[VSS (mg L-1)]]/Influent9[[#This Row],[TSS (mg L-1)]]</f>
        <v>0</v>
      </c>
    </row>
    <row r="84" spans="1:22" x14ac:dyDescent="0.3">
      <c r="A84" s="128">
        <v>43407</v>
      </c>
      <c r="B84" s="29">
        <v>81</v>
      </c>
      <c r="C84" s="19">
        <v>19.433236060230239</v>
      </c>
      <c r="D84" s="19"/>
      <c r="E84" s="29">
        <v>3005</v>
      </c>
      <c r="F84" s="29">
        <f>Influent9[[#This Row],[COD (mg L-1)]]*Information!$AK$40</f>
        <v>2704.5</v>
      </c>
      <c r="G84" s="29">
        <v>4875</v>
      </c>
      <c r="H84" s="29">
        <v>8.1999999999999993</v>
      </c>
      <c r="I84" s="29">
        <v>96</v>
      </c>
      <c r="K84" s="29">
        <v>16.28</v>
      </c>
      <c r="L84" s="29">
        <v>0.2</v>
      </c>
      <c r="M84" s="6"/>
      <c r="N84" s="20"/>
      <c r="O84" s="6"/>
      <c r="P84" s="6">
        <v>1407.1</v>
      </c>
      <c r="Q84" s="20">
        <v>8.0000000000000002E-3</v>
      </c>
      <c r="R84" s="19">
        <f>IF(Influent9[[#This Row],[TON (mg L-1)]]-Influent9[[#This Row],[NO2-N (mg L-1)]]&lt;0,0.2,Influent9[[#This Row],[TON (mg L-1)]]-Influent9[[#This Row],[NO2-N (mg L-1)]])</f>
        <v>0.192</v>
      </c>
      <c r="S84" s="6">
        <f>SUM(Influent9[[#This Row],[NO3-N (mg L-1)]],Influent9[[#This Row],[NO2-N (mg L-1)]],Influent9[[#This Row],[NH4-N (mg L-1)]])</f>
        <v>1407.3</v>
      </c>
      <c r="T84" s="19">
        <f>IFERROR(Influent9[[#This Row],[sCOD (mg L-1)]]/Influent9[[#This Row],[TN (mg L-1)]], 0)</f>
        <v>1.9217650820720529</v>
      </c>
      <c r="U84" s="19">
        <f>Influent9[[#This Row],[Alkalinity (mg CaCO3 L-1) ]]/Influent9[[#This Row],[TN (mg L-1)]]</f>
        <v>3.4640801534853978</v>
      </c>
      <c r="V84" s="19">
        <f>Influent9[[#This Row],[VSS (mg L-1)]]/Influent9[[#This Row],[TSS (mg L-1)]]</f>
        <v>0</v>
      </c>
    </row>
    <row r="85" spans="1:22" x14ac:dyDescent="0.3">
      <c r="A85" s="128">
        <v>43408</v>
      </c>
      <c r="B85" s="29">
        <v>82</v>
      </c>
      <c r="C85" s="19">
        <v>19.429165224117025</v>
      </c>
      <c r="D85" s="19"/>
      <c r="E85" s="29">
        <v>2995</v>
      </c>
      <c r="F85" s="29">
        <f>Influent9[[#This Row],[COD (mg L-1)]]*Information!$AK$40</f>
        <v>2695.5</v>
      </c>
      <c r="G85" s="29">
        <v>4858</v>
      </c>
      <c r="H85" s="29">
        <v>8.1999999999999993</v>
      </c>
      <c r="I85" s="29">
        <v>133.30000000000001</v>
      </c>
      <c r="K85" s="29">
        <v>16.13</v>
      </c>
      <c r="L85" s="29">
        <v>0.2</v>
      </c>
      <c r="M85" s="6"/>
      <c r="N85" s="20"/>
      <c r="O85" s="6"/>
      <c r="P85" s="6">
        <v>1410.35</v>
      </c>
      <c r="Q85" s="20">
        <v>8.0000000000000002E-3</v>
      </c>
      <c r="R85" s="19">
        <f>IF(Influent9[[#This Row],[TON (mg L-1)]]-Influent9[[#This Row],[NO2-N (mg L-1)]]&lt;0,0.2,Influent9[[#This Row],[TON (mg L-1)]]-Influent9[[#This Row],[NO2-N (mg L-1)]])</f>
        <v>0.192</v>
      </c>
      <c r="S85" s="6">
        <f>SUM(Influent9[[#This Row],[NO3-N (mg L-1)]],Influent9[[#This Row],[NO2-N (mg L-1)]],Influent9[[#This Row],[NH4-N (mg L-1)]])</f>
        <v>1410.55</v>
      </c>
      <c r="T85" s="19">
        <f>IFERROR(Influent9[[#This Row],[sCOD (mg L-1)]]/Influent9[[#This Row],[TN (mg L-1)]], 0)</f>
        <v>1.9109567190103152</v>
      </c>
      <c r="U85" s="19">
        <f>Influent9[[#This Row],[Alkalinity (mg CaCO3 L-1) ]]/Influent9[[#This Row],[TN (mg L-1)]]</f>
        <v>3.4440466484704548</v>
      </c>
      <c r="V85" s="19">
        <f>Influent9[[#This Row],[VSS (mg L-1)]]/Influent9[[#This Row],[TSS (mg L-1)]]</f>
        <v>0</v>
      </c>
    </row>
    <row r="86" spans="1:22" x14ac:dyDescent="0.3">
      <c r="A86" s="128">
        <v>43409</v>
      </c>
      <c r="B86" s="29">
        <v>83</v>
      </c>
      <c r="C86" s="19">
        <v>19.431469352904891</v>
      </c>
      <c r="D86" s="19"/>
      <c r="E86" s="29">
        <v>2560</v>
      </c>
      <c r="F86" s="29">
        <f>Influent9[[#This Row],[COD (mg L-1)]]*Information!$AK$40</f>
        <v>2304</v>
      </c>
      <c r="G86" s="29">
        <v>4522</v>
      </c>
      <c r="H86" s="29">
        <v>8.4</v>
      </c>
      <c r="I86" s="29">
        <v>214</v>
      </c>
      <c r="K86" s="29">
        <v>13.47</v>
      </c>
      <c r="L86" s="29">
        <v>0.2</v>
      </c>
      <c r="M86" s="6"/>
      <c r="N86" s="20"/>
      <c r="O86" s="6"/>
      <c r="P86" s="6">
        <v>1278.9000000000001</v>
      </c>
      <c r="Q86" s="20">
        <v>8.0000000000000002E-3</v>
      </c>
      <c r="R86" s="19">
        <f>IF(Influent9[[#This Row],[TON (mg L-1)]]-Influent9[[#This Row],[NO2-N (mg L-1)]]&lt;0,0.2,Influent9[[#This Row],[TON (mg L-1)]]-Influent9[[#This Row],[NO2-N (mg L-1)]])</f>
        <v>0.192</v>
      </c>
      <c r="S86" s="6">
        <f>SUM(Influent9[[#This Row],[NO3-N (mg L-1)]],Influent9[[#This Row],[NO2-N (mg L-1)]],Influent9[[#This Row],[NH4-N (mg L-1)]])</f>
        <v>1279.1000000000001</v>
      </c>
      <c r="T86" s="19">
        <f>IFERROR(Influent9[[#This Row],[sCOD (mg L-1)]]/Influent9[[#This Row],[TN (mg L-1)]], 0)</f>
        <v>1.801266515518724</v>
      </c>
      <c r="U86" s="19">
        <f>Influent9[[#This Row],[Alkalinity (mg CaCO3 L-1) ]]/Influent9[[#This Row],[TN (mg L-1)]]</f>
        <v>3.5352982565866622</v>
      </c>
      <c r="V86" s="19">
        <f>Influent9[[#This Row],[VSS (mg L-1)]]/Influent9[[#This Row],[TSS (mg L-1)]]</f>
        <v>0</v>
      </c>
    </row>
    <row r="87" spans="1:22" x14ac:dyDescent="0.3">
      <c r="A87" s="128">
        <v>43410</v>
      </c>
      <c r="B87" s="29">
        <v>84</v>
      </c>
      <c r="C87" s="19">
        <v>19.434223358435002</v>
      </c>
      <c r="D87" s="19"/>
      <c r="E87" s="29">
        <v>2480</v>
      </c>
      <c r="F87" s="29">
        <f>Influent9[[#This Row],[COD (mg L-1)]]*Information!$AK$40</f>
        <v>2232</v>
      </c>
      <c r="G87" s="29">
        <v>4426</v>
      </c>
      <c r="H87" s="29">
        <v>8.4</v>
      </c>
      <c r="I87" s="29">
        <v>126</v>
      </c>
      <c r="K87" s="29">
        <v>13</v>
      </c>
      <c r="L87" s="29">
        <v>0.2</v>
      </c>
      <c r="M87" s="6"/>
      <c r="N87" s="20"/>
      <c r="O87" s="6"/>
      <c r="P87" s="6">
        <v>1229.3</v>
      </c>
      <c r="Q87" s="20">
        <v>8.0000000000000002E-3</v>
      </c>
      <c r="R87" s="19">
        <f>IF(Influent9[[#This Row],[TON (mg L-1)]]-Influent9[[#This Row],[NO2-N (mg L-1)]]&lt;0,0.2,Influent9[[#This Row],[TON (mg L-1)]]-Influent9[[#This Row],[NO2-N (mg L-1)]])</f>
        <v>0.192</v>
      </c>
      <c r="S87" s="6">
        <f>SUM(Influent9[[#This Row],[NO3-N (mg L-1)]],Influent9[[#This Row],[NO2-N (mg L-1)]],Influent9[[#This Row],[NH4-N (mg L-1)]])</f>
        <v>1229.5</v>
      </c>
      <c r="T87" s="19">
        <f>IFERROR(Influent9[[#This Row],[sCOD (mg L-1)]]/Influent9[[#This Row],[TN (mg L-1)]], 0)</f>
        <v>1.8153721024806833</v>
      </c>
      <c r="U87" s="19">
        <f>Influent9[[#This Row],[Alkalinity (mg CaCO3 L-1) ]]/Influent9[[#This Row],[TN (mg L-1)]]</f>
        <v>3.5998373322488817</v>
      </c>
      <c r="V87" s="19">
        <f>Influent9[[#This Row],[VSS (mg L-1)]]/Influent9[[#This Row],[TSS (mg L-1)]]</f>
        <v>0</v>
      </c>
    </row>
    <row r="88" spans="1:22" x14ac:dyDescent="0.3">
      <c r="A88" s="128">
        <v>43411</v>
      </c>
      <c r="B88" s="29">
        <v>85</v>
      </c>
      <c r="D88" s="19"/>
      <c r="E88" s="29">
        <v>2340</v>
      </c>
      <c r="F88" s="29">
        <f>Influent9[[#This Row],[COD (mg L-1)]]*Information!$AK$40</f>
        <v>2106</v>
      </c>
      <c r="G88" s="29">
        <v>4438</v>
      </c>
      <c r="H88" s="29">
        <v>8.4</v>
      </c>
      <c r="I88" s="29">
        <v>152</v>
      </c>
      <c r="K88" s="29">
        <v>14.81</v>
      </c>
      <c r="L88" s="29">
        <v>0.2</v>
      </c>
      <c r="M88" s="6"/>
      <c r="N88" s="20"/>
      <c r="O88" s="6"/>
      <c r="P88" s="6">
        <v>1248.2</v>
      </c>
      <c r="Q88" s="20">
        <v>8.0000000000000002E-3</v>
      </c>
      <c r="R88" s="19">
        <f>IF(Influent9[[#This Row],[TON (mg L-1)]]-Influent9[[#This Row],[NO2-N (mg L-1)]]&lt;0,0.2,Influent9[[#This Row],[TON (mg L-1)]]-Influent9[[#This Row],[NO2-N (mg L-1)]])</f>
        <v>0.192</v>
      </c>
      <c r="S88" s="6">
        <f>SUM(Influent9[[#This Row],[NO3-N (mg L-1)]],Influent9[[#This Row],[NO2-N (mg L-1)]],Influent9[[#This Row],[NH4-N (mg L-1)]])</f>
        <v>1248.4000000000001</v>
      </c>
      <c r="T88" s="19">
        <f>IFERROR(Influent9[[#This Row],[sCOD (mg L-1)]]/Influent9[[#This Row],[TN (mg L-1)]], 0)</f>
        <v>1.6869593079141301</v>
      </c>
      <c r="U88" s="19">
        <f>Influent9[[#This Row],[Alkalinity (mg CaCO3 L-1) ]]/Influent9[[#This Row],[TN (mg L-1)]]</f>
        <v>3.5549503364306307</v>
      </c>
      <c r="V88" s="19">
        <f>Influent9[[#This Row],[VSS (mg L-1)]]/Influent9[[#This Row],[TSS (mg L-1)]]</f>
        <v>0</v>
      </c>
    </row>
    <row r="89" spans="1:22" x14ac:dyDescent="0.3">
      <c r="A89" s="128">
        <v>43412</v>
      </c>
      <c r="B89" s="29">
        <v>86</v>
      </c>
      <c r="D89" s="19"/>
      <c r="E89" s="29">
        <v>2115</v>
      </c>
      <c r="F89" s="29">
        <f>Influent9[[#This Row],[COD (mg L-1)]]*Information!$AK$40</f>
        <v>1903.5</v>
      </c>
      <c r="G89" s="22">
        <v>4409</v>
      </c>
      <c r="H89" s="29">
        <v>8.6</v>
      </c>
      <c r="K89" s="6">
        <v>14.95</v>
      </c>
      <c r="L89" s="19">
        <v>1.9</v>
      </c>
      <c r="M89" s="6">
        <f>Influent9[[#This Row],[NH4-N (mg L-1)]]*1.288</f>
        <v>1489.1856</v>
      </c>
      <c r="N89" s="6">
        <f>(Influent9[[#This Row],[TON (mg L-1)]]-Influent9[[#This Row],[NO2- (mg L-1)]])*4.426</f>
        <v>8.293120128</v>
      </c>
      <c r="O89" s="6">
        <f>Influent9[[#This Row],[NO2-N (mg L-1)]]*3.284</f>
        <v>2.6272E-2</v>
      </c>
      <c r="P89" s="6">
        <v>1156.2</v>
      </c>
      <c r="Q89" s="20">
        <v>8.0000000000000002E-3</v>
      </c>
      <c r="R89" s="19">
        <f>IF(Influent9[[#This Row],[TON (mg L-1)]]-Influent9[[#This Row],[NO2-N (mg L-1)]]&lt;0,0.2,Influent9[[#This Row],[TON (mg L-1)]]-Influent9[[#This Row],[NO2-N (mg L-1)]])</f>
        <v>1.8919999999999999</v>
      </c>
      <c r="S89" s="6">
        <f>SUM(Influent9[[#This Row],[NO3-N (mg L-1)]],Influent9[[#This Row],[NO2-N (mg L-1)]],Influent9[[#This Row],[NH4-N (mg L-1)]])</f>
        <v>1158.1000000000001</v>
      </c>
      <c r="T89" s="19">
        <f>IFERROR(Influent9[[#This Row],[sCOD (mg L-1)]]/Influent9[[#This Row],[TN (mg L-1)]], 0)</f>
        <v>1.6436404455573783</v>
      </c>
      <c r="U89" s="19">
        <f>Influent9[[#This Row],[Alkalinity (mg CaCO3 L-1) ]]/Influent9[[#This Row],[TN (mg L-1)]]</f>
        <v>3.8070978326569378</v>
      </c>
      <c r="V89" s="19"/>
    </row>
    <row r="90" spans="1:22" x14ac:dyDescent="0.3">
      <c r="A90" s="128">
        <v>43413</v>
      </c>
      <c r="B90" s="29">
        <v>87</v>
      </c>
      <c r="D90" s="19"/>
      <c r="E90" s="29">
        <v>2155</v>
      </c>
      <c r="F90" s="29">
        <f>Influent9[[#This Row],[COD (mg L-1)]]*Information!$AK$40</f>
        <v>1939.5</v>
      </c>
      <c r="G90" s="22">
        <v>4299</v>
      </c>
      <c r="H90" s="29">
        <v>8.6</v>
      </c>
      <c r="K90" s="6">
        <v>14.84</v>
      </c>
      <c r="L90" s="19">
        <v>40.200000000000003</v>
      </c>
      <c r="M90" s="6">
        <f>Influent9[[#This Row],[NH4-N (mg L-1)]]*1.288</f>
        <v>1660.6184000000001</v>
      </c>
      <c r="N90" s="6">
        <f>(Influent9[[#This Row],[TON (mg L-1)]]-Influent9[[#This Row],[NO2- (mg L-1)]])*4.426</f>
        <v>26.586946592000018</v>
      </c>
      <c r="O90" s="6">
        <f>Influent9[[#This Row],[NO2-N (mg L-1)]]*3.284</f>
        <v>34.193007999999999</v>
      </c>
      <c r="P90" s="6">
        <v>1289.3</v>
      </c>
      <c r="Q90" s="20">
        <v>10.412000000000001</v>
      </c>
      <c r="R90" s="19">
        <f>IF(Influent9[[#This Row],[TON (mg L-1)]]-Influent9[[#This Row],[NO2-N (mg L-1)]]&lt;0,0.2,Influent9[[#This Row],[TON (mg L-1)]]-Influent9[[#This Row],[NO2-N (mg L-1)]])</f>
        <v>29.788000000000004</v>
      </c>
      <c r="S90" s="6">
        <f>SUM(Influent9[[#This Row],[NO3-N (mg L-1)]],Influent9[[#This Row],[NO2-N (mg L-1)]],Influent9[[#This Row],[NH4-N (mg L-1)]])</f>
        <v>1329.5</v>
      </c>
      <c r="T90" s="19">
        <f>IFERROR(Influent9[[#This Row],[sCOD (mg L-1)]]/Influent9[[#This Row],[TN (mg L-1)]], 0)</f>
        <v>1.4588191049266641</v>
      </c>
      <c r="U90" s="19">
        <f>Influent9[[#This Row],[Alkalinity (mg CaCO3 L-1) ]]/Influent9[[#This Row],[TN (mg L-1)]]</f>
        <v>3.2335464460323431</v>
      </c>
      <c r="V90" s="19"/>
    </row>
    <row r="91" spans="1:22" x14ac:dyDescent="0.3">
      <c r="A91" s="128">
        <v>43414</v>
      </c>
      <c r="B91" s="29">
        <v>88</v>
      </c>
      <c r="D91" s="19"/>
      <c r="E91" s="29">
        <v>2015</v>
      </c>
      <c r="F91" s="29">
        <f>Influent9[[#This Row],[COD (mg L-1)]]*Information!$AK$40</f>
        <v>1813.5</v>
      </c>
      <c r="G91" s="22">
        <v>4215</v>
      </c>
      <c r="H91" s="29">
        <v>8.5</v>
      </c>
      <c r="K91" s="6">
        <v>16.41</v>
      </c>
      <c r="L91" s="19">
        <v>10.5</v>
      </c>
      <c r="M91" s="6">
        <f>Influent9[[#This Row],[NH4-N (mg L-1)]]*1.288</f>
        <v>1647.2232000000001</v>
      </c>
      <c r="N91" s="6">
        <f>(Influent9[[#This Row],[TON (mg L-1)]]-Influent9[[#This Row],[NO2- (mg L-1)]])*4.426</f>
        <v>-64.385322967999997</v>
      </c>
      <c r="O91" s="6">
        <f>Influent9[[#This Row],[NO2-N (mg L-1)]]*3.284</f>
        <v>25.047067999999999</v>
      </c>
      <c r="P91" s="6">
        <v>1278.9000000000001</v>
      </c>
      <c r="Q91" s="20">
        <v>7.6269999999999998</v>
      </c>
      <c r="R91" s="19">
        <f>IF(Influent9[[#This Row],[TON (mg L-1)]]-Influent9[[#This Row],[NO2-N (mg L-1)]]&lt;0,0.2,Influent9[[#This Row],[TON (mg L-1)]]-Influent9[[#This Row],[NO2-N (mg L-1)]])</f>
        <v>2.8730000000000002</v>
      </c>
      <c r="S91" s="6">
        <f>SUM(Influent9[[#This Row],[NO3-N (mg L-1)]],Influent9[[#This Row],[NO2-N (mg L-1)]],Influent9[[#This Row],[NH4-N (mg L-1)]])</f>
        <v>1289.4000000000001</v>
      </c>
      <c r="T91" s="19">
        <f>IFERROR(Influent9[[#This Row],[sCOD (mg L-1)]]/Influent9[[#This Row],[TN (mg L-1)]], 0)</f>
        <v>1.406468124709167</v>
      </c>
      <c r="U91" s="19">
        <f>Influent9[[#This Row],[Alkalinity (mg CaCO3 L-1) ]]/Influent9[[#This Row],[TN (mg L-1)]]</f>
        <v>3.2689623080502557</v>
      </c>
      <c r="V91" s="19"/>
    </row>
    <row r="92" spans="1:22" x14ac:dyDescent="0.3">
      <c r="A92" s="128">
        <v>43415</v>
      </c>
      <c r="B92" s="29">
        <v>89</v>
      </c>
      <c r="D92" s="19"/>
      <c r="E92" s="29">
        <v>2045</v>
      </c>
      <c r="F92" s="29">
        <f>Influent9[[#This Row],[COD (mg L-1)]]*Information!$AK$40</f>
        <v>1840.5</v>
      </c>
      <c r="G92" s="22">
        <v>4148</v>
      </c>
      <c r="H92" s="29">
        <v>8.5</v>
      </c>
      <c r="K92" s="6">
        <v>16.21</v>
      </c>
      <c r="L92" s="19">
        <v>27.1</v>
      </c>
      <c r="M92" s="6">
        <f>Influent9[[#This Row],[NH4-N (mg L-1)]]*1.288</f>
        <v>1607.6816000000001</v>
      </c>
      <c r="N92" s="6">
        <f>(Influent9[[#This Row],[TON (mg L-1)]]-Influent9[[#This Row],[NO2- (mg L-1)]])*4.426</f>
        <v>-160.11547171199999</v>
      </c>
      <c r="O92" s="6">
        <f>Influent9[[#This Row],[NO2-N (mg L-1)]]*3.284</f>
        <v>63.276111999999998</v>
      </c>
      <c r="P92" s="6">
        <v>1248.2</v>
      </c>
      <c r="Q92" s="20">
        <v>19.268000000000001</v>
      </c>
      <c r="R92" s="19">
        <f>IF(Influent9[[#This Row],[TON (mg L-1)]]-Influent9[[#This Row],[NO2-N (mg L-1)]]&lt;0,0.2,Influent9[[#This Row],[TON (mg L-1)]]-Influent9[[#This Row],[NO2-N (mg L-1)]])</f>
        <v>7.8320000000000007</v>
      </c>
      <c r="S92" s="6">
        <f>SUM(Influent9[[#This Row],[NO3-N (mg L-1)]],Influent9[[#This Row],[NO2-N (mg L-1)]],Influent9[[#This Row],[NH4-N (mg L-1)]])</f>
        <v>1275.3</v>
      </c>
      <c r="T92" s="19">
        <f>IFERROR(Influent9[[#This Row],[sCOD (mg L-1)]]/Influent9[[#This Row],[TN (mg L-1)]], 0)</f>
        <v>1.4431898376852506</v>
      </c>
      <c r="U92" s="19">
        <f>Influent9[[#This Row],[Alkalinity (mg CaCO3 L-1) ]]/Influent9[[#This Row],[TN (mg L-1)]]</f>
        <v>3.252568023210225</v>
      </c>
      <c r="V92" s="19"/>
    </row>
    <row r="93" spans="1:22" x14ac:dyDescent="0.3">
      <c r="A93" s="128">
        <v>43416</v>
      </c>
      <c r="B93" s="29">
        <v>90</v>
      </c>
      <c r="D93" s="19"/>
      <c r="E93" s="29">
        <v>2020</v>
      </c>
      <c r="F93" s="29">
        <f>Influent9[[#This Row],[COD (mg L-1)]]*Information!$AK$40</f>
        <v>1818</v>
      </c>
      <c r="G93" s="22">
        <v>4174</v>
      </c>
      <c r="H93" s="29">
        <v>8.5</v>
      </c>
      <c r="K93" s="6">
        <v>16.260000000000002</v>
      </c>
      <c r="L93" s="19">
        <v>29.8</v>
      </c>
      <c r="M93" s="6">
        <f>Influent9[[#This Row],[NH4-N (mg L-1)]]*1.288</f>
        <v>1512.8847999999998</v>
      </c>
      <c r="N93" s="6">
        <f>(Influent9[[#This Row],[TON (mg L-1)]]-Influent9[[#This Row],[NO2- (mg L-1)]])*4.426</f>
        <v>-168.514249312</v>
      </c>
      <c r="O93" s="6">
        <f>Influent9[[#This Row],[NO2-N (mg L-1)]]*3.284</f>
        <v>67.873711999999998</v>
      </c>
      <c r="P93" s="6">
        <v>1174.5999999999999</v>
      </c>
      <c r="Q93" s="20">
        <v>20.667999999999999</v>
      </c>
      <c r="R93" s="19">
        <f>IF(Influent9[[#This Row],[TON (mg L-1)]]-Influent9[[#This Row],[NO2-N (mg L-1)]]&lt;0,0.2,Influent9[[#This Row],[TON (mg L-1)]]-Influent9[[#This Row],[NO2-N (mg L-1)]])</f>
        <v>9.1320000000000014</v>
      </c>
      <c r="S93" s="6">
        <f>SUM(Influent9[[#This Row],[NO3-N (mg L-1)]],Influent9[[#This Row],[NO2-N (mg L-1)]],Influent9[[#This Row],[NH4-N (mg L-1)]])</f>
        <v>1204.3999999999999</v>
      </c>
      <c r="T93" s="19">
        <f>IFERROR(Influent9[[#This Row],[sCOD (mg L-1)]]/Influent9[[#This Row],[TN (mg L-1)]], 0)</f>
        <v>1.5094652939222852</v>
      </c>
      <c r="U93" s="19">
        <f>Influent9[[#This Row],[Alkalinity (mg CaCO3 L-1) ]]/Influent9[[#This Row],[TN (mg L-1)]]</f>
        <v>3.4656260378611763</v>
      </c>
      <c r="V93" s="19"/>
    </row>
  </sheetData>
  <mergeCells count="2">
    <mergeCell ref="C2:D2"/>
    <mergeCell ref="E2:S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A1:AQ100"/>
  <sheetViews>
    <sheetView zoomScale="70" zoomScaleNormal="70" workbookViewId="0">
      <pane xSplit="2" ySplit="3" topLeftCell="C40" activePane="bottomRight" state="frozen"/>
      <selection activeCell="F26" sqref="F26"/>
      <selection pane="topRight" activeCell="F26" sqref="F26"/>
      <selection pane="bottomLeft" activeCell="F26" sqref="F26"/>
      <selection pane="bottomRight" activeCell="F57" sqref="F57:AA57"/>
    </sheetView>
  </sheetViews>
  <sheetFormatPr defaultColWidth="8.88671875" defaultRowHeight="14.4" x14ac:dyDescent="0.3"/>
  <cols>
    <col min="1" max="1" width="14.6640625" style="29" customWidth="1"/>
    <col min="2" max="2" width="11.88671875" style="29" customWidth="1"/>
    <col min="3" max="3" width="8.44140625" style="29" customWidth="1"/>
    <col min="4" max="4" width="9.5546875" style="29" customWidth="1"/>
    <col min="5" max="5" width="9.109375" style="29" customWidth="1"/>
    <col min="6" max="6" width="10.6640625" style="29" customWidth="1"/>
    <col min="7" max="7" width="11.6640625" style="29" customWidth="1"/>
    <col min="8" max="8" width="10.109375" style="29" customWidth="1"/>
    <col min="9" max="11" width="9.109375" style="29" customWidth="1"/>
    <col min="12" max="13" width="8.109375" style="29" customWidth="1"/>
    <col min="14" max="14" width="14.88671875" style="29" customWidth="1"/>
    <col min="15" max="15" width="7.44140625" style="29" customWidth="1"/>
    <col min="16" max="16" width="9.44140625" style="29" customWidth="1"/>
    <col min="17" max="17" width="7.6640625" style="29" customWidth="1"/>
    <col min="18" max="18" width="9" style="29" customWidth="1"/>
    <col min="19" max="19" width="12.44140625" style="29" customWidth="1"/>
    <col min="20" max="20" width="8.5546875" style="29" hidden="1" customWidth="1"/>
    <col min="21" max="21" width="8.109375" style="29" hidden="1" customWidth="1"/>
    <col min="22" max="22" width="7.88671875" style="29" hidden="1" customWidth="1"/>
    <col min="23" max="23" width="9.33203125" style="29" customWidth="1"/>
    <col min="24" max="24" width="8.88671875" style="29"/>
    <col min="25" max="25" width="8.44140625" style="29" customWidth="1"/>
    <col min="26" max="26" width="10.33203125" style="29" customWidth="1"/>
    <col min="27" max="29" width="8.88671875" style="29"/>
    <col min="30" max="30" width="11.44140625" style="29" customWidth="1"/>
    <col min="31" max="31" width="8.88671875" style="29"/>
    <col min="32" max="32" width="0" style="29" hidden="1" customWidth="1"/>
    <col min="33" max="33" width="14.88671875" style="29" hidden="1" customWidth="1"/>
    <col min="34" max="34" width="11.109375" style="29" hidden="1" customWidth="1"/>
    <col min="35" max="35" width="15.5546875" style="29" customWidth="1"/>
    <col min="36" max="36" width="17.109375" style="29" customWidth="1"/>
    <col min="37" max="37" width="17.5546875" style="29" customWidth="1"/>
    <col min="38" max="38" width="13.33203125" style="29" customWidth="1"/>
    <col min="39" max="39" width="13.21875" style="29" customWidth="1"/>
    <col min="40" max="40" width="9.88671875" style="29" customWidth="1"/>
    <col min="41" max="41" width="10.44140625" style="29" customWidth="1"/>
    <col min="42" max="42" width="15.44140625" style="29" customWidth="1"/>
    <col min="43" max="43" width="60.5546875" style="29" customWidth="1"/>
    <col min="44" max="16384" width="8.88671875" style="29"/>
  </cols>
  <sheetData>
    <row r="1" spans="1:43" ht="20.399999999999999" thickBot="1" x14ac:dyDescent="0.45">
      <c r="A1" s="1" t="s">
        <v>315</v>
      </c>
      <c r="B1" s="1"/>
      <c r="F1" s="5"/>
      <c r="G1" s="5"/>
      <c r="H1" s="5"/>
      <c r="I1" s="5"/>
      <c r="J1" s="5"/>
      <c r="K1" s="5"/>
      <c r="L1" s="5"/>
      <c r="M1" s="5"/>
      <c r="O1" s="5"/>
      <c r="P1" s="5"/>
      <c r="Q1" s="46"/>
      <c r="T1" s="46"/>
      <c r="U1" s="46"/>
      <c r="V1" s="46"/>
      <c r="W1" s="144"/>
      <c r="X1" s="144"/>
      <c r="Y1" s="144"/>
    </row>
    <row r="2" spans="1:43" ht="15" thickTop="1" x14ac:dyDescent="0.3">
      <c r="C2" s="333" t="s">
        <v>24</v>
      </c>
      <c r="D2" s="333"/>
      <c r="E2" s="333"/>
      <c r="F2" s="336"/>
      <c r="G2" s="336"/>
      <c r="H2" s="336"/>
      <c r="I2" s="336"/>
      <c r="J2" s="206"/>
      <c r="K2" s="206"/>
      <c r="L2" s="296" t="s">
        <v>145</v>
      </c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</row>
    <row r="3" spans="1:43" ht="99.6" customHeight="1" x14ac:dyDescent="0.3">
      <c r="A3" s="2" t="s">
        <v>1</v>
      </c>
      <c r="B3" s="2" t="s">
        <v>2</v>
      </c>
      <c r="C3" s="24" t="s">
        <v>351</v>
      </c>
      <c r="D3" s="25" t="s">
        <v>354</v>
      </c>
      <c r="E3" s="25" t="s">
        <v>356</v>
      </c>
      <c r="F3" s="25" t="s">
        <v>158</v>
      </c>
      <c r="G3" s="25" t="s">
        <v>371</v>
      </c>
      <c r="H3" s="25" t="s">
        <v>372</v>
      </c>
      <c r="I3" s="25" t="s">
        <v>373</v>
      </c>
      <c r="J3" s="24" t="s">
        <v>357</v>
      </c>
      <c r="K3" s="24" t="s">
        <v>358</v>
      </c>
      <c r="L3" s="78" t="s">
        <v>359</v>
      </c>
      <c r="M3" s="78" t="s">
        <v>342</v>
      </c>
      <c r="N3" s="78" t="s">
        <v>374</v>
      </c>
      <c r="O3" s="78" t="s">
        <v>152</v>
      </c>
      <c r="P3" s="78" t="s">
        <v>375</v>
      </c>
      <c r="Q3" s="78" t="s">
        <v>376</v>
      </c>
      <c r="R3" s="78" t="s">
        <v>360</v>
      </c>
      <c r="S3" s="78" t="s">
        <v>361</v>
      </c>
      <c r="T3" s="78" t="s">
        <v>140</v>
      </c>
      <c r="U3" s="78" t="s">
        <v>128</v>
      </c>
      <c r="V3" s="78" t="s">
        <v>159</v>
      </c>
      <c r="W3" s="78" t="s">
        <v>362</v>
      </c>
      <c r="X3" s="78" t="s">
        <v>377</v>
      </c>
      <c r="Y3" s="78" t="s">
        <v>364</v>
      </c>
      <c r="Z3" s="78" t="s">
        <v>365</v>
      </c>
      <c r="AA3" s="2" t="s">
        <v>150</v>
      </c>
      <c r="AB3" s="2" t="s">
        <v>164</v>
      </c>
      <c r="AC3" s="2" t="s">
        <v>366</v>
      </c>
      <c r="AD3" s="2" t="s">
        <v>367</v>
      </c>
      <c r="AE3" s="2" t="s">
        <v>368</v>
      </c>
      <c r="AF3" s="47" t="s">
        <v>162</v>
      </c>
      <c r="AG3" s="2" t="s">
        <v>160</v>
      </c>
      <c r="AH3" s="2" t="s">
        <v>165</v>
      </c>
      <c r="AI3" s="2" t="s">
        <v>378</v>
      </c>
      <c r="AJ3" s="2" t="s">
        <v>344</v>
      </c>
      <c r="AK3" s="2" t="s">
        <v>345</v>
      </c>
      <c r="AL3" s="2" t="s">
        <v>346</v>
      </c>
      <c r="AM3" s="2" t="s">
        <v>347</v>
      </c>
      <c r="AN3" s="2" t="s">
        <v>369</v>
      </c>
      <c r="AO3" s="2" t="s">
        <v>370</v>
      </c>
      <c r="AP3" s="2" t="s">
        <v>379</v>
      </c>
      <c r="AQ3" s="78" t="s">
        <v>30</v>
      </c>
    </row>
    <row r="4" spans="1:43" x14ac:dyDescent="0.3">
      <c r="A4" s="128">
        <v>43327</v>
      </c>
      <c r="B4" s="29">
        <v>1</v>
      </c>
      <c r="C4" s="28">
        <f>Information!$R$54/GSBR8[[#This Row],[HRT 
(h)]]*24</f>
        <v>9.9287529238108879E-2</v>
      </c>
      <c r="D4" s="42">
        <v>48.344439999999999</v>
      </c>
      <c r="E4" s="42">
        <v>25.477589999999999</v>
      </c>
      <c r="F4" s="42">
        <v>7.9762310000000003</v>
      </c>
      <c r="G4" s="42">
        <v>0.39491530000000002</v>
      </c>
      <c r="H4" s="42">
        <v>3.0461019999999999</v>
      </c>
      <c r="I4" s="42">
        <v>-0.40814210000000001</v>
      </c>
      <c r="J4" s="27"/>
      <c r="K4" s="27"/>
      <c r="L4" s="29">
        <v>457</v>
      </c>
      <c r="M4" s="29">
        <f>GSBR8[[#This Row],[COD 
(mg L-1)]]*Information!$AK$43</f>
        <v>365.6</v>
      </c>
      <c r="N4" s="29">
        <v>630</v>
      </c>
      <c r="O4" s="29">
        <v>8.1999999999999993</v>
      </c>
      <c r="P4" s="29">
        <v>68</v>
      </c>
      <c r="Q4" s="29">
        <v>32</v>
      </c>
      <c r="R4" s="29">
        <v>0.1</v>
      </c>
      <c r="S4" s="6">
        <v>20.3</v>
      </c>
      <c r="T4" s="6">
        <f>GSBR8[[#This Row],[NH4-N 
(mg L-1)]]*1.288</f>
        <v>89.670560000000009</v>
      </c>
      <c r="U4" s="6">
        <f>GSBR8[[#This Row],[NO2-N 
(mg L-1)]]*3.284</f>
        <v>2.6272E-2</v>
      </c>
      <c r="V4" s="6">
        <f>(GSBR8[[#This Row],[NO3-N 
(mg L-1)]])*4.426</f>
        <v>89.812392000000017</v>
      </c>
      <c r="W4" s="6">
        <v>69.62</v>
      </c>
      <c r="X4" s="29">
        <v>8.0000000000000002E-3</v>
      </c>
      <c r="Y4" s="6">
        <f>IF((GSBR8[[#This Row],[TON 
(mg L-1)]]-GSBR8[[#This Row],[NO2-N 
(mg L-1)]])&lt;0,0.2,(GSBR8[[#This Row],[TON 
(mg L-1)]]-GSBR8[[#This Row],[NO2-N 
(mg L-1)]]))</f>
        <v>20.292000000000002</v>
      </c>
      <c r="Z4" s="29">
        <f>SUM(GSBR8[[#This Row],[NO3-N 
(mg L-1)]],GSBR8[[#This Row],[NO2-N 
(mg L-1)]],GSBR8[[#This Row],[NH4-N 
(mg L-1)]])</f>
        <v>89.92</v>
      </c>
      <c r="AA4" s="21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2.5639988880746003E-2</v>
      </c>
      <c r="AB4" s="6">
        <f>IF(IFERROR(GSBR8[[#This Row],[NO2-N 
(mg L-1)]]/GSBR8[[#This Row],[NH4-N 
(mg L-1)]],0)&lt;0,0,IFERROR(GSBR8[[#This Row],[NO2-N 
(mg L-1)]]/GSBR8[[#This Row],[NH4-N 
(mg L-1)]],0))</f>
        <v>1.1490950876185004E-4</v>
      </c>
      <c r="AC4" s="6">
        <f>GSBR8[[#This Row],[NO2-N 
(mg L-1)]]/(GSBR8[[#This Row],[NO2-N 
(mg L-1)]]+GSBR8[[#This Row],[NO3-N 
(mg L-1)]])</f>
        <v>3.9408866995073889E-4</v>
      </c>
      <c r="AD4" s="20">
        <f>46/14*GSBR8[[#This Row],[NO2-N 
(mg L-1)]]/(EXP(-2300/(GSBR8[[#This Row],[Temp. 
(°C)]]+273))*10^(GSBR8[[#This Row],[pHreactor]]))</f>
        <v>6.1668398397370141E-7</v>
      </c>
      <c r="AE4" s="19">
        <f>17/14*(GSBR8[[#This Row],[NH4+ (mg L-1)]]*10^GSBR8[[#This Row],[pHreactor]])/(EXP(6344/(273+GSBR8[[#This Row],[Temp. 
(°C)]]))+10^GSBR8[pHreactor])</f>
        <v>5.7405803708575984</v>
      </c>
      <c r="AF4" s="1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771.12</v>
      </c>
      <c r="AG4" s="19">
        <f>IFERROR(IF(Influent[[#This Row],[COD (mg L-1)]]-MEDIA[[#This Row],[COD 
(mg L-1)]]&lt;0,0,Influent[[#This Row],[COD (mg L-1)]]-MEDIA[[#This Row],[COD 
(mg L-1)]]),0)</f>
        <v>0</v>
      </c>
      <c r="AH4" s="29">
        <f>IF(IFERROR(Influent[[#This Row],[Alkalinity (mg CaCO3 L-1) ]]-GSBR8[[#This Row],[Alkalinity 
(mg CaCO3 L-1) ]],0)&lt;0,0,IFERROR(Influent[[#This Row],[Alkalinity (mg CaCO3 L-1) ]]-GSBR8[[#This Row],[Alkalinity 
(mg CaCO3 L-1) ]],0))</f>
        <v>2379</v>
      </c>
      <c r="AI4" s="20">
        <f>Influent[[#This Row],[COD (mg L-1)]]/GSBR8[[#This Row],[HRT 
(h)]]*24/1000</f>
        <v>0</v>
      </c>
      <c r="AJ4" s="6">
        <f>IFERROR(IF(((GSBR8[[#This Row],[ΔC (mg L-1)]])/GSBR8[[#This Row],[HRT 
(h)]]*24/1000) &lt;0,0, (GSBR8[[#This Row],[ΔC (mg L-1)]])/GSBR8[[#This Row],[HRT 
(h)]]*24/1000),0)</f>
        <v>0</v>
      </c>
      <c r="AK4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0.39289068194812055</v>
      </c>
      <c r="AL4" s="6">
        <f>Influent[[#This Row],[TN (mg L-1)]]/GSBR8[[#This Row],[HRT 
(h)]]*24/1000</f>
        <v>0.42843015660125555</v>
      </c>
      <c r="AM4" s="6">
        <f>GSBR8[[#This Row],[NLR 
(kg N m-3 d-1)]]*GSBR8[[#This Row],[NRE 
(%)]]</f>
        <v>0.38379048345580186</v>
      </c>
      <c r="AN4" s="21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0.91914429062529035</v>
      </c>
      <c r="AO4" s="21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0.89580641685080931</v>
      </c>
      <c r="AP4" s="6"/>
      <c r="AQ4" s="4" t="s">
        <v>524</v>
      </c>
    </row>
    <row r="5" spans="1:43" x14ac:dyDescent="0.3">
      <c r="A5" s="128">
        <v>43328</v>
      </c>
      <c r="B5" s="29">
        <v>2</v>
      </c>
      <c r="C5" s="28"/>
      <c r="D5" s="42"/>
      <c r="E5" s="42"/>
      <c r="F5" s="42"/>
      <c r="G5" s="42"/>
      <c r="H5" s="42"/>
      <c r="I5" s="42"/>
      <c r="J5" s="27"/>
      <c r="K5" s="27"/>
      <c r="S5" s="6"/>
      <c r="T5" s="4">
        <f>GSBR8[[#This Row],[NH4-N 
(mg L-1)]]*1.288</f>
        <v>0</v>
      </c>
      <c r="U5" s="20">
        <f>GSBR8[[#This Row],[NO2-N 
(mg L-1)]]*3.284</f>
        <v>0</v>
      </c>
      <c r="V5" s="6">
        <f>(GSBR8[[#This Row],[NO3-N 
(mg L-1)]])*4.426</f>
        <v>0</v>
      </c>
      <c r="W5" s="6"/>
      <c r="Y5" s="6"/>
      <c r="Z5" s="4"/>
      <c r="AA5" s="26"/>
      <c r="AB5" s="48"/>
      <c r="AC5" s="48"/>
      <c r="AD5" s="20"/>
      <c r="AE5" s="19"/>
      <c r="AF5" s="129"/>
      <c r="AG5" s="19"/>
      <c r="AH5" s="4"/>
      <c r="AI5" s="20"/>
      <c r="AJ5" s="6"/>
      <c r="AK5" s="6"/>
      <c r="AL5" s="6"/>
      <c r="AM5" s="6"/>
      <c r="AN5" s="26"/>
      <c r="AO5" s="26"/>
      <c r="AP5" s="6"/>
      <c r="AQ5" s="4"/>
    </row>
    <row r="6" spans="1:43" x14ac:dyDescent="0.3">
      <c r="A6" s="128">
        <v>43329</v>
      </c>
      <c r="B6" s="29">
        <v>3</v>
      </c>
      <c r="C6" s="28"/>
      <c r="D6" s="42"/>
      <c r="E6" s="42"/>
      <c r="F6" s="42"/>
      <c r="G6" s="42"/>
      <c r="H6" s="42"/>
      <c r="I6" s="42"/>
      <c r="J6" s="27"/>
      <c r="K6" s="27"/>
      <c r="S6" s="6"/>
      <c r="T6" s="4">
        <f>GSBR8[[#This Row],[NH4-N 
(mg L-1)]]*1.288</f>
        <v>0</v>
      </c>
      <c r="U6" s="20">
        <f>GSBR8[[#This Row],[NO2-N 
(mg L-1)]]*3.284</f>
        <v>0</v>
      </c>
      <c r="V6" s="6">
        <f>(GSBR8[[#This Row],[NO3-N 
(mg L-1)]])*4.426</f>
        <v>0</v>
      </c>
      <c r="W6" s="6"/>
      <c r="Y6" s="6"/>
      <c r="Z6" s="4"/>
      <c r="AA6" s="26"/>
      <c r="AB6" s="48"/>
      <c r="AC6" s="48"/>
      <c r="AD6" s="20"/>
      <c r="AE6" s="19"/>
      <c r="AF6" s="129"/>
      <c r="AG6" s="19"/>
      <c r="AH6" s="4"/>
      <c r="AI6" s="20"/>
      <c r="AJ6" s="6"/>
      <c r="AK6" s="6"/>
      <c r="AL6" s="6"/>
      <c r="AM6" s="6"/>
      <c r="AN6" s="26"/>
      <c r="AO6" s="26"/>
      <c r="AP6" s="6"/>
      <c r="AQ6" s="4"/>
    </row>
    <row r="7" spans="1:43" x14ac:dyDescent="0.3">
      <c r="A7" s="128">
        <v>43330</v>
      </c>
      <c r="B7" s="29">
        <v>4</v>
      </c>
      <c r="C7" s="28"/>
      <c r="D7" s="42"/>
      <c r="E7" s="42"/>
      <c r="F7" s="42"/>
      <c r="G7" s="42"/>
      <c r="H7" s="42"/>
      <c r="I7" s="42"/>
      <c r="J7" s="27"/>
      <c r="K7" s="27"/>
      <c r="S7" s="6"/>
      <c r="T7" s="4">
        <f>GSBR8[[#This Row],[NH4-N 
(mg L-1)]]*1.288</f>
        <v>0</v>
      </c>
      <c r="U7" s="20">
        <f>GSBR8[[#This Row],[NO2-N 
(mg L-1)]]*3.284</f>
        <v>0</v>
      </c>
      <c r="V7" s="6">
        <f>(GSBR8[[#This Row],[NO3-N 
(mg L-1)]])*4.426</f>
        <v>0</v>
      </c>
      <c r="W7" s="6"/>
      <c r="Y7" s="6"/>
      <c r="Z7" s="4"/>
      <c r="AA7" s="26"/>
      <c r="AB7" s="48"/>
      <c r="AC7" s="48"/>
      <c r="AD7" s="20"/>
      <c r="AE7" s="19"/>
      <c r="AF7" s="129"/>
      <c r="AG7" s="19"/>
      <c r="AH7" s="4"/>
      <c r="AI7" s="20"/>
      <c r="AJ7" s="6"/>
      <c r="AK7" s="6"/>
      <c r="AL7" s="6"/>
      <c r="AM7" s="6"/>
      <c r="AN7" s="26"/>
      <c r="AO7" s="26"/>
      <c r="AP7" s="6"/>
      <c r="AQ7" s="4"/>
    </row>
    <row r="8" spans="1:43" x14ac:dyDescent="0.3">
      <c r="A8" s="128">
        <v>43331</v>
      </c>
      <c r="B8" s="29">
        <v>5</v>
      </c>
      <c r="C8" s="28"/>
      <c r="D8" s="42"/>
      <c r="E8" s="42"/>
      <c r="F8" s="42"/>
      <c r="G8" s="42"/>
      <c r="H8" s="42"/>
      <c r="I8" s="42"/>
      <c r="J8" s="27"/>
      <c r="K8" s="27"/>
      <c r="S8" s="6"/>
      <c r="T8" s="4">
        <f>GSBR8[[#This Row],[NH4-N 
(mg L-1)]]*1.288</f>
        <v>0</v>
      </c>
      <c r="U8" s="20">
        <f>GSBR8[[#This Row],[NO2-N 
(mg L-1)]]*3.284</f>
        <v>0</v>
      </c>
      <c r="V8" s="6">
        <f>(GSBR8[[#This Row],[NO3-N 
(mg L-1)]])*4.426</f>
        <v>0</v>
      </c>
      <c r="W8" s="6"/>
      <c r="Y8" s="6"/>
      <c r="Z8" s="4"/>
      <c r="AA8" s="26"/>
      <c r="AB8" s="48"/>
      <c r="AC8" s="48"/>
      <c r="AD8" s="20"/>
      <c r="AE8" s="19"/>
      <c r="AF8" s="129"/>
      <c r="AG8" s="19"/>
      <c r="AH8" s="4"/>
      <c r="AI8" s="20"/>
      <c r="AJ8" s="6"/>
      <c r="AK8" s="6"/>
      <c r="AL8" s="6"/>
      <c r="AM8" s="6"/>
      <c r="AN8" s="26"/>
      <c r="AO8" s="26"/>
      <c r="AP8" s="6"/>
      <c r="AQ8" s="4"/>
    </row>
    <row r="9" spans="1:43" x14ac:dyDescent="0.3">
      <c r="A9" s="128">
        <v>43332</v>
      </c>
      <c r="B9" s="29">
        <v>6</v>
      </c>
      <c r="C9" s="28"/>
      <c r="D9" s="42"/>
      <c r="E9" s="42"/>
      <c r="F9" s="42"/>
      <c r="G9" s="42"/>
      <c r="H9" s="42"/>
      <c r="I9" s="42"/>
      <c r="J9" s="27"/>
      <c r="K9" s="27"/>
      <c r="S9" s="6"/>
      <c r="T9" s="4">
        <f>GSBR8[[#This Row],[NH4-N 
(mg L-1)]]*1.288</f>
        <v>0</v>
      </c>
      <c r="U9" s="20">
        <f>GSBR8[[#This Row],[NO2-N 
(mg L-1)]]*3.284</f>
        <v>0</v>
      </c>
      <c r="V9" s="6">
        <f>(GSBR8[[#This Row],[NO3-N 
(mg L-1)]])*4.426</f>
        <v>0</v>
      </c>
      <c r="W9" s="6"/>
      <c r="Y9" s="6"/>
      <c r="Z9" s="4"/>
      <c r="AA9" s="26"/>
      <c r="AB9" s="48"/>
      <c r="AC9" s="48"/>
      <c r="AD9" s="20"/>
      <c r="AE9" s="19"/>
      <c r="AF9" s="129"/>
      <c r="AG9" s="19"/>
      <c r="AH9" s="4"/>
      <c r="AI9" s="20"/>
      <c r="AJ9" s="6"/>
      <c r="AK9" s="6"/>
      <c r="AL9" s="6"/>
      <c r="AM9" s="6"/>
      <c r="AN9" s="26"/>
      <c r="AO9" s="26"/>
      <c r="AP9" s="6"/>
      <c r="AQ9" s="4" t="s">
        <v>531</v>
      </c>
    </row>
    <row r="10" spans="1:43" x14ac:dyDescent="0.3">
      <c r="A10" s="128">
        <v>43333</v>
      </c>
      <c r="B10" s="29">
        <v>7</v>
      </c>
      <c r="C10" s="28"/>
      <c r="D10" s="42"/>
      <c r="E10" s="42"/>
      <c r="F10" s="42"/>
      <c r="G10" s="42"/>
      <c r="H10" s="42"/>
      <c r="I10" s="42"/>
      <c r="J10" s="27"/>
      <c r="K10" s="27"/>
      <c r="S10" s="6"/>
      <c r="T10" s="4">
        <f>GSBR8[[#This Row],[NH4-N 
(mg L-1)]]*1.288</f>
        <v>0</v>
      </c>
      <c r="U10" s="20">
        <f>GSBR8[[#This Row],[NO2-N 
(mg L-1)]]*3.284</f>
        <v>0</v>
      </c>
      <c r="V10" s="6">
        <f>(GSBR8[[#This Row],[NO3-N 
(mg L-1)]])*4.426</f>
        <v>0</v>
      </c>
      <c r="W10" s="6"/>
      <c r="Y10" s="6"/>
      <c r="Z10" s="4"/>
      <c r="AA10" s="26"/>
      <c r="AB10" s="48"/>
      <c r="AC10" s="48"/>
      <c r="AD10" s="20"/>
      <c r="AE10" s="19"/>
      <c r="AF10" s="129"/>
      <c r="AG10" s="19"/>
      <c r="AH10" s="4"/>
      <c r="AI10" s="20"/>
      <c r="AJ10" s="6"/>
      <c r="AK10" s="6"/>
      <c r="AL10" s="6"/>
      <c r="AM10" s="6"/>
      <c r="AN10" s="26"/>
      <c r="AO10" s="26"/>
      <c r="AP10" s="6">
        <v>2.1000000000000001E-2</v>
      </c>
      <c r="AQ10" s="4"/>
    </row>
    <row r="11" spans="1:43" x14ac:dyDescent="0.3">
      <c r="A11" s="128">
        <v>43334</v>
      </c>
      <c r="B11" s="29">
        <v>8</v>
      </c>
      <c r="C11" s="28"/>
      <c r="D11" s="42"/>
      <c r="E11" s="42"/>
      <c r="F11" s="42"/>
      <c r="G11" s="42"/>
      <c r="H11" s="42"/>
      <c r="I11" s="42"/>
      <c r="J11" s="27"/>
      <c r="K11" s="161"/>
      <c r="S11" s="6"/>
      <c r="T11" s="4">
        <f>GSBR8[[#This Row],[NH4-N 
(mg L-1)]]*1.288</f>
        <v>0</v>
      </c>
      <c r="U11" s="20">
        <f>GSBR8[[#This Row],[NO2-N 
(mg L-1)]]*3.284</f>
        <v>0</v>
      </c>
      <c r="V11" s="6">
        <f>(GSBR8[[#This Row],[NO3-N 
(mg L-1)]])*4.426</f>
        <v>0</v>
      </c>
      <c r="W11" s="6"/>
      <c r="Y11" s="6"/>
      <c r="Z11" s="4"/>
      <c r="AA11" s="26"/>
      <c r="AB11" s="48"/>
      <c r="AC11" s="48"/>
      <c r="AD11" s="20"/>
      <c r="AE11" s="19"/>
      <c r="AF11" s="129"/>
      <c r="AG11" s="19"/>
      <c r="AH11" s="4"/>
      <c r="AI11" s="20"/>
      <c r="AJ11" s="6"/>
      <c r="AK11" s="6"/>
      <c r="AL11" s="6"/>
      <c r="AM11" s="6"/>
      <c r="AN11" s="26"/>
      <c r="AO11" s="26"/>
      <c r="AP11" s="6"/>
      <c r="AQ11" s="4"/>
    </row>
    <row r="12" spans="1:43" x14ac:dyDescent="0.3">
      <c r="A12" s="128">
        <v>43335</v>
      </c>
      <c r="B12" s="29">
        <v>9</v>
      </c>
      <c r="C12" s="28"/>
      <c r="D12" s="42"/>
      <c r="E12" s="42"/>
      <c r="F12" s="42"/>
      <c r="G12" s="42"/>
      <c r="H12" s="42"/>
      <c r="I12" s="42"/>
      <c r="J12" s="27"/>
      <c r="K12" s="27"/>
      <c r="S12" s="6"/>
      <c r="T12" s="4">
        <f>GSBR8[[#This Row],[NH4-N 
(mg L-1)]]*1.288</f>
        <v>0</v>
      </c>
      <c r="U12" s="20">
        <f>GSBR8[[#This Row],[NO2-N 
(mg L-1)]]*3.284</f>
        <v>0</v>
      </c>
      <c r="V12" s="6">
        <f>(GSBR8[[#This Row],[NO3-N 
(mg L-1)]])*4.426</f>
        <v>0</v>
      </c>
      <c r="W12" s="6"/>
      <c r="Y12" s="6"/>
      <c r="Z12" s="4"/>
      <c r="AA12" s="26"/>
      <c r="AB12" s="48"/>
      <c r="AC12" s="48"/>
      <c r="AD12" s="20"/>
      <c r="AE12" s="19"/>
      <c r="AF12" s="129"/>
      <c r="AG12" s="19"/>
      <c r="AH12" s="4"/>
      <c r="AI12" s="20"/>
      <c r="AJ12" s="6"/>
      <c r="AK12" s="6"/>
      <c r="AL12" s="6"/>
      <c r="AM12" s="6"/>
      <c r="AN12" s="26"/>
      <c r="AO12" s="26"/>
      <c r="AP12" s="6"/>
      <c r="AQ12" s="4"/>
    </row>
    <row r="13" spans="1:43" x14ac:dyDescent="0.3">
      <c r="A13" s="128">
        <v>43336</v>
      </c>
      <c r="B13" s="29">
        <v>10</v>
      </c>
      <c r="C13" s="28"/>
      <c r="D13" s="42"/>
      <c r="E13" s="42"/>
      <c r="F13" s="42"/>
      <c r="G13" s="42"/>
      <c r="H13" s="42"/>
      <c r="I13" s="42"/>
      <c r="J13" s="27"/>
      <c r="K13" s="27"/>
      <c r="S13" s="6"/>
      <c r="T13" s="4">
        <f>GSBR8[[#This Row],[NH4-N 
(mg L-1)]]*1.288</f>
        <v>0</v>
      </c>
      <c r="U13" s="20">
        <f>GSBR8[[#This Row],[NO2-N 
(mg L-1)]]*3.284</f>
        <v>0</v>
      </c>
      <c r="V13" s="6">
        <f>(GSBR8[[#This Row],[NO3-N 
(mg L-1)]])*4.426</f>
        <v>0</v>
      </c>
      <c r="W13" s="6"/>
      <c r="Y13" s="6"/>
      <c r="Z13" s="4"/>
      <c r="AA13" s="26"/>
      <c r="AB13" s="48"/>
      <c r="AC13" s="48"/>
      <c r="AD13" s="20"/>
      <c r="AE13" s="19"/>
      <c r="AF13" s="129"/>
      <c r="AG13" s="19"/>
      <c r="AH13" s="4"/>
      <c r="AI13" s="20"/>
      <c r="AJ13" s="6"/>
      <c r="AK13" s="6"/>
      <c r="AL13" s="6"/>
      <c r="AM13" s="6"/>
      <c r="AN13" s="26"/>
      <c r="AO13" s="26"/>
      <c r="AP13" s="6"/>
      <c r="AQ13" s="4"/>
    </row>
    <row r="14" spans="1:43" x14ac:dyDescent="0.3">
      <c r="A14" s="128">
        <v>43337</v>
      </c>
      <c r="B14" s="29">
        <v>11</v>
      </c>
      <c r="C14" s="28"/>
      <c r="D14" s="42"/>
      <c r="E14" s="42"/>
      <c r="F14" s="42"/>
      <c r="G14" s="42"/>
      <c r="H14" s="42"/>
      <c r="I14" s="42"/>
      <c r="J14" s="27"/>
      <c r="K14" s="27"/>
      <c r="S14" s="6"/>
      <c r="T14" s="4">
        <f>GSBR8[[#This Row],[NH4-N 
(mg L-1)]]*1.288</f>
        <v>0</v>
      </c>
      <c r="U14" s="20">
        <f>GSBR8[[#This Row],[NO2-N 
(mg L-1)]]*3.284</f>
        <v>0</v>
      </c>
      <c r="V14" s="6">
        <f>(GSBR8[[#This Row],[NO3-N 
(mg L-1)]])*4.426</f>
        <v>0</v>
      </c>
      <c r="W14" s="6"/>
      <c r="Y14" s="6"/>
      <c r="Z14" s="4"/>
      <c r="AA14" s="26"/>
      <c r="AB14" s="48"/>
      <c r="AC14" s="48"/>
      <c r="AD14" s="20"/>
      <c r="AE14" s="19"/>
      <c r="AF14" s="129"/>
      <c r="AG14" s="19"/>
      <c r="AH14" s="4"/>
      <c r="AI14" s="20"/>
      <c r="AJ14" s="6"/>
      <c r="AK14" s="6"/>
      <c r="AL14" s="6"/>
      <c r="AM14" s="6"/>
      <c r="AN14" s="26"/>
      <c r="AO14" s="26"/>
      <c r="AP14" s="6"/>
      <c r="AQ14" s="4"/>
    </row>
    <row r="15" spans="1:43" x14ac:dyDescent="0.3">
      <c r="A15" s="128">
        <v>43338</v>
      </c>
      <c r="B15" s="29">
        <v>12</v>
      </c>
      <c r="C15" s="28"/>
      <c r="D15" s="42"/>
      <c r="E15" s="42"/>
      <c r="F15" s="42"/>
      <c r="G15" s="42"/>
      <c r="H15" s="42"/>
      <c r="I15" s="42"/>
      <c r="J15" s="27"/>
      <c r="K15" s="27"/>
      <c r="S15" s="6"/>
      <c r="T15" s="4">
        <f>GSBR8[[#This Row],[NH4-N 
(mg L-1)]]*1.288</f>
        <v>0</v>
      </c>
      <c r="U15" s="20">
        <f>GSBR8[[#This Row],[NO2-N 
(mg L-1)]]*3.284</f>
        <v>0</v>
      </c>
      <c r="V15" s="6">
        <f>(GSBR8[[#This Row],[NO3-N 
(mg L-1)]])*4.426</f>
        <v>0</v>
      </c>
      <c r="W15" s="6"/>
      <c r="Y15" s="6"/>
      <c r="Z15" s="4"/>
      <c r="AA15" s="26"/>
      <c r="AB15" s="48"/>
      <c r="AC15" s="48"/>
      <c r="AD15" s="20"/>
      <c r="AE15" s="19"/>
      <c r="AF15" s="129"/>
      <c r="AG15" s="19"/>
      <c r="AH15" s="4"/>
      <c r="AI15" s="20"/>
      <c r="AJ15" s="6"/>
      <c r="AK15" s="6"/>
      <c r="AL15" s="6"/>
      <c r="AM15" s="6"/>
      <c r="AN15" s="26"/>
      <c r="AO15" s="26"/>
      <c r="AP15" s="6"/>
      <c r="AQ15" s="4"/>
    </row>
    <row r="16" spans="1:43" x14ac:dyDescent="0.3">
      <c r="A16" s="128">
        <v>43339</v>
      </c>
      <c r="B16" s="29">
        <v>13</v>
      </c>
      <c r="C16" s="28"/>
      <c r="D16" s="42"/>
      <c r="E16" s="42"/>
      <c r="F16" s="42"/>
      <c r="G16" s="42"/>
      <c r="H16" s="42"/>
      <c r="I16" s="42"/>
      <c r="J16" s="27"/>
      <c r="K16" s="27"/>
      <c r="S16" s="6"/>
      <c r="T16" s="4">
        <f>GSBR8[[#This Row],[NH4-N 
(mg L-1)]]*1.288</f>
        <v>0</v>
      </c>
      <c r="U16" s="20">
        <f>GSBR8[[#This Row],[NO2-N 
(mg L-1)]]*3.284</f>
        <v>0</v>
      </c>
      <c r="V16" s="6">
        <f>(GSBR8[[#This Row],[NO3-N 
(mg L-1)]])*4.426</f>
        <v>0</v>
      </c>
      <c r="W16" s="6"/>
      <c r="Y16" s="6"/>
      <c r="Z16" s="4"/>
      <c r="AA16" s="26"/>
      <c r="AB16" s="48"/>
      <c r="AC16" s="48"/>
      <c r="AD16" s="20"/>
      <c r="AE16" s="19"/>
      <c r="AF16" s="129"/>
      <c r="AG16" s="19"/>
      <c r="AH16" s="4"/>
      <c r="AI16" s="20"/>
      <c r="AJ16" s="6"/>
      <c r="AK16" s="6"/>
      <c r="AL16" s="6"/>
      <c r="AM16" s="6"/>
      <c r="AN16" s="26"/>
      <c r="AO16" s="26"/>
      <c r="AP16" s="6"/>
      <c r="AQ16" s="4"/>
    </row>
    <row r="17" spans="1:43" x14ac:dyDescent="0.3">
      <c r="A17" s="128">
        <v>43340</v>
      </c>
      <c r="B17" s="29">
        <v>14</v>
      </c>
      <c r="C17" s="28"/>
      <c r="D17" s="42"/>
      <c r="E17" s="42"/>
      <c r="F17" s="42"/>
      <c r="G17" s="42"/>
      <c r="H17" s="42"/>
      <c r="I17" s="42"/>
      <c r="J17" s="27"/>
      <c r="K17" s="27"/>
      <c r="T17" s="4"/>
      <c r="U17" s="20"/>
      <c r="V17" s="6"/>
      <c r="W17" s="6"/>
      <c r="Y17" s="6"/>
      <c r="Z17" s="4"/>
      <c r="AA17" s="23"/>
      <c r="AB17" s="48"/>
      <c r="AC17" s="48"/>
      <c r="AD17" s="20"/>
      <c r="AE17" s="19"/>
      <c r="AF17" s="129"/>
      <c r="AG17" s="19"/>
      <c r="AH17" s="4"/>
      <c r="AI17" s="20"/>
      <c r="AJ17" s="6"/>
      <c r="AK17" s="6"/>
      <c r="AL17" s="6"/>
      <c r="AM17" s="6"/>
      <c r="AN17" s="26"/>
      <c r="AO17" s="26"/>
      <c r="AP17" s="6"/>
      <c r="AQ17" s="4"/>
    </row>
    <row r="18" spans="1:43" x14ac:dyDescent="0.3">
      <c r="A18" s="128">
        <v>43341</v>
      </c>
      <c r="B18" s="29">
        <v>15</v>
      </c>
      <c r="C18" s="28">
        <f>Information!$R$54/GSBR8[[#This Row],[HRT 
(h)]]*24</f>
        <v>9.9287529238108879E-2</v>
      </c>
      <c r="D18" s="42">
        <v>48.344439999999999</v>
      </c>
      <c r="E18" s="42">
        <v>17.549936249999998</v>
      </c>
      <c r="F18" s="42">
        <v>7.6424874999999997</v>
      </c>
      <c r="G18" s="42">
        <v>0.16673729125</v>
      </c>
      <c r="H18" s="42">
        <v>2.4037076874999999</v>
      </c>
      <c r="I18" s="42">
        <v>154.42815625</v>
      </c>
      <c r="J18" s="27"/>
      <c r="K18" s="27"/>
      <c r="L18" s="29">
        <v>1430</v>
      </c>
      <c r="M18" s="29">
        <f>GSBR8[[#This Row],[COD 
(mg L-1)]]*Information!$AK$43</f>
        <v>1144</v>
      </c>
      <c r="N18" s="29">
        <v>322</v>
      </c>
      <c r="O18" s="29">
        <v>7.8</v>
      </c>
      <c r="P18" s="29">
        <v>190</v>
      </c>
      <c r="R18" s="29">
        <v>1.42</v>
      </c>
      <c r="S18" s="29">
        <v>174.5</v>
      </c>
      <c r="T18" s="4">
        <f>GSBR8[[#This Row],[NH4-N 
(mg L-1)]]*1.288</f>
        <v>173.84136000000001</v>
      </c>
      <c r="U18" s="20">
        <f>GSBR8[[#This Row],[NO2-N 
(mg L-1)]]*3.284</f>
        <v>546.16203999999993</v>
      </c>
      <c r="V18" s="6">
        <f>(GSBR8[[#This Row],[NO3-N 
(mg L-1)]])*4.426</f>
        <v>36.24893999999999</v>
      </c>
      <c r="W18" s="6">
        <v>134.97</v>
      </c>
      <c r="X18" s="29">
        <v>166.31</v>
      </c>
      <c r="Y18" s="6">
        <f>IF((GSBR8[[#This Row],[TON 
(mg L-1)]]-GSBR8[[#This Row],[NO2-N 
(mg L-1)]])&lt;0,0.2,(GSBR8[[#This Row],[TON 
(mg L-1)]]-GSBR8[[#This Row],[NO2-N 
(mg L-1)]]))</f>
        <v>8.1899999999999977</v>
      </c>
      <c r="Z18" s="4">
        <f>SUM(GSBR8[[#This Row],[NO3-N 
(mg L-1)]],GSBR8[[#This Row],[NO2-N 
(mg L-1)]],GSBR8[[#This Row],[NH4-N 
(mg L-1)]])</f>
        <v>309.47000000000003</v>
      </c>
      <c r="AA18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7.4337632632314613E-3</v>
      </c>
      <c r="AB18" s="48">
        <f>IF(IFERROR(GSBR8[[#This Row],[NO2-N 
(mg L-1)]]/GSBR8[[#This Row],[NH4-N 
(mg L-1)]],0)&lt;0,0,IFERROR(GSBR8[[#This Row],[NO2-N 
(mg L-1)]]/GSBR8[[#This Row],[NH4-N 
(mg L-1)]],0))</f>
        <v>1.2321997480921687</v>
      </c>
      <c r="AC18" s="48">
        <f>GSBR8[[#This Row],[NO2-N 
(mg L-1)]]/(GSBR8[[#This Row],[NO2-N 
(mg L-1)]]+GSBR8[[#This Row],[NO3-N 
(mg L-1)]])</f>
        <v>0.95306590257879653</v>
      </c>
      <c r="AD18" s="20">
        <f>46/14*GSBR8[[#This Row],[NO2-N 
(mg L-1)]]/(EXP(-2300/(GSBR8[[#This Row],[Temp. 
(°C)]]+273))*10^(GSBR8[[#This Row],[pHreactor]]))</f>
        <v>3.4115033333224076E-2</v>
      </c>
      <c r="AE18" s="19">
        <f>17/14*(GSBR8[[#This Row],[NH4+ (mg L-1)]]*10^GSBR8[[#This Row],[pHreactor]])/(EXP(6344/(273+GSBR8[[#This Row],[Temp. 
(°C)]]))+10^GSBR8[pHreactor])</f>
        <v>3.0070890295241743</v>
      </c>
      <c r="AF18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927.23</v>
      </c>
      <c r="AG18" s="19">
        <f>IFERROR(IF(Influent[[#This Row],[COD (mg L-1)]]-MEDIA[[#This Row],[COD 
(mg L-1)]]&lt;0,0,Influent[[#This Row],[COD (mg L-1)]]-MEDIA[[#This Row],[COD 
(mg L-1)]]),0)</f>
        <v>0</v>
      </c>
      <c r="AH18" s="4">
        <f>IF(IFERROR(Influent[[#This Row],[Alkalinity (mg CaCO3 L-1) ]]-GSBR8[[#This Row],[Alkalinity 
(mg CaCO3 L-1) ]],0)&lt;0,0,IFERROR(Influent[[#This Row],[Alkalinity (mg CaCO3 L-1) ]]-GSBR8[[#This Row],[Alkalinity 
(mg CaCO3 L-1) ]],0))</f>
        <v>4322</v>
      </c>
      <c r="AI18" s="20">
        <f>Influent[[#This Row],[COD (mg L-1)]]/GSBR8[[#This Row],[HRT 
(h)]]*24/1000</f>
        <v>0</v>
      </c>
      <c r="AJ18" s="6">
        <f>IFERROR(IF(((GSBR8[[#This Row],[ΔC (mg L-1)]])/GSBR8[[#This Row],[HRT 
(h)]]*24/1000) &lt;0,0, (GSBR8[[#This Row],[ΔC (mg L-1)]])/GSBR8[[#This Row],[HRT 
(h)]]*24/1000),0)</f>
        <v>0</v>
      </c>
      <c r="AK18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0.54694024793750851</v>
      </c>
      <c r="AL18" s="6">
        <f>Influent[[#This Row],[TN (mg L-1)]]/GSBR8[[#This Row],[HRT 
(h)]]*24/1000</f>
        <v>0.61404372457308443</v>
      </c>
      <c r="AM18" s="6">
        <f>GSBR8[[#This Row],[NLR 
(kg N m-3 d-1)]]*GSBR8[[#This Row],[NRE 
(%)]]</f>
        <v>0.46041116620649664</v>
      </c>
      <c r="AN18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0.89086277997897634</v>
      </c>
      <c r="AO18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0.74980192416525182</v>
      </c>
      <c r="AP18" s="6"/>
      <c r="AQ18" s="4"/>
    </row>
    <row r="19" spans="1:43" x14ac:dyDescent="0.3">
      <c r="A19" s="128">
        <v>43342</v>
      </c>
      <c r="B19" s="29">
        <v>16</v>
      </c>
      <c r="C19" s="28">
        <f>Information!$R$54/GSBR8[[#This Row],[HRT 
(h)]]*24</f>
        <v>4.0336134453781515E-2</v>
      </c>
      <c r="D19" s="42">
        <v>119</v>
      </c>
      <c r="E19" s="42">
        <v>18.962759375000001</v>
      </c>
      <c r="F19" s="42">
        <v>7.8322795625000001</v>
      </c>
      <c r="G19" s="42">
        <v>0.3784957625</v>
      </c>
      <c r="H19" s="42">
        <v>3.7269916875</v>
      </c>
      <c r="I19" s="42">
        <v>-108.30461875</v>
      </c>
      <c r="J19" s="27"/>
      <c r="K19" s="27"/>
      <c r="L19" s="29">
        <v>1470</v>
      </c>
      <c r="M19" s="29">
        <f>GSBR8[[#This Row],[COD 
(mg L-1)]]*Information!$AK$43</f>
        <v>1176</v>
      </c>
      <c r="N19" s="29">
        <v>544</v>
      </c>
      <c r="O19" s="29">
        <v>8.1</v>
      </c>
      <c r="P19" s="29">
        <v>128</v>
      </c>
      <c r="R19" s="29">
        <v>1.52</v>
      </c>
      <c r="S19" s="29">
        <v>153.5</v>
      </c>
      <c r="T19" s="4">
        <f>GSBR8[[#This Row],[NH4-N 
(mg L-1)]]*1.288</f>
        <v>260.58816000000002</v>
      </c>
      <c r="U19" s="20">
        <f>GSBR8[[#This Row],[NO2-N 
(mg L-1)]]*3.284</f>
        <v>511.38447999999994</v>
      </c>
      <c r="V19" s="6">
        <f>(GSBR8[[#This Row],[NO3-N 
(mg L-1)]])*4.426</f>
        <v>0.8852000000000001</v>
      </c>
      <c r="W19" s="6">
        <v>202.32</v>
      </c>
      <c r="X19" s="29">
        <v>155.72</v>
      </c>
      <c r="Y19" s="6">
        <f>IF((GSBR8[[#This Row],[TON 
(mg L-1)]]-GSBR8[[#This Row],[NO2-N 
(mg L-1)]])&lt;0,0.2,(GSBR8[[#This Row],[TON 
(mg L-1)]]-GSBR8[[#This Row],[NO2-N 
(mg L-1)]]))</f>
        <v>0.2</v>
      </c>
      <c r="Z19" s="4">
        <f>SUM(GSBR8[[#This Row],[NO3-N 
(mg L-1)]],GSBR8[[#This Row],[NO2-N 
(mg L-1)]],GSBR8[[#This Row],[NH4-N 
(mg L-1)]])</f>
        <v>358.24</v>
      </c>
      <c r="AA19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1.7679089173325792E-4</v>
      </c>
      <c r="AB19" s="48">
        <f>IF(IFERROR(GSBR8[[#This Row],[NO2-N 
(mg L-1)]]/GSBR8[[#This Row],[NH4-N 
(mg L-1)]],0)&lt;0,0,IFERROR(GSBR8[[#This Row],[NO2-N 
(mg L-1)]]/GSBR8[[#This Row],[NH4-N 
(mg L-1)]],0))</f>
        <v>0.76967180703835514</v>
      </c>
      <c r="AC19" s="48">
        <f>GSBR8[[#This Row],[NO2-N 
(mg L-1)]]/(GSBR8[[#This Row],[NO2-N 
(mg L-1)]]+GSBR8[[#This Row],[NO3-N 
(mg L-1)]])</f>
        <v>0.99871729091841976</v>
      </c>
      <c r="AD19" s="20">
        <f>46/14*GSBR8[[#This Row],[NO2-N 
(mg L-1)]]/(EXP(-2300/(GSBR8[[#This Row],[Temp. 
(°C)]]+273))*10^(GSBR8[[#This Row],[pHreactor]]))</f>
        <v>1.9858372927736172E-2</v>
      </c>
      <c r="AE19" s="19">
        <f>17/14*(GSBR8[[#This Row],[NH4+ (mg L-1)]]*10^GSBR8[[#This Row],[pHreactor]])/(EXP(6344/(273+GSBR8[[#This Row],[Temp. 
(°C)]]))+10^GSBR8[pHreactor])</f>
        <v>7.6769954355391317</v>
      </c>
      <c r="AF19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975.3599999999999</v>
      </c>
      <c r="AG19" s="19">
        <f>IFERROR(IF(Influent[[#This Row],[COD (mg L-1)]]-MEDIA[[#This Row],[COD 
(mg L-1)]]&lt;0,0,Influent[[#This Row],[COD (mg L-1)]]-MEDIA[[#This Row],[COD 
(mg L-1)]]),0)</f>
        <v>2488</v>
      </c>
      <c r="AH19" s="4">
        <f>IF(IFERROR(Influent[[#This Row],[Alkalinity (mg CaCO3 L-1) ]]-GSBR8[[#This Row],[Alkalinity 
(mg CaCO3 L-1) ]],0)&lt;0,0,IFERROR(Influent[[#This Row],[Alkalinity (mg CaCO3 L-1) ]]-GSBR8[[#This Row],[Alkalinity 
(mg CaCO3 L-1) ]],0))</f>
        <v>4468</v>
      </c>
      <c r="AI19" s="20">
        <f>Influent[[#This Row],[COD (mg L-1)]]/GSBR8[[#This Row],[HRT 
(h)]]*24/1000</f>
        <v>0.67563025210084038</v>
      </c>
      <c r="AJ19" s="6">
        <f>IFERROR(IF(((GSBR8[[#This Row],[ΔC (mg L-1)]])/GSBR8[[#This Row],[HRT 
(h)]]*24/1000) &lt;0,0, (GSBR8[[#This Row],[ΔC (mg L-1)]])/GSBR8[[#This Row],[HRT 
(h)]]*24/1000),0)</f>
        <v>0.501781512605042</v>
      </c>
      <c r="AK19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0.22815731092436975</v>
      </c>
      <c r="AL19" s="6">
        <f>Influent[[#This Row],[TN (mg L-1)]]/GSBR8[[#This Row],[HRT 
(h)]]*24/1000</f>
        <v>0.26900168067226887</v>
      </c>
      <c r="AM19" s="6">
        <f>GSBR8[[#This Row],[NLR 
(kg N m-3 d-1)]]*GSBR8[[#This Row],[NRE 
(%)]]</f>
        <v>0.19675159663865543</v>
      </c>
      <c r="AN19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0.84829034193161368</v>
      </c>
      <c r="AO19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0.73141400509821564</v>
      </c>
      <c r="AP19" s="6"/>
      <c r="AQ19" s="4"/>
    </row>
    <row r="20" spans="1:43" x14ac:dyDescent="0.3">
      <c r="A20" s="128">
        <v>43343</v>
      </c>
      <c r="B20" s="29">
        <v>17</v>
      </c>
      <c r="C20" s="28"/>
      <c r="D20" s="42"/>
      <c r="E20" s="42"/>
      <c r="F20" s="42"/>
      <c r="G20" s="42"/>
      <c r="H20" s="42"/>
      <c r="I20" s="42"/>
      <c r="J20" s="27"/>
      <c r="K20" s="27"/>
      <c r="S20" s="6"/>
      <c r="T20" s="4">
        <f>GSBR8[[#This Row],[NH4-N 
(mg L-1)]]*1.288</f>
        <v>0</v>
      </c>
      <c r="U20" s="20">
        <f>GSBR8[[#This Row],[NO2-N 
(mg L-1)]]*3.284</f>
        <v>0</v>
      </c>
      <c r="V20" s="6">
        <f>(GSBR8[[#This Row],[NO3-N 
(mg L-1)]])*4.426</f>
        <v>0</v>
      </c>
      <c r="W20" s="6"/>
      <c r="Y20" s="6"/>
      <c r="Z20" s="4"/>
      <c r="AA20" s="26"/>
      <c r="AB20" s="48"/>
      <c r="AC20" s="48"/>
      <c r="AD20" s="20"/>
      <c r="AE20" s="19"/>
      <c r="AF20" s="129"/>
      <c r="AG20" s="19"/>
      <c r="AH20" s="4"/>
      <c r="AI20" s="20"/>
      <c r="AJ20" s="6"/>
      <c r="AK20" s="6"/>
      <c r="AL20" s="6"/>
      <c r="AM20" s="6"/>
      <c r="AN20" s="26"/>
      <c r="AO20" s="26"/>
      <c r="AP20" s="6"/>
      <c r="AQ20" s="4" t="s">
        <v>535</v>
      </c>
    </row>
    <row r="21" spans="1:43" x14ac:dyDescent="0.3">
      <c r="A21" s="128">
        <v>43344</v>
      </c>
      <c r="B21" s="29">
        <v>18</v>
      </c>
      <c r="C21" s="28"/>
      <c r="D21" s="42"/>
      <c r="E21" s="42"/>
      <c r="F21" s="42"/>
      <c r="G21" s="42"/>
      <c r="H21" s="42"/>
      <c r="I21" s="42"/>
      <c r="J21" s="27"/>
      <c r="K21" s="27"/>
      <c r="S21" s="6"/>
      <c r="T21" s="4">
        <f>GSBR8[[#This Row],[NH4-N 
(mg L-1)]]*1.288</f>
        <v>0</v>
      </c>
      <c r="U21" s="20">
        <f>GSBR8[[#This Row],[NO2-N 
(mg L-1)]]*3.284</f>
        <v>0</v>
      </c>
      <c r="V21" s="6">
        <f>(GSBR8[[#This Row],[NO3-N 
(mg L-1)]])*4.426</f>
        <v>0</v>
      </c>
      <c r="W21" s="6"/>
      <c r="Y21" s="6"/>
      <c r="Z21" s="4"/>
      <c r="AA21" s="26"/>
      <c r="AB21" s="48"/>
      <c r="AC21" s="48"/>
      <c r="AD21" s="20"/>
      <c r="AE21" s="19"/>
      <c r="AF21" s="129"/>
      <c r="AG21" s="19"/>
      <c r="AH21" s="4"/>
      <c r="AI21" s="20"/>
      <c r="AJ21" s="6"/>
      <c r="AK21" s="6"/>
      <c r="AL21" s="6"/>
      <c r="AM21" s="6"/>
      <c r="AN21" s="26"/>
      <c r="AO21" s="26"/>
      <c r="AP21" s="6"/>
      <c r="AQ21" s="4" t="s">
        <v>535</v>
      </c>
    </row>
    <row r="22" spans="1:43" x14ac:dyDescent="0.3">
      <c r="A22" s="128">
        <v>43345</v>
      </c>
      <c r="B22" s="29">
        <v>19</v>
      </c>
      <c r="C22" s="28"/>
      <c r="D22" s="42"/>
      <c r="E22" s="42"/>
      <c r="F22" s="42"/>
      <c r="G22" s="42"/>
      <c r="H22" s="42"/>
      <c r="I22" s="42"/>
      <c r="J22" s="27"/>
      <c r="K22" s="27"/>
      <c r="S22" s="6"/>
      <c r="T22" s="4">
        <f>GSBR8[[#This Row],[NH4-N 
(mg L-1)]]*1.288</f>
        <v>0</v>
      </c>
      <c r="U22" s="20">
        <f>GSBR8[[#This Row],[NO2-N 
(mg L-1)]]*3.284</f>
        <v>0</v>
      </c>
      <c r="V22" s="6">
        <f>(GSBR8[[#This Row],[NO3-N 
(mg L-1)]])*4.426</f>
        <v>0</v>
      </c>
      <c r="W22" s="6"/>
      <c r="Y22" s="6"/>
      <c r="Z22" s="4"/>
      <c r="AA22" s="26"/>
      <c r="AB22" s="48"/>
      <c r="AC22" s="48"/>
      <c r="AD22" s="20"/>
      <c r="AE22" s="19"/>
      <c r="AF22" s="129"/>
      <c r="AG22" s="19"/>
      <c r="AH22" s="4"/>
      <c r="AI22" s="20"/>
      <c r="AJ22" s="6"/>
      <c r="AK22" s="6"/>
      <c r="AL22" s="6"/>
      <c r="AM22" s="6"/>
      <c r="AN22" s="26"/>
      <c r="AO22" s="26"/>
      <c r="AP22" s="6"/>
      <c r="AQ22" s="4" t="s">
        <v>535</v>
      </c>
    </row>
    <row r="23" spans="1:43" x14ac:dyDescent="0.3">
      <c r="A23" s="128">
        <v>43346</v>
      </c>
      <c r="B23" s="29">
        <v>20</v>
      </c>
      <c r="C23" s="28"/>
      <c r="D23" s="42"/>
      <c r="E23" s="42"/>
      <c r="F23" s="42"/>
      <c r="G23" s="42"/>
      <c r="H23" s="42"/>
      <c r="I23" s="42"/>
      <c r="J23" s="27"/>
      <c r="K23" s="27"/>
      <c r="S23" s="6"/>
      <c r="T23" s="4">
        <f>GSBR8[[#This Row],[NH4-N 
(mg L-1)]]*1.288</f>
        <v>0</v>
      </c>
      <c r="U23" s="20">
        <f>GSBR8[[#This Row],[NO2-N 
(mg L-1)]]*3.284</f>
        <v>0</v>
      </c>
      <c r="V23" s="6">
        <f>(GSBR8[[#This Row],[NO3-N 
(mg L-1)]])*4.426</f>
        <v>0</v>
      </c>
      <c r="W23" s="6"/>
      <c r="Y23" s="6"/>
      <c r="Z23" s="4"/>
      <c r="AA23" s="26"/>
      <c r="AB23" s="48"/>
      <c r="AC23" s="48"/>
      <c r="AD23" s="20"/>
      <c r="AE23" s="19"/>
      <c r="AF23" s="129"/>
      <c r="AG23" s="19"/>
      <c r="AH23" s="4"/>
      <c r="AI23" s="20"/>
      <c r="AJ23" s="6"/>
      <c r="AK23" s="6"/>
      <c r="AL23" s="6"/>
      <c r="AM23" s="6"/>
      <c r="AN23" s="26"/>
      <c r="AO23" s="26"/>
      <c r="AP23" s="6"/>
      <c r="AQ23" s="4" t="s">
        <v>535</v>
      </c>
    </row>
    <row r="24" spans="1:43" x14ac:dyDescent="0.3">
      <c r="A24" s="128">
        <v>43347</v>
      </c>
      <c r="B24" s="29">
        <v>21</v>
      </c>
      <c r="C24" s="28"/>
      <c r="D24" s="42"/>
      <c r="E24" s="42"/>
      <c r="F24" s="42"/>
      <c r="G24" s="42"/>
      <c r="H24" s="42"/>
      <c r="I24" s="42"/>
      <c r="J24" s="27"/>
      <c r="K24" s="27"/>
      <c r="S24" s="6"/>
      <c r="T24" s="4">
        <f>GSBR8[[#This Row],[NH4-N 
(mg L-1)]]*1.288</f>
        <v>0</v>
      </c>
      <c r="U24" s="20">
        <f>GSBR8[[#This Row],[NO2-N 
(mg L-1)]]*3.284</f>
        <v>0</v>
      </c>
      <c r="V24" s="6">
        <f>(GSBR8[[#This Row],[NO3-N 
(mg L-1)]])*4.426</f>
        <v>0</v>
      </c>
      <c r="W24" s="6"/>
      <c r="Y24" s="6"/>
      <c r="Z24" s="4"/>
      <c r="AA24" s="26"/>
      <c r="AB24" s="48"/>
      <c r="AC24" s="48"/>
      <c r="AD24" s="20"/>
      <c r="AE24" s="19"/>
      <c r="AF24" s="129"/>
      <c r="AG24" s="19"/>
      <c r="AH24" s="4"/>
      <c r="AI24" s="20"/>
      <c r="AJ24" s="6"/>
      <c r="AK24" s="6"/>
      <c r="AL24" s="6"/>
      <c r="AM24" s="6"/>
      <c r="AN24" s="26"/>
      <c r="AO24" s="26"/>
      <c r="AP24" s="6"/>
      <c r="AQ24" s="4" t="s">
        <v>535</v>
      </c>
    </row>
    <row r="25" spans="1:43" x14ac:dyDescent="0.3">
      <c r="A25" s="128">
        <v>43348</v>
      </c>
      <c r="B25" s="29">
        <v>22</v>
      </c>
      <c r="C25" s="28"/>
      <c r="D25" s="42"/>
      <c r="E25" s="42"/>
      <c r="F25" s="42"/>
      <c r="G25" s="42"/>
      <c r="H25" s="42"/>
      <c r="I25" s="42"/>
      <c r="J25" s="27"/>
      <c r="K25" s="27"/>
      <c r="S25" s="6"/>
      <c r="T25" s="4">
        <f>GSBR8[[#This Row],[NH4-N 
(mg L-1)]]*1.288</f>
        <v>0</v>
      </c>
      <c r="U25" s="20">
        <f>GSBR8[[#This Row],[NO2-N 
(mg L-1)]]*3.284</f>
        <v>0</v>
      </c>
      <c r="V25" s="6">
        <f>(GSBR8[[#This Row],[NO3-N 
(mg L-1)]])*4.426</f>
        <v>0</v>
      </c>
      <c r="W25" s="6"/>
      <c r="Y25" s="6"/>
      <c r="Z25" s="4"/>
      <c r="AA25" s="26"/>
      <c r="AB25" s="48"/>
      <c r="AC25" s="48"/>
      <c r="AD25" s="20"/>
      <c r="AE25" s="19"/>
      <c r="AF25" s="129"/>
      <c r="AG25" s="19"/>
      <c r="AH25" s="4"/>
      <c r="AI25" s="20"/>
      <c r="AJ25" s="6"/>
      <c r="AK25" s="6"/>
      <c r="AL25" s="6"/>
      <c r="AM25" s="6"/>
      <c r="AN25" s="26"/>
      <c r="AO25" s="26"/>
      <c r="AP25" s="6"/>
      <c r="AQ25" s="4" t="s">
        <v>535</v>
      </c>
    </row>
    <row r="26" spans="1:43" x14ac:dyDescent="0.3">
      <c r="A26" s="128">
        <v>43349</v>
      </c>
      <c r="B26" s="29">
        <v>23</v>
      </c>
      <c r="C26" s="28"/>
      <c r="D26" s="42"/>
      <c r="E26" s="42"/>
      <c r="F26" s="42"/>
      <c r="G26" s="42"/>
      <c r="H26" s="42"/>
      <c r="I26" s="42"/>
      <c r="J26" s="27"/>
      <c r="K26" s="27"/>
      <c r="S26" s="6"/>
      <c r="T26" s="4">
        <f>GSBR8[[#This Row],[NH4-N 
(mg L-1)]]*1.288</f>
        <v>0</v>
      </c>
      <c r="U26" s="20">
        <f>GSBR8[[#This Row],[NO2-N 
(mg L-1)]]*3.284</f>
        <v>0</v>
      </c>
      <c r="V26" s="6">
        <f>(GSBR8[[#This Row],[NO3-N 
(mg L-1)]])*4.426</f>
        <v>0</v>
      </c>
      <c r="W26" s="6"/>
      <c r="Y26" s="6"/>
      <c r="Z26" s="4"/>
      <c r="AA26" s="26"/>
      <c r="AB26" s="48"/>
      <c r="AC26" s="48"/>
      <c r="AD26" s="20"/>
      <c r="AE26" s="19"/>
      <c r="AF26" s="129"/>
      <c r="AG26" s="19"/>
      <c r="AH26" s="4"/>
      <c r="AI26" s="20"/>
      <c r="AJ26" s="6"/>
      <c r="AK26" s="6"/>
      <c r="AL26" s="6"/>
      <c r="AM26" s="6"/>
      <c r="AN26" s="26"/>
      <c r="AO26" s="26"/>
      <c r="AP26" s="6"/>
      <c r="AQ26" s="4" t="s">
        <v>535</v>
      </c>
    </row>
    <row r="27" spans="1:43" x14ac:dyDescent="0.3">
      <c r="A27" s="128">
        <v>43350</v>
      </c>
      <c r="B27" s="29">
        <v>24</v>
      </c>
      <c r="C27" s="28"/>
      <c r="D27" s="42"/>
      <c r="E27" s="42"/>
      <c r="F27" s="42"/>
      <c r="G27" s="42"/>
      <c r="H27" s="42"/>
      <c r="I27" s="42"/>
      <c r="J27" s="27"/>
      <c r="K27" s="27"/>
      <c r="S27" s="6"/>
      <c r="T27" s="4">
        <f>GSBR8[[#This Row],[NH4-N 
(mg L-1)]]*1.288</f>
        <v>0</v>
      </c>
      <c r="U27" s="20">
        <f>GSBR8[[#This Row],[NO2-N 
(mg L-1)]]*3.284</f>
        <v>0</v>
      </c>
      <c r="V27" s="6">
        <f>(GSBR8[[#This Row],[NO3-N 
(mg L-1)]])*4.426</f>
        <v>0</v>
      </c>
      <c r="W27" s="6"/>
      <c r="Y27" s="6"/>
      <c r="Z27" s="4"/>
      <c r="AA27" s="26"/>
      <c r="AB27" s="48"/>
      <c r="AC27" s="48"/>
      <c r="AD27" s="20"/>
      <c r="AE27" s="19"/>
      <c r="AF27" s="129"/>
      <c r="AG27" s="19"/>
      <c r="AH27" s="4"/>
      <c r="AI27" s="20"/>
      <c r="AJ27" s="6"/>
      <c r="AK27" s="6"/>
      <c r="AL27" s="6"/>
      <c r="AM27" s="6"/>
      <c r="AN27" s="26"/>
      <c r="AO27" s="26"/>
      <c r="AP27" s="6"/>
      <c r="AQ27" s="4" t="s">
        <v>535</v>
      </c>
    </row>
    <row r="28" spans="1:43" x14ac:dyDescent="0.3">
      <c r="A28" s="128">
        <v>43351</v>
      </c>
      <c r="B28" s="29">
        <v>25</v>
      </c>
      <c r="C28" s="28"/>
      <c r="D28" s="42"/>
      <c r="E28" s="42"/>
      <c r="F28" s="42"/>
      <c r="G28" s="42"/>
      <c r="H28" s="42"/>
      <c r="I28" s="42"/>
      <c r="J28" s="27"/>
      <c r="K28" s="27"/>
      <c r="S28" s="6"/>
      <c r="T28" s="4">
        <f>GSBR8[[#This Row],[NH4-N 
(mg L-1)]]*1.288</f>
        <v>0</v>
      </c>
      <c r="U28" s="20">
        <f>GSBR8[[#This Row],[NO2-N 
(mg L-1)]]*3.284</f>
        <v>0</v>
      </c>
      <c r="V28" s="6">
        <f>(GSBR8[[#This Row],[NO3-N 
(mg L-1)]])*4.426</f>
        <v>0</v>
      </c>
      <c r="W28" s="6"/>
      <c r="Y28" s="6"/>
      <c r="Z28" s="4"/>
      <c r="AA28" s="26"/>
      <c r="AB28" s="48"/>
      <c r="AC28" s="48"/>
      <c r="AD28" s="20"/>
      <c r="AE28" s="19"/>
      <c r="AF28" s="129"/>
      <c r="AG28" s="19"/>
      <c r="AH28" s="4"/>
      <c r="AI28" s="20"/>
      <c r="AJ28" s="6"/>
      <c r="AK28" s="6"/>
      <c r="AL28" s="6"/>
      <c r="AM28" s="6"/>
      <c r="AN28" s="26"/>
      <c r="AO28" s="26"/>
      <c r="AP28" s="6"/>
      <c r="AQ28" s="4" t="s">
        <v>535</v>
      </c>
    </row>
    <row r="29" spans="1:43" x14ac:dyDescent="0.3">
      <c r="A29" s="128">
        <v>43352</v>
      </c>
      <c r="B29" s="29">
        <v>26</v>
      </c>
      <c r="C29" s="28"/>
      <c r="D29" s="42"/>
      <c r="E29" s="42"/>
      <c r="F29" s="42"/>
      <c r="G29" s="42"/>
      <c r="H29" s="42"/>
      <c r="I29" s="42"/>
      <c r="J29" s="27"/>
      <c r="K29" s="27"/>
      <c r="S29" s="6"/>
      <c r="T29" s="4">
        <f>GSBR8[[#This Row],[NH4-N 
(mg L-1)]]*1.288</f>
        <v>0</v>
      </c>
      <c r="U29" s="20">
        <f>GSBR8[[#This Row],[NO2-N 
(mg L-1)]]*3.284</f>
        <v>0</v>
      </c>
      <c r="V29" s="6">
        <f>(GSBR8[[#This Row],[NO3-N 
(mg L-1)]])*4.426</f>
        <v>0</v>
      </c>
      <c r="W29" s="6"/>
      <c r="Y29" s="6"/>
      <c r="Z29" s="4"/>
      <c r="AA29" s="26"/>
      <c r="AB29" s="48"/>
      <c r="AC29" s="48"/>
      <c r="AD29" s="20"/>
      <c r="AE29" s="19"/>
      <c r="AF29" s="129"/>
      <c r="AG29" s="19"/>
      <c r="AH29" s="4"/>
      <c r="AI29" s="20"/>
      <c r="AJ29" s="6"/>
      <c r="AK29" s="6"/>
      <c r="AL29" s="6"/>
      <c r="AM29" s="6"/>
      <c r="AN29" s="26"/>
      <c r="AO29" s="26"/>
      <c r="AP29" s="6"/>
      <c r="AQ29" s="4" t="s">
        <v>535</v>
      </c>
    </row>
    <row r="30" spans="1:43" x14ac:dyDescent="0.3">
      <c r="A30" s="128">
        <v>43353</v>
      </c>
      <c r="B30" s="29">
        <v>27</v>
      </c>
      <c r="C30" s="28"/>
      <c r="D30" s="42"/>
      <c r="E30" s="42"/>
      <c r="F30" s="42"/>
      <c r="G30" s="42"/>
      <c r="H30" s="42"/>
      <c r="I30" s="42"/>
      <c r="J30" s="27"/>
      <c r="K30" s="27"/>
      <c r="S30" s="6"/>
      <c r="T30" s="4">
        <f>GSBR8[[#This Row],[NH4-N 
(mg L-1)]]*1.288</f>
        <v>0</v>
      </c>
      <c r="U30" s="20">
        <f>GSBR8[[#This Row],[NO2-N 
(mg L-1)]]*3.284</f>
        <v>0</v>
      </c>
      <c r="V30" s="6">
        <f>(GSBR8[[#This Row],[NO3-N 
(mg L-1)]])*4.426</f>
        <v>0</v>
      </c>
      <c r="W30" s="6"/>
      <c r="Y30" s="6"/>
      <c r="Z30" s="4"/>
      <c r="AA30" s="26"/>
      <c r="AB30" s="48"/>
      <c r="AC30" s="48"/>
      <c r="AD30" s="20"/>
      <c r="AE30" s="19"/>
      <c r="AF30" s="129"/>
      <c r="AG30" s="19"/>
      <c r="AH30" s="4"/>
      <c r="AI30" s="20"/>
      <c r="AJ30" s="6"/>
      <c r="AK30" s="6"/>
      <c r="AL30" s="6"/>
      <c r="AM30" s="6"/>
      <c r="AN30" s="26"/>
      <c r="AO30" s="26"/>
      <c r="AP30" s="6"/>
      <c r="AQ30" s="4" t="s">
        <v>535</v>
      </c>
    </row>
    <row r="31" spans="1:43" x14ac:dyDescent="0.3">
      <c r="A31" s="128">
        <v>43354</v>
      </c>
      <c r="B31" s="29">
        <v>28</v>
      </c>
      <c r="C31" s="28">
        <f>Information!$R$54/GSBR8[[#This Row],[HRT 
(h)]]*24</f>
        <v>7.1574532349899259E-2</v>
      </c>
      <c r="D31" s="42">
        <v>67.062960000000004</v>
      </c>
      <c r="E31" s="42">
        <v>30.359635624999999</v>
      </c>
      <c r="F31" s="42">
        <v>7.5189305624999996</v>
      </c>
      <c r="G31" s="42">
        <v>0.47050848750000002</v>
      </c>
      <c r="H31" s="42">
        <v>5.5910805625000002</v>
      </c>
      <c r="I31" s="42">
        <v>35.376293124999997</v>
      </c>
      <c r="J31" s="27"/>
      <c r="K31" s="27"/>
      <c r="L31" s="29">
        <v>2305</v>
      </c>
      <c r="M31" s="29">
        <f>GSBR8[[#This Row],[COD 
(mg L-1)]]*Information!$AK$43</f>
        <v>1844</v>
      </c>
      <c r="N31" s="29">
        <v>772</v>
      </c>
      <c r="O31" s="29">
        <v>7.3</v>
      </c>
      <c r="P31" s="29">
        <v>104</v>
      </c>
      <c r="R31" s="29">
        <v>3.05</v>
      </c>
      <c r="S31" s="29">
        <v>555.20000000000005</v>
      </c>
      <c r="T31" s="4">
        <f>GSBR8[[#This Row],[NH4-N 
(mg L-1)]]*1.288</f>
        <v>569.15431999999998</v>
      </c>
      <c r="U31" s="20">
        <f>GSBR8[[#This Row],[NO2-N 
(mg L-1)]]*3.284</f>
        <v>1471.5275599999998</v>
      </c>
      <c r="V31" s="6">
        <f>(GSBR8[[#This Row],[NO3-N 
(mg L-1)]])*4.426</f>
        <v>474.06886000000031</v>
      </c>
      <c r="W31" s="29">
        <v>441.89</v>
      </c>
      <c r="X31" s="29">
        <v>448.09</v>
      </c>
      <c r="Y31" s="6">
        <f>IF((GSBR8[[#This Row],[TON 
(mg L-1)]]-GSBR8[[#This Row],[NO2-N 
(mg L-1)]])&lt;0,0.2,(GSBR8[[#This Row],[TON 
(mg L-1)]]-GSBR8[[#This Row],[NO2-N 
(mg L-1)]]))</f>
        <v>107.11000000000007</v>
      </c>
      <c r="Z31" s="4">
        <f>SUM(GSBR8[[#This Row],[NO3-N 
(mg L-1)]],GSBR8[[#This Row],[NO2-N 
(mg L-1)]],GSBR8[[#This Row],[NH4-N 
(mg L-1)]])</f>
        <v>997.09</v>
      </c>
      <c r="AA31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0.14878248669972646</v>
      </c>
      <c r="AB31" s="48">
        <f>IF(IFERROR(GSBR8[[#This Row],[NO2-N 
(mg L-1)]]/GSBR8[[#This Row],[NH4-N 
(mg L-1)]],0)&lt;0,0,IFERROR(GSBR8[[#This Row],[NO2-N 
(mg L-1)]]/GSBR8[[#This Row],[NH4-N 
(mg L-1)]],0))</f>
        <v>1.0140306411097784</v>
      </c>
      <c r="AC31" s="48">
        <f>GSBR8[[#This Row],[NO2-N 
(mg L-1)]]/(GSBR8[[#This Row],[NO2-N 
(mg L-1)]]+GSBR8[[#This Row],[NO3-N 
(mg L-1)]])</f>
        <v>0.80707853025936593</v>
      </c>
      <c r="AD31" s="20">
        <f>46/14*GSBR8[[#This Row],[NO2-N 
(mg L-1)]]/(EXP(-2300/(GSBR8[[#This Row],[Temp. 
(°C)]]+273))*10^(GSBR8[[#This Row],[pHreactor]]))</f>
        <v>8.7454283629290239E-2</v>
      </c>
      <c r="AE31" s="19">
        <f>17/14*(GSBR8[[#This Row],[NH4+ (mg L-1)]]*10^GSBR8[[#This Row],[pHreactor]])/(EXP(6344/(273+GSBR8[[#This Row],[Temp. 
(°C)]]))+10^GSBR8[pHreactor])</f>
        <v>18.390645668036058</v>
      </c>
      <c r="AF31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164.71000000000004</v>
      </c>
      <c r="AG31" s="19">
        <f>IFERROR(IF(Influent[[#This Row],[COD (mg L-1)]]-MEDIA[[#This Row],[COD 
(mg L-1)]]&lt;0,0,Influent[[#This Row],[COD (mg L-1)]]-MEDIA[[#This Row],[COD 
(mg L-1)]]),0)</f>
        <v>2825</v>
      </c>
      <c r="AH31" s="4">
        <f>IF(IFERROR(Influent[[#This Row],[Alkalinity (mg CaCO3 L-1) ]]-GSBR8[[#This Row],[Alkalinity 
(mg CaCO3 L-1) ]],0)&lt;0,0,IFERROR(Influent[[#This Row],[Alkalinity (mg CaCO3 L-1) ]]-GSBR8[[#This Row],[Alkalinity 
(mg CaCO3 L-1) ]],0))</f>
        <v>3647</v>
      </c>
      <c r="AI31" s="20">
        <f>Influent[[#This Row],[COD (mg L-1)]]/GSBR8[[#This Row],[HRT 
(h)]]*24/1000</f>
        <v>1.0109902694423269</v>
      </c>
      <c r="AJ31" s="6">
        <f>IFERROR(IF(((GSBR8[[#This Row],[ΔC (mg L-1)]])/GSBR8[[#This Row],[HRT 
(h)]]*24/1000) &lt;0,0, (GSBR8[[#This Row],[ΔC (mg L-1)]])/GSBR8[[#This Row],[HRT 
(h)]]*24/1000),0)</f>
        <v>1.0109902694423269</v>
      </c>
      <c r="AK31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0.25763610792007985</v>
      </c>
      <c r="AL31" s="6">
        <f>Influent[[#This Row],[TN (mg L-1)]]/GSBR8[[#This Row],[HRT 
(h)]]*24/1000</f>
        <v>0.424122048892563</v>
      </c>
      <c r="AM31" s="6">
        <f>GSBR8[[#This Row],[NLR 
(kg N m-3 d-1)]]*GSBR8[[#This Row],[NRE 
(%)]]</f>
        <v>6.7290796588757737E-2</v>
      </c>
      <c r="AN31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0.61965054226200722</v>
      </c>
      <c r="AO31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0.158659038747131</v>
      </c>
      <c r="AP31" s="6"/>
      <c r="AQ31" s="4" t="s">
        <v>540</v>
      </c>
    </row>
    <row r="32" spans="1:43" x14ac:dyDescent="0.3">
      <c r="A32" s="128">
        <v>43358</v>
      </c>
      <c r="B32" s="29">
        <v>29</v>
      </c>
      <c r="C32" s="28">
        <f>Information!$R$54/GSBR8[[#This Row],[HRT 
(h)]]*24</f>
        <v>6.9816303124934087E-2</v>
      </c>
      <c r="D32" s="42">
        <v>68.751850000000005</v>
      </c>
      <c r="E32" s="42">
        <v>29.057996875000001</v>
      </c>
      <c r="F32" s="42">
        <v>7.3731219374999997</v>
      </c>
      <c r="G32" s="42">
        <v>0.4255508375</v>
      </c>
      <c r="H32" s="42">
        <v>3.5193220625000001</v>
      </c>
      <c r="I32" s="42">
        <v>47.102486249999998</v>
      </c>
      <c r="J32" s="27"/>
      <c r="K32" s="27"/>
      <c r="L32" s="29">
        <v>2040</v>
      </c>
      <c r="M32" s="29">
        <f>GSBR8[[#This Row],[COD 
(mg L-1)]]*Information!$AK$43</f>
        <v>1632</v>
      </c>
      <c r="N32" s="29">
        <v>724</v>
      </c>
      <c r="O32" s="29">
        <v>7.9</v>
      </c>
      <c r="P32" s="29">
        <v>1360</v>
      </c>
      <c r="R32" s="29">
        <v>1</v>
      </c>
      <c r="S32" s="29">
        <v>38.5</v>
      </c>
      <c r="T32" s="4">
        <f>GSBR8[[#This Row],[NH4-N 
(mg L-1)]]*1.288</f>
        <v>597.1940800000001</v>
      </c>
      <c r="U32" s="20">
        <f>GSBR8[[#This Row],[NO2-N 
(mg L-1)]]*3.284</f>
        <v>102.17180799999998</v>
      </c>
      <c r="V32" s="6">
        <f>(GSBR8[[#This Row],[NO3-N 
(mg L-1)]])*4.426</f>
        <v>32.69928800000001</v>
      </c>
      <c r="W32" s="29">
        <v>463.66</v>
      </c>
      <c r="X32" s="29">
        <v>31.111999999999998</v>
      </c>
      <c r="Y32" s="6">
        <f>IF((GSBR8[[#This Row],[TON 
(mg L-1)]]-GSBR8[[#This Row],[NO2-N 
(mg L-1)]])&lt;0,0.2,(GSBR8[[#This Row],[TON 
(mg L-1)]]-GSBR8[[#This Row],[NO2-N 
(mg L-1)]]))</f>
        <v>7.3880000000000017</v>
      </c>
      <c r="Z32" s="4">
        <f>SUM(GSBR8[[#This Row],[NO3-N 
(mg L-1)]],GSBR8[[#This Row],[NO2-N 
(mg L-1)]],GSBR8[[#This Row],[NH4-N 
(mg L-1)]])</f>
        <v>502.16</v>
      </c>
      <c r="AA32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1.0351108246700481E-2</v>
      </c>
      <c r="AB32" s="48">
        <f>IF(IFERROR(GSBR8[[#This Row],[NO2-N 
(mg L-1)]]/GSBR8[[#This Row],[NH4-N 
(mg L-1)]],0)&lt;0,0,IFERROR(GSBR8[[#This Row],[NO2-N 
(mg L-1)]]/GSBR8[[#This Row],[NH4-N 
(mg L-1)]],0))</f>
        <v>6.7100892895656294E-2</v>
      </c>
      <c r="AC32" s="48">
        <f>GSBR8[[#This Row],[NO2-N 
(mg L-1)]]/(GSBR8[[#This Row],[NO2-N 
(mg L-1)]]+GSBR8[[#This Row],[NO3-N 
(mg L-1)]])</f>
        <v>0.8081038961038961</v>
      </c>
      <c r="AD32" s="20">
        <f>46/14*GSBR8[[#This Row],[NO2-N 
(mg L-1)]]/(EXP(-2300/(GSBR8[[#This Row],[Temp. 
(°C)]]+273))*10^(GSBR8[[#This Row],[pHreactor]]))</f>
        <v>8.7769066237744532E-3</v>
      </c>
      <c r="AE32" s="19">
        <f>17/14*(GSBR8[[#This Row],[NH4+ (mg L-1)]]*10^GSBR8[[#This Row],[pHreactor]])/(EXP(6344/(273+GSBR8[[#This Row],[Temp. 
(°C)]]))+10^GSBR8[pHreactor])</f>
        <v>12.722220005871057</v>
      </c>
      <c r="AF32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675.24</v>
      </c>
      <c r="AG32" s="19">
        <f>IFERROR(IF(Influent[[#This Row],[COD (mg L-1)]]-MEDIA[[#This Row],[COD 
(mg L-1)]]&lt;0,0,Influent[[#This Row],[COD (mg L-1)]]-MEDIA[[#This Row],[COD 
(mg L-1)]]),0)</f>
        <v>890</v>
      </c>
      <c r="AH32" s="4">
        <f>IF(IFERROR(Influent[[#This Row],[Alkalinity (mg CaCO3 L-1) ]]-GSBR8[[#This Row],[Alkalinity 
(mg CaCO3 L-1) ]],0)&lt;0,0,IFERROR(Influent[[#This Row],[Alkalinity (mg CaCO3 L-1) ]]-GSBR8[[#This Row],[Alkalinity 
(mg CaCO3 L-1) ]],0))</f>
        <v>3573</v>
      </c>
      <c r="AI32" s="20"/>
      <c r="AJ32" s="6"/>
      <c r="AK32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0.24915344096195227</v>
      </c>
      <c r="AL32" s="6">
        <f>Influent[[#This Row],[TN (mg L-1)]]/GSBR8[[#This Row],[HRT 
(h)]]*24/1000</f>
        <v>0.41107839279961195</v>
      </c>
      <c r="AM32" s="6">
        <f>GSBR8[[#This Row],[NLR 
(kg N m-3 d-1)]]*GSBR8[[#This Row],[NRE 
(%)]]</f>
        <v>0.23578361891352739</v>
      </c>
      <c r="AN32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0.60620010191948359</v>
      </c>
      <c r="AO32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0.57357336956521732</v>
      </c>
      <c r="AP32" s="6"/>
      <c r="AQ32" s="4"/>
    </row>
    <row r="33" spans="1:43" x14ac:dyDescent="0.3">
      <c r="A33" s="128">
        <v>43359</v>
      </c>
      <c r="B33" s="29">
        <v>30</v>
      </c>
      <c r="C33" s="28">
        <f>Information!$R$54/GSBR8[[#This Row],[HRT 
(h)]]*24</f>
        <v>5.491990218307756E-2</v>
      </c>
      <c r="D33" s="42">
        <v>87.400009999999995</v>
      </c>
      <c r="E33" s="42">
        <v>29.3640975</v>
      </c>
      <c r="F33" s="42">
        <v>8.2137414999999994</v>
      </c>
      <c r="G33" s="42">
        <v>0.32362288750000001</v>
      </c>
      <c r="H33" s="42">
        <v>5.2269068125000002</v>
      </c>
      <c r="I33" s="42">
        <v>-49.004021874999999</v>
      </c>
      <c r="J33" s="27"/>
      <c r="K33" s="27"/>
      <c r="L33" s="29">
        <v>1530</v>
      </c>
      <c r="M33" s="29">
        <f>GSBR8[[#This Row],[COD 
(mg L-1)]]*Information!$AK$43</f>
        <v>1224</v>
      </c>
      <c r="N33" s="29">
        <v>612</v>
      </c>
      <c r="O33" s="29">
        <v>8.1</v>
      </c>
      <c r="P33" s="29">
        <v>526.70000000000005</v>
      </c>
      <c r="R33" s="29">
        <v>0.7</v>
      </c>
      <c r="S33" s="29">
        <v>46.1</v>
      </c>
      <c r="T33" s="4">
        <f>GSBR8[[#This Row],[NH4-N 
(mg L-1)]]*1.288</f>
        <v>669.42511999999999</v>
      </c>
      <c r="U33" s="20">
        <f>GSBR8[[#This Row],[NO2-N 
(mg L-1)]]*3.284</f>
        <v>119.20263199999999</v>
      </c>
      <c r="V33" s="6">
        <f>(GSBR8[[#This Row],[NO3-N 
(mg L-1)]])*4.426</f>
        <v>43.383651999999998</v>
      </c>
      <c r="W33" s="29">
        <v>519.74</v>
      </c>
      <c r="X33" s="29">
        <v>36.298000000000002</v>
      </c>
      <c r="Y33" s="6">
        <f>IF((GSBR8[[#This Row],[TON 
(mg L-1)]]-GSBR8[[#This Row],[NO2-N 
(mg L-1)]])&lt;0,0.2,(GSBR8[[#This Row],[TON 
(mg L-1)]]-GSBR8[[#This Row],[NO2-N 
(mg L-1)]]))</f>
        <v>9.8019999999999996</v>
      </c>
      <c r="Z33" s="4">
        <f>SUM(GSBR8[[#This Row],[NO3-N 
(mg L-1)]],GSBR8[[#This Row],[NO2-N 
(mg L-1)]],GSBR8[[#This Row],[NH4-N 
(mg L-1)]])</f>
        <v>565.84</v>
      </c>
      <c r="AA33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1.189620855381329E-2</v>
      </c>
      <c r="AB33" s="48">
        <f>IF(IFERROR(GSBR8[[#This Row],[NO2-N 
(mg L-1)]]/GSBR8[[#This Row],[NH4-N 
(mg L-1)]],0)&lt;0,0,IFERROR(GSBR8[[#This Row],[NO2-N 
(mg L-1)]]/GSBR8[[#This Row],[NH4-N 
(mg L-1)]],0))</f>
        <v>6.9838765536614458E-2</v>
      </c>
      <c r="AC33" s="48">
        <f>GSBR8[[#This Row],[NO2-N 
(mg L-1)]]/(GSBR8[[#This Row],[NO2-N 
(mg L-1)]]+GSBR8[[#This Row],[NO3-N 
(mg L-1)]])</f>
        <v>0.78737527114967465</v>
      </c>
      <c r="AD33" s="20">
        <f>46/14*GSBR8[[#This Row],[NO2-N 
(mg L-1)]]/(EXP(-2300/(GSBR8[[#This Row],[Temp. 
(°C)]]+273))*10^(GSBR8[[#This Row],[pHreactor]]))</f>
        <v>1.4666581847681687E-3</v>
      </c>
      <c r="AE33" s="19">
        <f>17/14*(GSBR8[[#This Row],[NH4+ (mg L-1)]]*10^GSBR8[[#This Row],[pHreactor]])/(EXP(6344/(273+GSBR8[[#This Row],[Temp. 
(°C)]]))+10^GSBR8[pHreactor])</f>
        <v>91.202386476404158</v>
      </c>
      <c r="AF33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777.86</v>
      </c>
      <c r="AG33" s="19">
        <f>IFERROR(IF(Influent[[#This Row],[COD (mg L-1)]]-MEDIA[[#This Row],[COD 
(mg L-1)]]&lt;0,0,Influent[[#This Row],[COD (mg L-1)]]-MEDIA[[#This Row],[COD 
(mg L-1)]]),0)</f>
        <v>0</v>
      </c>
      <c r="AH33" s="4">
        <f>IF(IFERROR(Influent[[#This Row],[Alkalinity (mg CaCO3 L-1) ]]-GSBR8[[#This Row],[Alkalinity 
(mg CaCO3 L-1) ]],0)&lt;0,0,IFERROR(Influent[[#This Row],[Alkalinity (mg CaCO3 L-1) ]]-GSBR8[[#This Row],[Alkalinity 
(mg CaCO3 L-1) ]],0))</f>
        <v>4212</v>
      </c>
      <c r="AI33" s="20">
        <f>Influent[[#This Row],[COD (mg L-1)]]/GSBR8[[#This Row],[HRT 
(h)]]*24/1000</f>
        <v>0.77162462567223977</v>
      </c>
      <c r="AJ33" s="6">
        <f>IFERROR(IF(((GSBR8[[#This Row],[ΔC (mg L-1)]])/GSBR8[[#This Row],[HRT 
(h)]]*24/1000) &lt;0,0, (GSBR8[[#This Row],[ΔC (mg L-1)]])/GSBR8[[#This Row],[HRT 
(h)]]*24/1000),0)</f>
        <v>0</v>
      </c>
      <c r="AK33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0.22625901301384294</v>
      </c>
      <c r="AL33" s="6">
        <f>Influent[[#This Row],[TN (mg L-1)]]/GSBR8[[#This Row],[HRT 
(h)]]*24/1000</f>
        <v>0.37073185689566862</v>
      </c>
      <c r="AM33" s="6">
        <f>GSBR8[[#This Row],[NLR 
(kg N m-3 d-1)]]*GSBR8[[#This Row],[NRE 
(%)]]</f>
        <v>0.21535246963930557</v>
      </c>
      <c r="AN33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0.61320235171541271</v>
      </c>
      <c r="AO33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0.58088471663202679</v>
      </c>
      <c r="AP33" s="6"/>
      <c r="AQ33" s="4"/>
    </row>
    <row r="34" spans="1:43" x14ac:dyDescent="0.3">
      <c r="A34" s="128">
        <v>43360</v>
      </c>
      <c r="B34" s="29">
        <v>31</v>
      </c>
      <c r="C34" s="28">
        <f>Information!$R$54/GSBR8[[#This Row],[HRT 
(h)]]*24</f>
        <v>4.6307194208513577E-2</v>
      </c>
      <c r="D34" s="42">
        <v>103.65560000000001</v>
      </c>
      <c r="E34" s="42">
        <v>30.756553125</v>
      </c>
      <c r="F34" s="42">
        <v>8.2580753125000008</v>
      </c>
      <c r="G34" s="42">
        <v>0.33663135625000001</v>
      </c>
      <c r="H34" s="42">
        <v>5.3720340625</v>
      </c>
      <c r="I34" s="42">
        <v>-57.757211875000003</v>
      </c>
      <c r="J34" s="27"/>
      <c r="K34" s="27"/>
      <c r="L34" s="29">
        <v>1575</v>
      </c>
      <c r="M34" s="29">
        <f>GSBR8[[#This Row],[COD 
(mg L-1)]]*Information!$AK$43</f>
        <v>1260</v>
      </c>
      <c r="N34" s="29">
        <v>618</v>
      </c>
      <c r="O34" s="29">
        <v>7.9</v>
      </c>
      <c r="P34" s="29">
        <v>265</v>
      </c>
      <c r="Q34" s="29">
        <v>40</v>
      </c>
      <c r="R34" s="29">
        <v>1.1499999999999999</v>
      </c>
      <c r="S34" s="29">
        <v>103.3</v>
      </c>
      <c r="T34" s="4">
        <f>GSBR8[[#This Row],[NH4-N 
(mg L-1)]]*1.288</f>
        <v>288.33168000000001</v>
      </c>
      <c r="U34" s="20">
        <f>GSBR8[[#This Row],[NO2-N 
(mg L-1)]]*3.284</f>
        <v>269.76746399999996</v>
      </c>
      <c r="V34" s="6">
        <f>(GSBR8[[#This Row],[NO3-N 
(mg L-1)]])*4.426</f>
        <v>93.627603999999991</v>
      </c>
      <c r="W34" s="29">
        <v>223.86</v>
      </c>
      <c r="X34" s="29">
        <v>82.146000000000001</v>
      </c>
      <c r="Y34" s="6">
        <f>IF((GSBR8[[#This Row],[TON 
(mg L-1)]]-GSBR8[[#This Row],[NO2-N 
(mg L-1)]])&lt;0,0.2,(GSBR8[[#This Row],[TON 
(mg L-1)]]-GSBR8[[#This Row],[NO2-N 
(mg L-1)]]))</f>
        <v>21.153999999999996</v>
      </c>
      <c r="Z34" s="4">
        <f>SUM(GSBR8[[#This Row],[NO3-N 
(mg L-1)]],GSBR8[[#This Row],[NO2-N 
(mg L-1)]],GSBR8[[#This Row],[NH4-N 
(mg L-1)]])</f>
        <v>327.16000000000003</v>
      </c>
      <c r="AA34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1.7146238267382107E-2</v>
      </c>
      <c r="AB34" s="48">
        <f>IF(IFERROR(GSBR8[[#This Row],[NO2-N 
(mg L-1)]]/GSBR8[[#This Row],[NH4-N 
(mg L-1)]],0)&lt;0,0,IFERROR(GSBR8[[#This Row],[NO2-N 
(mg L-1)]]/GSBR8[[#This Row],[NH4-N 
(mg L-1)]],0))</f>
        <v>0.36695255963548645</v>
      </c>
      <c r="AC34" s="48">
        <f>GSBR8[[#This Row],[NO2-N 
(mg L-1)]]/(GSBR8[[#This Row],[NO2-N 
(mg L-1)]]+GSBR8[[#This Row],[NO3-N 
(mg L-1)]])</f>
        <v>0.79521781219748311</v>
      </c>
      <c r="AD34" s="20">
        <f>46/14*GSBR8[[#This Row],[NO2-N 
(mg L-1)]]/(EXP(-2300/(GSBR8[[#This Row],[Temp. 
(°C)]]+273))*10^(GSBR8[[#This Row],[pHreactor]]))</f>
        <v>2.8943758488731361E-3</v>
      </c>
      <c r="AE34" s="19">
        <f>17/14*(GSBR8[[#This Row],[NH4+ (mg L-1)]]*10^GSBR8[[#This Row],[pHreactor]])/(EXP(6344/(273+GSBR8[[#This Row],[Temp. 
(°C)]]))+10^GSBR8[pHreactor])</f>
        <v>46.74611752400623</v>
      </c>
      <c r="AF34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1130.4399999999998</v>
      </c>
      <c r="AG34" s="19">
        <f>IFERROR(IF(Influent[[#This Row],[COD (mg L-1)]]-MEDIA[[#This Row],[COD 
(mg L-1)]]&lt;0,0,Influent[[#This Row],[COD (mg L-1)]]-MEDIA[[#This Row],[COD 
(mg L-1)]]),0)</f>
        <v>0</v>
      </c>
      <c r="AH34" s="4">
        <f>IF(IFERROR(Influent[[#This Row],[Alkalinity (mg CaCO3 L-1) ]]-GSBR8[[#This Row],[Alkalinity 
(mg CaCO3 L-1) ]],0)&lt;0,0,IFERROR(Influent[[#This Row],[Alkalinity (mg CaCO3 L-1) ]]-GSBR8[[#This Row],[Alkalinity 
(mg CaCO3 L-1) ]],0))</f>
        <v>4432</v>
      </c>
      <c r="AI34" s="20"/>
      <c r="AJ34" s="6"/>
      <c r="AK34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0.28565518891405767</v>
      </c>
      <c r="AL34" s="6">
        <f>Influent[[#This Row],[TN (mg L-1)]]/GSBR8[[#This Row],[HRT 
(h)]]*24/1000</f>
        <v>0.33753313858585543</v>
      </c>
      <c r="AM34" s="6">
        <f>GSBR8[[#This Row],[NLR 
(kg N m-3 d-1)]]*GSBR8[[#This Row],[NRE 
(%)]]</f>
        <v>0.26178383029956892</v>
      </c>
      <c r="AN34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0.84641877058177817</v>
      </c>
      <c r="AO34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0.77557964055425976</v>
      </c>
      <c r="AP34" s="6"/>
      <c r="AQ34" s="29" t="s">
        <v>542</v>
      </c>
    </row>
    <row r="35" spans="1:43" x14ac:dyDescent="0.3">
      <c r="A35" s="128">
        <v>43361</v>
      </c>
      <c r="B35" s="29">
        <v>32</v>
      </c>
      <c r="C35" s="28">
        <f>Information!$R$54/GSBR8[[#This Row],[HRT 
(h)]]*24</f>
        <v>4.7867025403429277E-2</v>
      </c>
      <c r="D35" s="42">
        <v>100.2778</v>
      </c>
      <c r="E35" s="42">
        <v>28.562416249999998</v>
      </c>
      <c r="F35" s="42">
        <v>8.319079125</v>
      </c>
      <c r="G35" s="42">
        <v>0.34082628124999997</v>
      </c>
      <c r="H35" s="42">
        <v>5.6297669375000003</v>
      </c>
      <c r="I35" s="42">
        <v>-67.150284374999998</v>
      </c>
      <c r="J35" s="27">
        <v>2570</v>
      </c>
      <c r="K35" s="27">
        <v>2450</v>
      </c>
      <c r="L35" s="29">
        <v>2030</v>
      </c>
      <c r="M35" s="29">
        <f>GSBR8[[#This Row],[COD 
(mg L-1)]]*Information!$AK$43</f>
        <v>1624</v>
      </c>
      <c r="N35" s="29">
        <v>653</v>
      </c>
      <c r="O35" s="29">
        <v>7.4</v>
      </c>
      <c r="P35" s="29">
        <v>70</v>
      </c>
      <c r="Q35" s="29">
        <v>20</v>
      </c>
      <c r="R35" s="29">
        <v>4.2</v>
      </c>
      <c r="S35" s="29">
        <v>406.8</v>
      </c>
      <c r="T35" s="4">
        <f>GSBR8[[#This Row],[NH4-N 
(mg L-1)]]*1.288</f>
        <v>220.32528000000002</v>
      </c>
      <c r="U35" s="20">
        <f>GSBR8[[#This Row],[NO2-N 
(mg L-1)]]*3.284</f>
        <v>1094.1302800000001</v>
      </c>
      <c r="V35" s="6">
        <f>(GSBR8[[#This Row],[NO3-N 
(mg L-1)]])*4.426</f>
        <v>325.88637999999997</v>
      </c>
      <c r="W35" s="29">
        <v>171.06</v>
      </c>
      <c r="X35" s="29">
        <v>333.17</v>
      </c>
      <c r="Y35" s="6">
        <f>IF((GSBR8[[#This Row],[TON 
(mg L-1)]]-GSBR8[[#This Row],[NO2-N 
(mg L-1)]])&lt;0,0.2,(GSBR8[[#This Row],[TON 
(mg L-1)]]-GSBR8[[#This Row],[NO2-N 
(mg L-1)]]))</f>
        <v>73.63</v>
      </c>
      <c r="Z35" s="4">
        <f>SUM(GSBR8[[#This Row],[NO3-N 
(mg L-1)]],GSBR8[[#This Row],[NO2-N 
(mg L-1)]],GSBR8[[#This Row],[NH4-N 
(mg L-1)]])</f>
        <v>577.86</v>
      </c>
      <c r="AA35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5.5501115600313566E-2</v>
      </c>
      <c r="AB35" s="48">
        <f>IF(IFERROR(GSBR8[[#This Row],[NO2-N 
(mg L-1)]]/GSBR8[[#This Row],[NH4-N 
(mg L-1)]],0)&lt;0,0,IFERROR(GSBR8[[#This Row],[NO2-N 
(mg L-1)]]/GSBR8[[#This Row],[NH4-N 
(mg L-1)]],0))</f>
        <v>1.9476791768969952</v>
      </c>
      <c r="AC35" s="48">
        <f>GSBR8[[#This Row],[NO2-N 
(mg L-1)]]/(GSBR8[[#This Row],[NO2-N 
(mg L-1)]]+GSBR8[[#This Row],[NO3-N 
(mg L-1)]])</f>
        <v>0.81900196656833824</v>
      </c>
      <c r="AD35" s="20">
        <f>46/14*GSBR8[[#This Row],[NO2-N 
(mg L-1)]]/(EXP(-2300/(GSBR8[[#This Row],[Temp. 
(°C)]]+273))*10^(GSBR8[[#This Row],[pHreactor]]))</f>
        <v>1.0778460653422677E-2</v>
      </c>
      <c r="AE35" s="19">
        <f>17/14*(GSBR8[[#This Row],[NH4+ (mg L-1)]]*10^GSBR8[[#This Row],[pHreactor]])/(EXP(6344/(273+GSBR8[[#This Row],[Temp. 
(°C)]]))+10^GSBR8[pHreactor])</f>
        <v>35.366312224811345</v>
      </c>
      <c r="AF35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919.84</v>
      </c>
      <c r="AG35" s="19">
        <f>IFERROR(IF(Influent[[#This Row],[COD (mg L-1)]]-MEDIA[[#This Row],[COD 
(mg L-1)]]&lt;0,0,Influent[[#This Row],[COD (mg L-1)]]-MEDIA[[#This Row],[COD 
(mg L-1)]]),0)</f>
        <v>0</v>
      </c>
      <c r="AH35" s="4">
        <f>IF(IFERROR(Influent[[#This Row],[Alkalinity (mg CaCO3 L-1) ]]-GSBR8[[#This Row],[Alkalinity 
(mg CaCO3 L-1) ]],0)&lt;0,0,IFERROR(Influent[[#This Row],[Alkalinity (mg CaCO3 L-1) ]]-GSBR8[[#This Row],[Alkalinity 
(mg CaCO3 L-1) ]],0))</f>
        <v>4083</v>
      </c>
      <c r="AI35" s="20">
        <f>Influent[[#This Row],[COD (mg L-1)]]/GSBR8[[#This Row],[HRT 
(h)]]*24/1000</f>
        <v>0.6749250581883528</v>
      </c>
      <c r="AJ35" s="6">
        <f>IFERROR(IF(((GSBR8[[#This Row],[ΔC (mg L-1)]])/GSBR8[[#This Row],[HRT 
(h)]]*24/1000) &lt;0,0, (GSBR8[[#This Row],[ΔC (mg L-1)]])/GSBR8[[#This Row],[HRT 
(h)]]*24/1000),0)</f>
        <v>0</v>
      </c>
      <c r="AK35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0.31751155290602706</v>
      </c>
      <c r="AL35" s="6">
        <f>Influent[[#This Row],[TN (mg L-1)]]/GSBR8[[#This Row],[HRT 
(h)]]*24/1000</f>
        <v>0.35850008675898359</v>
      </c>
      <c r="AM35" s="6">
        <f>GSBR8[[#This Row],[NLR 
(kg N m-3 d-1)]]*GSBR8[[#This Row],[NRE 
(%)]]</f>
        <v>0.22019789026085537</v>
      </c>
      <c r="AN35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0.88578487013420582</v>
      </c>
      <c r="AO35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0.61421990787101943</v>
      </c>
      <c r="AP35" s="6"/>
      <c r="AQ35" s="4"/>
    </row>
    <row r="36" spans="1:43" x14ac:dyDescent="0.3">
      <c r="A36" s="128">
        <v>43362</v>
      </c>
      <c r="B36" s="29">
        <v>33</v>
      </c>
      <c r="C36" s="28">
        <f>Information!$R$54/GSBR8[[#This Row],[HRT 
(h)]]*24</f>
        <v>4.605708199599879E-2</v>
      </c>
      <c r="D36" s="42">
        <v>104.21850000000001</v>
      </c>
      <c r="E36" s="42">
        <v>31.664441875000001</v>
      </c>
      <c r="F36" s="42">
        <v>8.3036820625000001</v>
      </c>
      <c r="G36" s="42">
        <v>0.33063559375000001</v>
      </c>
      <c r="H36" s="42">
        <v>5.8701906875000001</v>
      </c>
      <c r="I36" s="42">
        <v>-68.046331249999994</v>
      </c>
      <c r="J36" s="27"/>
      <c r="K36" s="27"/>
      <c r="L36" s="29">
        <v>2095</v>
      </c>
      <c r="M36" s="29">
        <f>GSBR8[[#This Row],[COD 
(mg L-1)]]*Information!$AK$43</f>
        <v>1676</v>
      </c>
      <c r="N36" s="29">
        <v>640</v>
      </c>
      <c r="O36" s="29">
        <v>7.5</v>
      </c>
      <c r="P36" s="29">
        <v>108</v>
      </c>
      <c r="Q36" s="29">
        <v>42</v>
      </c>
      <c r="R36" s="29">
        <v>4.8899999999999997</v>
      </c>
      <c r="S36" s="29">
        <v>431.6</v>
      </c>
      <c r="T36" s="4">
        <f>GSBR8[[#This Row],[NH4-N 
(mg L-1)]]*1.288</f>
        <v>1000.4540000000001</v>
      </c>
      <c r="U36" s="20">
        <f>GSBR8[[#This Row],[NO2-N 
(mg L-1)]]*3.284</f>
        <v>1142.1751999999999</v>
      </c>
      <c r="V36" s="6">
        <f>(GSBR8[[#This Row],[NO3-N 
(mg L-1)]])*4.426</f>
        <v>370.89880000000005</v>
      </c>
      <c r="W36" s="29">
        <v>776.75</v>
      </c>
      <c r="X36" s="29">
        <v>347.8</v>
      </c>
      <c r="Y36" s="6">
        <f>IF((GSBR8[[#This Row],[TON 
(mg L-1)]]-GSBR8[[#This Row],[NO2-N 
(mg L-1)]])&lt;0,0.2,(GSBR8[[#This Row],[TON 
(mg L-1)]]-GSBR8[[#This Row],[NO2-N 
(mg L-1)]]))</f>
        <v>83.800000000000011</v>
      </c>
      <c r="Z36" s="4">
        <f>SUM(GSBR8[[#This Row],[NO3-N 
(mg L-1)]],GSBR8[[#This Row],[NO2-N 
(mg L-1)]],GSBR8[[#This Row],[NH4-N 
(mg L-1)]])</f>
        <v>1208.3499999999999</v>
      </c>
      <c r="AA36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0.12138770189034551</v>
      </c>
      <c r="AB36" s="48">
        <f>IF(IFERROR(GSBR8[[#This Row],[NO2-N 
(mg L-1)]]/GSBR8[[#This Row],[NH4-N 
(mg L-1)]],0)&lt;0,0,IFERROR(GSBR8[[#This Row],[NO2-N 
(mg L-1)]]/GSBR8[[#This Row],[NH4-N 
(mg L-1)]],0))</f>
        <v>0.44776311554554232</v>
      </c>
      <c r="AC36" s="48">
        <f>GSBR8[[#This Row],[NO2-N 
(mg L-1)]]/(GSBR8[[#This Row],[NO2-N 
(mg L-1)]]+GSBR8[[#This Row],[NO3-N 
(mg L-1)]])</f>
        <v>0.80583873957367935</v>
      </c>
      <c r="AD36" s="20">
        <f>46/14*GSBR8[[#This Row],[NO2-N 
(mg L-1)]]/(EXP(-2300/(GSBR8[[#This Row],[Temp. 
(°C)]]+273))*10^(GSBR8[[#This Row],[pHreactor]]))</f>
        <v>1.0786783957452258E-2</v>
      </c>
      <c r="AE36" s="19">
        <f>17/14*(GSBR8[[#This Row],[NH4+ (mg L-1)]]*10^GSBR8[[#This Row],[pHreactor]])/(EXP(6344/(273+GSBR8[[#This Row],[Temp. 
(°C)]]))+10^GSBR8[pHreactor])</f>
        <v>187.17863475411096</v>
      </c>
      <c r="AF36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258.75</v>
      </c>
      <c r="AG36" s="19">
        <f>IFERROR(IF(Influent[[#This Row],[COD (mg L-1)]]-MEDIA[[#This Row],[COD 
(mg L-1)]]&lt;0,0,Influent[[#This Row],[COD (mg L-1)]]-MEDIA[[#This Row],[COD 
(mg L-1)]]),0)</f>
        <v>2800</v>
      </c>
      <c r="AH36" s="4">
        <f>IF(IFERROR(Influent[[#This Row],[Alkalinity (mg CaCO3 L-1) ]]-GSBR8[[#This Row],[Alkalinity 
(mg CaCO3 L-1) ]],0)&lt;0,0,IFERROR(Influent[[#This Row],[Alkalinity (mg CaCO3 L-1) ]]-GSBR8[[#This Row],[Alkalinity 
(mg CaCO3 L-1) ]],0))</f>
        <v>4193</v>
      </c>
      <c r="AI36" s="20">
        <f>Influent[[#This Row],[COD (mg L-1)]]/GSBR8[[#This Row],[HRT 
(h)]]*24/1000</f>
        <v>0.64479914794398308</v>
      </c>
      <c r="AJ36" s="6">
        <f>IFERROR(IF(((GSBR8[[#This Row],[ΔC (mg L-1)]])/GSBR8[[#This Row],[HRT 
(h)]]*24/1000) &lt;0,0, (GSBR8[[#This Row],[ΔC (mg L-1)]])/GSBR8[[#This Row],[HRT 
(h)]]*24/1000),0)</f>
        <v>0.64479914794398308</v>
      </c>
      <c r="AK36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0.15897753277968876</v>
      </c>
      <c r="AL36" s="6">
        <f>Influent[[#This Row],[TN (mg L-1)]]/GSBR8[[#This Row],[HRT 
(h)]]*24/1000</f>
        <v>0.33789778206364507</v>
      </c>
      <c r="AM36" s="6">
        <f>GSBR8[[#This Row],[NLR 
(kg N m-3 d-1)]]*GSBR8[[#This Row],[NRE 
(%)]]</f>
        <v>5.9632406914319439E-2</v>
      </c>
      <c r="AN36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0.47055415445436571</v>
      </c>
      <c r="AO36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0.17648061064540316</v>
      </c>
      <c r="AP36" s="6"/>
      <c r="AQ36" s="4"/>
    </row>
    <row r="37" spans="1:43" x14ac:dyDescent="0.3">
      <c r="A37" s="128">
        <v>43363</v>
      </c>
      <c r="B37" s="29">
        <v>34</v>
      </c>
      <c r="C37" s="28">
        <f>Information!$R$54/GSBR8[[#This Row],[HRT 
(h)]]*24</f>
        <v>4.605708199599879E-2</v>
      </c>
      <c r="D37" s="42">
        <v>104.21850000000001</v>
      </c>
      <c r="E37" s="42">
        <v>29.244463124999999</v>
      </c>
      <c r="F37" s="42">
        <v>7.4741088749999998</v>
      </c>
      <c r="G37" s="42">
        <v>0.39512711875000001</v>
      </c>
      <c r="H37" s="42">
        <v>4.8608686875</v>
      </c>
      <c r="I37" s="42">
        <v>58.670299374999999</v>
      </c>
      <c r="J37" s="27"/>
      <c r="K37" s="27"/>
      <c r="L37" s="29">
        <v>2145</v>
      </c>
      <c r="M37" s="29">
        <f>GSBR8[[#This Row],[COD 
(mg L-1)]]*Information!$AK$43</f>
        <v>1716</v>
      </c>
      <c r="N37" s="29">
        <v>662</v>
      </c>
      <c r="O37" s="29">
        <v>7.5</v>
      </c>
      <c r="P37" s="29">
        <v>172</v>
      </c>
      <c r="R37" s="29">
        <v>4.72</v>
      </c>
      <c r="S37" s="29">
        <v>431.9</v>
      </c>
      <c r="T37" s="4">
        <f>GSBR8[[#This Row],[NH4-N 
(mg L-1)]]*1.288</f>
        <v>207.92184</v>
      </c>
      <c r="U37" s="20">
        <f>GSBR8[[#This Row],[NO2-N 
(mg L-1)]]*3.284</f>
        <v>1167.8889199999999</v>
      </c>
      <c r="V37" s="6">
        <f>(GSBR8[[#This Row],[NO3-N 
(mg L-1)]])*4.426</f>
        <v>337.57101999999992</v>
      </c>
      <c r="W37" s="29">
        <v>161.43</v>
      </c>
      <c r="X37" s="29">
        <v>355.63</v>
      </c>
      <c r="Y37" s="6">
        <f>IF((GSBR8[[#This Row],[TON 
(mg L-1)]]-GSBR8[[#This Row],[NO2-N 
(mg L-1)]])&lt;0,0.2,(GSBR8[[#This Row],[TON 
(mg L-1)]]-GSBR8[[#This Row],[NO2-N 
(mg L-1)]]))</f>
        <v>76.269999999999982</v>
      </c>
      <c r="Z37" s="4">
        <f>SUM(GSBR8[[#This Row],[NO3-N 
(mg L-1)]],GSBR8[[#This Row],[NO2-N 
(mg L-1)]],GSBR8[[#This Row],[NH4-N 
(mg L-1)]])</f>
        <v>593.32999999999993</v>
      </c>
      <c r="AA37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5.6919184757867697E-2</v>
      </c>
      <c r="AB37" s="48">
        <f>IF(IFERROR(GSBR8[[#This Row],[NO2-N 
(mg L-1)]]/GSBR8[[#This Row],[NH4-N 
(mg L-1)]],0)&lt;0,0,IFERROR(GSBR8[[#This Row],[NO2-N 
(mg L-1)]]/GSBR8[[#This Row],[NH4-N 
(mg L-1)]],0))</f>
        <v>2.2029982035557207</v>
      </c>
      <c r="AC37" s="48">
        <f>GSBR8[[#This Row],[NO2-N 
(mg L-1)]]/(GSBR8[[#This Row],[NO2-N 
(mg L-1)]]+GSBR8[[#This Row],[NO3-N 
(mg L-1)]])</f>
        <v>0.82340819634174578</v>
      </c>
      <c r="AD37" s="20">
        <f>46/14*GSBR8[[#This Row],[NO2-N 
(mg L-1)]]/(EXP(-2300/(GSBR8[[#This Row],[Temp. 
(°C)]]+273))*10^(GSBR8[[#This Row],[pHreactor]]))</f>
        <v>7.9137958487889001E-2</v>
      </c>
      <c r="AE37" s="19">
        <f>17/14*(GSBR8[[#This Row],[NH4+ (mg L-1)]]*10^GSBR8[[#This Row],[pHreactor]])/(EXP(6344/(273+GSBR8[[#This Row],[Temp. 
(°C)]]))+10^GSBR8[pHreactor])</f>
        <v>5.6343897461421557</v>
      </c>
      <c r="AF37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908.07000000000016</v>
      </c>
      <c r="AG37" s="19">
        <f>IFERROR(IF(Influent[[#This Row],[COD (mg L-1)]]-MEDIA[[#This Row],[COD 
(mg L-1)]]&lt;0,0,Influent[[#This Row],[COD (mg L-1)]]-MEDIA[[#This Row],[COD 
(mg L-1)]]),0)</f>
        <v>0</v>
      </c>
      <c r="AH37" s="4">
        <f>IF(IFERROR(Influent[[#This Row],[Alkalinity (mg CaCO3 L-1) ]]-GSBR8[[#This Row],[Alkalinity 
(mg CaCO3 L-1) ]],0)&lt;0,0,IFERROR(Influent[[#This Row],[Alkalinity (mg CaCO3 L-1) ]]-GSBR8[[#This Row],[Alkalinity 
(mg CaCO3 L-1) ]],0))</f>
        <v>4464</v>
      </c>
      <c r="AI37" s="20">
        <f>Influent[[#This Row],[COD (mg L-1)]]/GSBR8[[#This Row],[HRT 
(h)]]*24/1000</f>
        <v>0.65746484549288264</v>
      </c>
      <c r="AJ37" s="6">
        <f>IFERROR(IF(((GSBR8[[#This Row],[ΔC (mg L-1)]])/GSBR8[[#This Row],[HRT 
(h)]]*24/1000) &lt;0,0, (GSBR8[[#This Row],[ΔC (mg L-1)]])/GSBR8[[#This Row],[HRT 
(h)]]*24/1000),0)</f>
        <v>0</v>
      </c>
      <c r="AK37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0.30857554081089245</v>
      </c>
      <c r="AL37" s="6">
        <f>Influent[[#This Row],[TN (mg L-1)]]/GSBR8[[#This Row],[HRT 
(h)]]*24/1000</f>
        <v>0.34579657162595889</v>
      </c>
      <c r="AM37" s="6">
        <f>GSBR8[[#This Row],[NLR 
(kg N m-3 d-1)]]*GSBR8[[#This Row],[NRE 
(%)]]</f>
        <v>0.20916132932252909</v>
      </c>
      <c r="AN37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0.89248035167177298</v>
      </c>
      <c r="AO37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0.60486814064997341</v>
      </c>
      <c r="AP37" s="6"/>
      <c r="AQ37" s="4"/>
    </row>
    <row r="38" spans="1:43" x14ac:dyDescent="0.3">
      <c r="A38" s="128">
        <v>43364</v>
      </c>
      <c r="B38" s="29">
        <v>35</v>
      </c>
      <c r="C38" s="28">
        <f>Information!$R$54/GSBR8[[#This Row],[HRT 
(h)]]*24</f>
        <v>4.2053360457750835E-2</v>
      </c>
      <c r="D38" s="42">
        <v>114.1407</v>
      </c>
      <c r="E38" s="42">
        <v>27.8776525</v>
      </c>
      <c r="F38" s="42">
        <v>7.6773770624999997</v>
      </c>
      <c r="G38" s="42">
        <v>0.39239406874999999</v>
      </c>
      <c r="H38" s="42">
        <v>5.1887499999999998</v>
      </c>
      <c r="I38" s="42">
        <v>39.564224375000002</v>
      </c>
      <c r="J38" s="41">
        <f>stableGSBR[[#This Row],[MLVSS 
(mg L-1)]]/0.64</f>
        <v>7312.5</v>
      </c>
      <c r="K38" s="27">
        <f>2340*2</f>
        <v>4680</v>
      </c>
      <c r="L38" s="29">
        <v>2070</v>
      </c>
      <c r="M38" s="29">
        <f>GSBR8[[#This Row],[COD 
(mg L-1)]]*Information!$AK$43</f>
        <v>1656</v>
      </c>
      <c r="N38" s="29">
        <v>787</v>
      </c>
      <c r="O38" s="29">
        <v>7.7</v>
      </c>
      <c r="P38" s="29">
        <v>94</v>
      </c>
      <c r="R38" s="29">
        <v>4.59</v>
      </c>
      <c r="S38" s="29">
        <v>483.9</v>
      </c>
      <c r="T38" s="4">
        <f>GSBR8[[#This Row],[NH4-N 
(mg L-1)]]*1.288</f>
        <v>519.69511999999997</v>
      </c>
      <c r="U38" s="20">
        <f>GSBR8[[#This Row],[NO2-N 
(mg L-1)]]*3.284</f>
        <v>1066.6432</v>
      </c>
      <c r="V38" s="6">
        <f>(GSBR8[[#This Row],[NO3-N 
(mg L-1)]])*4.426</f>
        <v>704.17659999999989</v>
      </c>
      <c r="W38" s="29">
        <v>403.49</v>
      </c>
      <c r="X38" s="29">
        <v>324.8</v>
      </c>
      <c r="Y38" s="6">
        <f>IF((GSBR8[[#This Row],[TON 
(mg L-1)]]-GSBR8[[#This Row],[NO2-N 
(mg L-1)]])&lt;0,0.2,(GSBR8[[#This Row],[TON 
(mg L-1)]]-GSBR8[[#This Row],[NO2-N 
(mg L-1)]]))</f>
        <v>159.09999999999997</v>
      </c>
      <c r="Z38" s="4">
        <f>SUM(GSBR8[[#This Row],[NO3-N 
(mg L-1)]],GSBR8[[#This Row],[NO2-N 
(mg L-1)]],GSBR8[[#This Row],[NH4-N 
(mg L-1)]])</f>
        <v>887.39</v>
      </c>
      <c r="AA38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0.18337732391281794</v>
      </c>
      <c r="AB38" s="48">
        <f>IF(IFERROR(GSBR8[[#This Row],[NO2-N 
(mg L-1)]]/GSBR8[[#This Row],[NH4-N 
(mg L-1)]],0)&lt;0,0,IFERROR(GSBR8[[#This Row],[NO2-N 
(mg L-1)]]/GSBR8[[#This Row],[NH4-N 
(mg L-1)]],0))</f>
        <v>0.80497657934521305</v>
      </c>
      <c r="AC38" s="48">
        <f>GSBR8[[#This Row],[NO2-N 
(mg L-1)]]/(GSBR8[[#This Row],[NO2-N 
(mg L-1)]]+GSBR8[[#This Row],[NO3-N 
(mg L-1)]])</f>
        <v>0.67121306054970042</v>
      </c>
      <c r="AD38" s="20">
        <f>46/14*GSBR8[[#This Row],[NO2-N 
(mg L-1)]]/(EXP(-2300/(GSBR8[[#This Row],[Temp. 
(°C)]]+273))*10^(GSBR8[[#This Row],[pHreactor]]))</f>
        <v>4.6854083718716105E-2</v>
      </c>
      <c r="AE38" s="19">
        <f>17/14*(GSBR8[[#This Row],[NH4+ (mg L-1)]]*10^GSBR8[[#This Row],[pHreactor]])/(EXP(6344/(273+GSBR8[[#This Row],[Temp. 
(°C)]]))+10^GSBR8[pHreactor])</f>
        <v>20.239419919317768</v>
      </c>
      <c r="AF38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383.71000000000004</v>
      </c>
      <c r="AG38" s="19">
        <f>IFERROR(IF(Influent[[#This Row],[COD (mg L-1)]]-MEDIA[[#This Row],[COD 
(mg L-1)]]&lt;0,0,Influent[[#This Row],[COD (mg L-1)]]-MEDIA[[#This Row],[COD 
(mg L-1)]]),0)</f>
        <v>825</v>
      </c>
      <c r="AH38" s="4">
        <f>IF(IFERROR(Influent[[#This Row],[Alkalinity (mg CaCO3 L-1) ]]-GSBR8[[#This Row],[Alkalinity 
(mg CaCO3 L-1) ]],0)&lt;0,0,IFERROR(Influent[[#This Row],[Alkalinity (mg CaCO3 L-1) ]]-GSBR8[[#This Row],[Alkalinity 
(mg CaCO3 L-1) ]],0))</f>
        <v>3864</v>
      </c>
      <c r="AI38" s="20">
        <f>Influent[[#This Row],[COD (mg L-1)]]/GSBR8[[#This Row],[HRT 
(h)]]*24/1000</f>
        <v>0.58769571239706786</v>
      </c>
      <c r="AJ38" s="6">
        <f>IFERROR(IF(((GSBR8[[#This Row],[ΔC (mg L-1)]])/GSBR8[[#This Row],[HRT 
(h)]]*24/1000) &lt;0,0, (GSBR8[[#This Row],[ΔC (mg L-1)]])/GSBR8[[#This Row],[HRT 
(h)]]*24/1000),0)</f>
        <v>0.17347011188822217</v>
      </c>
      <c r="AK38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0.18242958033374596</v>
      </c>
      <c r="AL38" s="6">
        <f>Influent[[#This Row],[TN (mg L-1)]]/GSBR8[[#This Row],[HRT 
(h)]]*24/1000</f>
        <v>0.26867765836375629</v>
      </c>
      <c r="AM38" s="6">
        <f>GSBR8[[#This Row],[NLR 
(kg N m-3 d-1)]]*GSBR8[[#This Row],[NRE 
(%)]]</f>
        <v>8.2089000680738752E-2</v>
      </c>
      <c r="AN38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0.68256628117378648</v>
      </c>
      <c r="AO38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0.30552968631876493</v>
      </c>
      <c r="AP38" s="6">
        <v>3.6999999999999998E-2</v>
      </c>
      <c r="AQ38" s="4"/>
    </row>
    <row r="39" spans="1:43" x14ac:dyDescent="0.3">
      <c r="A39" s="128">
        <v>43365</v>
      </c>
      <c r="B39" s="29">
        <v>36</v>
      </c>
      <c r="C39" s="28">
        <f>Information!$R$54/GSBR8[[#This Row],[HRT 
(h)]]*24</f>
        <v>4.3724687505123989E-2</v>
      </c>
      <c r="D39" s="42">
        <v>109.7778</v>
      </c>
      <c r="E39" s="42">
        <v>28.459829375000002</v>
      </c>
      <c r="F39" s="42">
        <v>7.9348155624999999</v>
      </c>
      <c r="G39" s="42">
        <v>0.39877118125</v>
      </c>
      <c r="H39" s="42">
        <v>5.6834110625000003</v>
      </c>
      <c r="I39" s="42">
        <v>21.173488750000001</v>
      </c>
      <c r="J39" s="27"/>
      <c r="K39" s="27"/>
      <c r="L39" s="29">
        <v>2285</v>
      </c>
      <c r="M39" s="29">
        <f>GSBR8[[#This Row],[COD 
(mg L-1)]]*Information!$AK$43</f>
        <v>1828</v>
      </c>
      <c r="N39" s="29">
        <v>840</v>
      </c>
      <c r="O39" s="29">
        <v>7.5</v>
      </c>
      <c r="P39" s="29">
        <v>126</v>
      </c>
      <c r="R39" s="29">
        <v>5.81</v>
      </c>
      <c r="S39" s="29">
        <v>577.9</v>
      </c>
      <c r="T39" s="4">
        <f>GSBR8[[#This Row],[NH4-N 
(mg L-1)]]*1.288</f>
        <v>679.63896</v>
      </c>
      <c r="U39" s="20">
        <f>GSBR8[[#This Row],[NO2-N 
(mg L-1)]]*3.284</f>
        <v>1318.9200799999999</v>
      </c>
      <c r="V39" s="6">
        <f>(GSBR8[[#This Row],[NO3-N 
(mg L-1)]])*4.426</f>
        <v>780.21527999999989</v>
      </c>
      <c r="W39" s="29">
        <v>527.66999999999996</v>
      </c>
      <c r="X39" s="29">
        <v>401.62</v>
      </c>
      <c r="Y39" s="6">
        <f>IF((GSBR8[[#This Row],[TON 
(mg L-1)]]-GSBR8[[#This Row],[NO2-N 
(mg L-1)]])&lt;0,0.2,(GSBR8[[#This Row],[TON 
(mg L-1)]]-GSBR8[[#This Row],[NO2-N 
(mg L-1)]]))</f>
        <v>176.27999999999997</v>
      </c>
      <c r="Z39" s="4">
        <f>SUM(GSBR8[[#This Row],[NO3-N 
(mg L-1)]],GSBR8[[#This Row],[NO2-N 
(mg L-1)]],GSBR8[[#This Row],[NH4-N 
(mg L-1)]])</f>
        <v>1105.57</v>
      </c>
      <c r="AA39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0.24489115485600763</v>
      </c>
      <c r="AB39" s="48">
        <f>IF(IFERROR(GSBR8[[#This Row],[NO2-N 
(mg L-1)]]/GSBR8[[#This Row],[NH4-N 
(mg L-1)]],0)&lt;0,0,IFERROR(GSBR8[[#This Row],[NO2-N 
(mg L-1)]]/GSBR8[[#This Row],[NH4-N 
(mg L-1)]],0))</f>
        <v>0.76111963916841974</v>
      </c>
      <c r="AC39" s="48">
        <f>GSBR8[[#This Row],[NO2-N 
(mg L-1)]]/(GSBR8[[#This Row],[NO2-N 
(mg L-1)]]+GSBR8[[#This Row],[NO3-N 
(mg L-1)]])</f>
        <v>0.69496452673472919</v>
      </c>
      <c r="AD39" s="20">
        <f>46/14*GSBR8[[#This Row],[NO2-N 
(mg L-1)]]/(EXP(-2300/(GSBR8[[#This Row],[Temp. 
(°C)]]+273))*10^(GSBR8[[#This Row],[pHreactor]]))</f>
        <v>3.1557089138050588E-2</v>
      </c>
      <c r="AE39" s="19">
        <f>17/14*(GSBR8[[#This Row],[NH4+ (mg L-1)]]*10^GSBR8[[#This Row],[pHreactor]])/(EXP(6344/(273+GSBR8[[#This Row],[Temp. 
(°C)]]))+10^GSBR8[pHreactor])</f>
        <v>48.496022997254279</v>
      </c>
      <c r="AF39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141.93000000000006</v>
      </c>
      <c r="AG39" s="19">
        <f>IFERROR(IF(Influent[[#This Row],[COD (mg L-1)]]-MEDIA[[#This Row],[COD 
(mg L-1)]]&lt;0,0,Influent[[#This Row],[COD (mg L-1)]]-MEDIA[[#This Row],[COD 
(mg L-1)]]),0)</f>
        <v>1244</v>
      </c>
      <c r="AH39" s="4">
        <f>IF(IFERROR(Influent[[#This Row],[Alkalinity (mg CaCO3 L-1) ]]-GSBR8[[#This Row],[Alkalinity 
(mg CaCO3 L-1) ]],0)&lt;0,0,IFERROR(Influent[[#This Row],[Alkalinity (mg CaCO3 L-1) ]]-GSBR8[[#This Row],[Alkalinity 
(mg CaCO3 L-1) ]],0))</f>
        <v>3680</v>
      </c>
      <c r="AI39" s="20">
        <f>Influent[[#This Row],[COD (mg L-1)]]/GSBR8[[#This Row],[HRT 
(h)]]*24/1000</f>
        <v>0.61214562507173587</v>
      </c>
      <c r="AJ39" s="6">
        <f>IFERROR(IF(((GSBR8[[#This Row],[ΔC (mg L-1)]])/GSBR8[[#This Row],[HRT 
(h)]]*24/1000) &lt;0,0, (GSBR8[[#This Row],[ΔC (mg L-1)]])/GSBR8[[#This Row],[HRT 
(h)]]*24/1000),0)</f>
        <v>0.27196755628187125</v>
      </c>
      <c r="AK39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0.157371709034067</v>
      </c>
      <c r="AL39" s="6">
        <f>Influent[[#This Row],[TN (mg L-1)]]/GSBR8[[#This Row],[HRT 
(h)]]*24/1000</f>
        <v>0.27277646300071601</v>
      </c>
      <c r="AM39" s="6">
        <f>GSBR8[[#This Row],[NLR 
(kg N m-3 d-1)]]*GSBR8[[#This Row],[NRE 
(%)]]</f>
        <v>3.1072949175516385E-2</v>
      </c>
      <c r="AN39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0.5770180360721443</v>
      </c>
      <c r="AO39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0.11391360102588771</v>
      </c>
      <c r="AP39" s="6"/>
      <c r="AQ39" s="4"/>
    </row>
    <row r="40" spans="1:43" x14ac:dyDescent="0.3">
      <c r="A40" s="128">
        <v>43366</v>
      </c>
      <c r="B40" s="29">
        <v>37</v>
      </c>
      <c r="C40" s="28">
        <f>Information!$R$54/GSBR8[[#This Row],[HRT 
(h)]]*24</f>
        <v>3.995930810458017E-2</v>
      </c>
      <c r="D40" s="42">
        <v>120.12220000000001</v>
      </c>
      <c r="E40" s="42">
        <v>27.250819374999999</v>
      </c>
      <c r="F40" s="42">
        <v>7.9841257499999996</v>
      </c>
      <c r="G40" s="42">
        <v>0.40885593749999999</v>
      </c>
      <c r="H40" s="42">
        <v>6.1376695625000002</v>
      </c>
      <c r="I40" s="42">
        <v>7.9762081250000003</v>
      </c>
      <c r="J40" s="27"/>
      <c r="K40" s="27"/>
      <c r="L40" s="29">
        <v>2150</v>
      </c>
      <c r="M40" s="29">
        <f>GSBR8[[#This Row],[COD 
(mg L-1)]]*Information!$AK$43</f>
        <v>1720</v>
      </c>
      <c r="N40" s="29">
        <v>746</v>
      </c>
      <c r="O40" s="29">
        <v>7.9</v>
      </c>
      <c r="P40" s="29">
        <v>102</v>
      </c>
      <c r="R40" s="29">
        <v>6.15</v>
      </c>
      <c r="S40" s="29">
        <v>603.4</v>
      </c>
      <c r="T40" s="4">
        <f>GSBR8[[#This Row],[NH4-N 
(mg L-1)]]*1.288</f>
        <v>557.25319999999999</v>
      </c>
      <c r="U40" s="20">
        <f>GSBR8[[#This Row],[NO2-N 
(mg L-1)]]*3.284</f>
        <v>1275.3742399999999</v>
      </c>
      <c r="V40" s="6">
        <f>(GSBR8[[#This Row],[NO3-N 
(mg L-1)]])*4.426</f>
        <v>951.76703999999984</v>
      </c>
      <c r="W40" s="29">
        <v>432.65</v>
      </c>
      <c r="X40" s="29">
        <v>388.36</v>
      </c>
      <c r="Y40" s="6">
        <f>IF((GSBR8[[#This Row],[TON 
(mg L-1)]]-GSBR8[[#This Row],[NO2-N 
(mg L-1)]])&lt;0,0.2,(GSBR8[[#This Row],[TON 
(mg L-1)]]-GSBR8[[#This Row],[NO2-N 
(mg L-1)]]))</f>
        <v>215.03999999999996</v>
      </c>
      <c r="Z40" s="4">
        <f>SUM(GSBR8[[#This Row],[NO3-N 
(mg L-1)]],GSBR8[[#This Row],[NO2-N 
(mg L-1)]],GSBR8[[#This Row],[NH4-N 
(mg L-1)]])</f>
        <v>1036.05</v>
      </c>
      <c r="AA40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0.20328023821902916</v>
      </c>
      <c r="AB40" s="48">
        <f>IF(IFERROR(GSBR8[[#This Row],[NO2-N 
(mg L-1)]]/GSBR8[[#This Row],[NH4-N 
(mg L-1)]],0)&lt;0,0,IFERROR(GSBR8[[#This Row],[NO2-N 
(mg L-1)]]/GSBR8[[#This Row],[NH4-N 
(mg L-1)]],0))</f>
        <v>0.89763087946376985</v>
      </c>
      <c r="AC40" s="48">
        <f>GSBR8[[#This Row],[NO2-N 
(mg L-1)]]/(GSBR8[[#This Row],[NO2-N 
(mg L-1)]]+GSBR8[[#This Row],[NO3-N 
(mg L-1)]])</f>
        <v>0.64361948955916481</v>
      </c>
      <c r="AD40" s="20">
        <f>46/14*GSBR8[[#This Row],[NO2-N 
(mg L-1)]]/(EXP(-2300/(GSBR8[[#This Row],[Temp. 
(°C)]]+273))*10^(GSBR8[[#This Row],[pHreactor]]))</f>
        <v>2.8089767119419313E-2</v>
      </c>
      <c r="AE40" s="19">
        <f>17/14*(GSBR8[[#This Row],[NH4+ (mg L-1)]]*10^GSBR8[[#This Row],[pHreactor]])/(EXP(6344/(273+GSBR8[[#This Row],[Temp. 
(°C)]]))+10^GSBR8[pHreactor])</f>
        <v>40.854900585417248</v>
      </c>
      <c r="AF40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454.45000000000005</v>
      </c>
      <c r="AG40" s="19">
        <f>IFERROR(IF(Influent[[#This Row],[COD (mg L-1)]]-MEDIA[[#This Row],[COD 
(mg L-1)]]&lt;0,0,Influent[[#This Row],[COD (mg L-1)]]-MEDIA[[#This Row],[COD 
(mg L-1)]]),0)</f>
        <v>890</v>
      </c>
      <c r="AH40" s="4">
        <f>IF(IFERROR(Influent[[#This Row],[Alkalinity (mg CaCO3 L-1) ]]-GSBR8[[#This Row],[Alkalinity 
(mg CaCO3 L-1) ]],0)&lt;0,0,IFERROR(Influent[[#This Row],[Alkalinity (mg CaCO3 L-1) ]]-GSBR8[[#This Row],[Alkalinity 
(mg CaCO3 L-1) ]],0))</f>
        <v>4779</v>
      </c>
      <c r="AI40" s="20">
        <f>Influent[[#This Row],[COD (mg L-1)]]/GSBR8[[#This Row],[HRT 
(h)]]*24/1000</f>
        <v>0.58440488102948496</v>
      </c>
      <c r="AJ40" s="6">
        <f>IFERROR(IF(((GSBR8[[#This Row],[ΔC (mg L-1)]])/GSBR8[[#This Row],[HRT 
(h)]]*24/1000) &lt;0,0, (GSBR8[[#This Row],[ΔC (mg L-1)]])/GSBR8[[#This Row],[HRT 
(h)]]*24/1000),0)</f>
        <v>0.17781892106538175</v>
      </c>
      <c r="AK40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0.21135477039215064</v>
      </c>
      <c r="AL40" s="6">
        <f>Influent[[#This Row],[TN (mg L-1)]]/GSBR8[[#This Row],[HRT 
(h)]]*24/1000</f>
        <v>0.30300943539162611</v>
      </c>
      <c r="AM40" s="6">
        <f>GSBR8[[#This Row],[NLR 
(kg N m-3 d-1)]]*GSBR8[[#This Row],[NRE 
(%)]]</f>
        <v>9.6010229582874737E-2</v>
      </c>
      <c r="AN40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0.7097282791009728</v>
      </c>
      <c r="AO40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0.31685557731489722</v>
      </c>
      <c r="AP40" s="6"/>
      <c r="AQ40" s="4" t="s">
        <v>545</v>
      </c>
    </row>
    <row r="41" spans="1:43" x14ac:dyDescent="0.3">
      <c r="A41" s="128">
        <v>43367</v>
      </c>
      <c r="B41" s="29">
        <v>38</v>
      </c>
      <c r="C41" s="28">
        <f>Information!$R$54/GSBR8[[#This Row],[HRT 
(h)]]*24</f>
        <v>4.0771394789415744E-2</v>
      </c>
      <c r="D41" s="42">
        <v>117.7296</v>
      </c>
      <c r="E41" s="42">
        <v>26.701079374999999</v>
      </c>
      <c r="F41" s="42">
        <v>8.1569081249999993</v>
      </c>
      <c r="G41" s="42">
        <v>0.40811439999999999</v>
      </c>
      <c r="H41" s="42">
        <v>6.5374999999999996</v>
      </c>
      <c r="I41" s="42">
        <v>-1.6517696187499999</v>
      </c>
      <c r="J41" s="29">
        <v>5795</v>
      </c>
      <c r="K41" s="27">
        <v>2260</v>
      </c>
      <c r="L41" s="29">
        <v>2360</v>
      </c>
      <c r="M41" s="29">
        <f>GSBR8[[#This Row],[COD 
(mg L-1)]]*Information!$AK$43</f>
        <v>1888</v>
      </c>
      <c r="N41" s="29">
        <v>889</v>
      </c>
      <c r="O41" s="29">
        <v>7.6</v>
      </c>
      <c r="P41" s="29">
        <v>82</v>
      </c>
      <c r="R41" s="29">
        <v>6.7</v>
      </c>
      <c r="S41" s="29">
        <v>602.1</v>
      </c>
      <c r="T41" s="4">
        <f>GSBR8[[#This Row],[NH4-N 
(mg L-1)]]*1.288</f>
        <v>269.51400000000001</v>
      </c>
      <c r="U41" s="20">
        <f>GSBR8[[#This Row],[NO2-N 
(mg L-1)]]*3.284</f>
        <v>1460.7888799999998</v>
      </c>
      <c r="V41" s="6">
        <f>(GSBR8[[#This Row],[NO3-N 
(mg L-1)]])*4.426</f>
        <v>696.12128000000018</v>
      </c>
      <c r="W41" s="29">
        <v>209.25</v>
      </c>
      <c r="X41" s="29">
        <v>444.82</v>
      </c>
      <c r="Y41" s="6">
        <f>IF((GSBR8[[#This Row],[TON 
(mg L-1)]]-GSBR8[[#This Row],[NO2-N 
(mg L-1)]])&lt;0,0.2,(GSBR8[[#This Row],[TON 
(mg L-1)]]-GSBR8[[#This Row],[NO2-N 
(mg L-1)]]))</f>
        <v>157.28000000000003</v>
      </c>
      <c r="Z41" s="4">
        <f>SUM(GSBR8[[#This Row],[NO3-N 
(mg L-1)]],GSBR8[[#This Row],[NO2-N 
(mg L-1)]],GSBR8[[#This Row],[NH4-N 
(mg L-1)]])</f>
        <v>811.35</v>
      </c>
      <c r="AA41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0.13757270938115027</v>
      </c>
      <c r="AB41" s="48">
        <f>IF(IFERROR(GSBR8[[#This Row],[NO2-N 
(mg L-1)]]/GSBR8[[#This Row],[NH4-N 
(mg L-1)]],0)&lt;0,0,IFERROR(GSBR8[[#This Row],[NO2-N 
(mg L-1)]]/GSBR8[[#This Row],[NH4-N 
(mg L-1)]],0))</f>
        <v>2.1257825567502988</v>
      </c>
      <c r="AC41" s="48">
        <f>GSBR8[[#This Row],[NO2-N 
(mg L-1)]]/(GSBR8[[#This Row],[NO2-N 
(mg L-1)]]+GSBR8[[#This Row],[NO3-N 
(mg L-1)]])</f>
        <v>0.73878093339976747</v>
      </c>
      <c r="AD41" s="20">
        <f>46/14*GSBR8[[#This Row],[NO2-N 
(mg L-1)]]/(EXP(-2300/(GSBR8[[#This Row],[Temp. 
(°C)]]+273))*10^(GSBR8[[#This Row],[pHreactor]]))</f>
        <v>2.1918858100299709E-2</v>
      </c>
      <c r="AE41" s="19">
        <f>17/14*(GSBR8[[#This Row],[NH4+ (mg L-1)]]*10^GSBR8[[#This Row],[pHreactor]])/(EXP(6344/(273+GSBR8[[#This Row],[Temp. 
(°C)]]))+10^GSBR8[pHreactor])</f>
        <v>27.576578363185547</v>
      </c>
      <c r="AF41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541.15</v>
      </c>
      <c r="AG41" s="19">
        <f>IFERROR(IF(Influent[[#This Row],[COD (mg L-1)]]-MEDIA[[#This Row],[COD 
(mg L-1)]]&lt;0,0,Influent[[#This Row],[COD (mg L-1)]]-MEDIA[[#This Row],[COD 
(mg L-1)]]),0)</f>
        <v>595</v>
      </c>
      <c r="AH41" s="4">
        <f>IF(IFERROR(Influent[[#This Row],[Alkalinity (mg CaCO3 L-1) ]]-GSBR8[[#This Row],[Alkalinity 
(mg CaCO3 L-1) ]],0)&lt;0,0,IFERROR(Influent[[#This Row],[Alkalinity (mg CaCO3 L-1) ]]-GSBR8[[#This Row],[Alkalinity 
(mg CaCO3 L-1) ]],0))</f>
        <v>4297</v>
      </c>
      <c r="AI41" s="20">
        <f>Influent[[#This Row],[COD (mg L-1)]]/GSBR8[[#This Row],[HRT 
(h)]]*24/1000</f>
        <v>0.58710808496758671</v>
      </c>
      <c r="AJ41" s="6">
        <f>IFERROR(IF(((GSBR8[[#This Row],[ΔC (mg L-1)]])/GSBR8[[#This Row],[HRT 
(h)]]*24/1000) &lt;0,0, (GSBR8[[#This Row],[ΔC (mg L-1)]])/GSBR8[[#This Row],[HRT 
(h)]]*24/1000),0)</f>
        <v>0.12129489949851184</v>
      </c>
      <c r="AK41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0.23305948546499775</v>
      </c>
      <c r="AL41" s="6">
        <f>Influent[[#This Row],[TN (mg L-1)]]/GSBR8[[#This Row],[HRT 
(h)]]*24/1000</f>
        <v>0.28374770660904308</v>
      </c>
      <c r="AM41" s="6">
        <f>GSBR8[[#This Row],[NLR 
(kg N m-3 d-1)]]*GSBR8[[#This Row],[NRE 
(%)]]</f>
        <v>0.11834835079708074</v>
      </c>
      <c r="AN41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0.84528650646950088</v>
      </c>
      <c r="AO41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0.41709006994775466</v>
      </c>
      <c r="AP41" s="6"/>
      <c r="AQ41" s="4" t="s">
        <v>546</v>
      </c>
    </row>
    <row r="42" spans="1:43" x14ac:dyDescent="0.3">
      <c r="A42" s="128">
        <v>43368</v>
      </c>
      <c r="B42" s="29">
        <v>39</v>
      </c>
      <c r="C42" s="28"/>
      <c r="D42" s="27"/>
      <c r="E42" s="42"/>
      <c r="F42" s="42"/>
      <c r="G42" s="42"/>
      <c r="H42" s="42"/>
      <c r="I42" s="42"/>
      <c r="J42" s="27"/>
      <c r="K42" s="27"/>
      <c r="T42" s="4"/>
      <c r="U42" s="20"/>
      <c r="V42" s="6"/>
      <c r="Y42" s="6"/>
      <c r="Z42" s="4"/>
      <c r="AA42" s="23"/>
      <c r="AB42" s="48"/>
      <c r="AC42" s="48"/>
      <c r="AD42" s="20"/>
      <c r="AE42" s="19"/>
      <c r="AF42" s="129"/>
      <c r="AG42" s="19"/>
      <c r="AH42" s="4"/>
      <c r="AI42" s="20"/>
      <c r="AJ42" s="6"/>
      <c r="AK42" s="6"/>
      <c r="AL42" s="6"/>
      <c r="AM42" s="6"/>
      <c r="AN42" s="26"/>
      <c r="AO42" s="26"/>
      <c r="AP42" s="6"/>
      <c r="AQ42" s="4"/>
    </row>
    <row r="43" spans="1:43" x14ac:dyDescent="0.3">
      <c r="A43" s="128">
        <v>43369</v>
      </c>
      <c r="B43" s="29">
        <v>40</v>
      </c>
      <c r="C43" s="28"/>
      <c r="D43" s="27"/>
      <c r="E43" s="42"/>
      <c r="F43" s="42"/>
      <c r="G43" s="42"/>
      <c r="H43" s="42"/>
      <c r="I43" s="42"/>
      <c r="J43" s="27"/>
      <c r="K43" s="27"/>
      <c r="T43" s="4"/>
      <c r="U43" s="20"/>
      <c r="V43" s="6"/>
      <c r="Y43" s="6"/>
      <c r="Z43" s="4"/>
      <c r="AA43" s="23"/>
      <c r="AB43" s="48"/>
      <c r="AC43" s="48"/>
      <c r="AD43" s="20"/>
      <c r="AE43" s="19"/>
      <c r="AF43" s="129"/>
      <c r="AG43" s="19"/>
      <c r="AH43" s="4"/>
      <c r="AI43" s="20"/>
      <c r="AJ43" s="6"/>
      <c r="AK43" s="6"/>
      <c r="AL43" s="6"/>
      <c r="AM43" s="6"/>
      <c r="AN43" s="26"/>
      <c r="AO43" s="26"/>
      <c r="AP43" s="6"/>
      <c r="AQ43" s="4"/>
    </row>
    <row r="44" spans="1:43" x14ac:dyDescent="0.3">
      <c r="A44" s="128">
        <v>43370</v>
      </c>
      <c r="B44" s="29">
        <v>41</v>
      </c>
      <c r="C44" s="28"/>
      <c r="D44" s="27"/>
      <c r="E44" s="42"/>
      <c r="F44" s="42"/>
      <c r="G44" s="42"/>
      <c r="H44" s="42"/>
      <c r="I44" s="42"/>
      <c r="K44" s="27"/>
      <c r="T44" s="4"/>
      <c r="U44" s="20"/>
      <c r="V44" s="6"/>
      <c r="Y44" s="6"/>
      <c r="Z44" s="4"/>
      <c r="AA44" s="23"/>
      <c r="AB44" s="48"/>
      <c r="AC44" s="48"/>
      <c r="AD44" s="20"/>
      <c r="AE44" s="19"/>
      <c r="AF44" s="129"/>
      <c r="AG44" s="19"/>
      <c r="AH44" s="4"/>
      <c r="AI44" s="20"/>
      <c r="AJ44" s="6"/>
      <c r="AK44" s="6"/>
      <c r="AL44" s="6"/>
      <c r="AM44" s="6"/>
      <c r="AN44" s="26"/>
      <c r="AO44" s="26"/>
      <c r="AP44" s="6"/>
      <c r="AQ44" s="4" t="s">
        <v>549</v>
      </c>
    </row>
    <row r="45" spans="1:43" x14ac:dyDescent="0.3">
      <c r="A45" s="128">
        <v>43371</v>
      </c>
      <c r="B45" s="29">
        <v>42</v>
      </c>
      <c r="C45" s="28"/>
      <c r="D45" s="27"/>
      <c r="E45" s="42"/>
      <c r="F45" s="42"/>
      <c r="G45" s="42"/>
      <c r="H45" s="42"/>
      <c r="I45" s="42"/>
      <c r="J45" s="41"/>
      <c r="K45" s="27"/>
      <c r="T45" s="4"/>
      <c r="U45" s="20"/>
      <c r="V45" s="6"/>
      <c r="W45" s="6"/>
      <c r="Y45" s="6"/>
      <c r="Z45" s="4"/>
      <c r="AA45" s="23"/>
      <c r="AB45" s="48"/>
      <c r="AC45" s="48"/>
      <c r="AD45" s="20"/>
      <c r="AE45" s="19"/>
      <c r="AF45" s="129"/>
      <c r="AG45" s="19"/>
      <c r="AH45" s="4"/>
      <c r="AI45" s="20"/>
      <c r="AJ45" s="6"/>
      <c r="AK45" s="6"/>
      <c r="AL45" s="6"/>
      <c r="AM45" s="6"/>
      <c r="AN45" s="26"/>
      <c r="AO45" s="26"/>
      <c r="AP45" s="6">
        <v>4.2000000000000003E-2</v>
      </c>
      <c r="AQ45" s="4"/>
    </row>
    <row r="46" spans="1:43" x14ac:dyDescent="0.3">
      <c r="A46" s="128">
        <v>43372</v>
      </c>
      <c r="B46" s="29">
        <v>43</v>
      </c>
      <c r="C46" s="28"/>
      <c r="D46" s="27"/>
      <c r="E46" s="42"/>
      <c r="F46" s="42"/>
      <c r="G46" s="42"/>
      <c r="H46" s="42"/>
      <c r="I46" s="42"/>
      <c r="J46" s="27"/>
      <c r="K46" s="27"/>
      <c r="T46" s="4"/>
      <c r="U46" s="20"/>
      <c r="V46" s="6"/>
      <c r="W46" s="6"/>
      <c r="Y46" s="6"/>
      <c r="Z46" s="4"/>
      <c r="AA46" s="23"/>
      <c r="AB46" s="48"/>
      <c r="AC46" s="48"/>
      <c r="AD46" s="20"/>
      <c r="AE46" s="19"/>
      <c r="AF46" s="129"/>
      <c r="AG46" s="19"/>
      <c r="AH46" s="4"/>
      <c r="AI46" s="20"/>
      <c r="AJ46" s="6"/>
      <c r="AK46" s="6"/>
      <c r="AL46" s="6"/>
      <c r="AM46" s="6"/>
      <c r="AN46" s="26"/>
      <c r="AO46" s="26"/>
      <c r="AP46" s="6"/>
      <c r="AQ46" s="4"/>
    </row>
    <row r="47" spans="1:43" x14ac:dyDescent="0.3">
      <c r="A47" s="128">
        <v>43373</v>
      </c>
      <c r="B47" s="29">
        <v>44</v>
      </c>
      <c r="C47" s="28"/>
      <c r="D47" s="27"/>
      <c r="E47" s="42"/>
      <c r="F47" s="42"/>
      <c r="G47" s="42"/>
      <c r="H47" s="42"/>
      <c r="I47" s="42"/>
      <c r="J47" s="27"/>
      <c r="K47" s="27"/>
      <c r="T47" s="4"/>
      <c r="U47" s="20"/>
      <c r="V47" s="6"/>
      <c r="W47" s="6"/>
      <c r="Y47" s="6"/>
      <c r="Z47" s="4"/>
      <c r="AA47" s="23"/>
      <c r="AB47" s="48"/>
      <c r="AC47" s="48"/>
      <c r="AD47" s="20"/>
      <c r="AE47" s="19"/>
      <c r="AF47" s="129"/>
      <c r="AG47" s="19"/>
      <c r="AH47" s="4"/>
      <c r="AI47" s="20"/>
      <c r="AJ47" s="6"/>
      <c r="AK47" s="6"/>
      <c r="AL47" s="6"/>
      <c r="AM47" s="6"/>
      <c r="AN47" s="26"/>
      <c r="AO47" s="26"/>
      <c r="AP47" s="6"/>
      <c r="AQ47" s="4"/>
    </row>
    <row r="48" spans="1:43" x14ac:dyDescent="0.3">
      <c r="A48" s="128">
        <v>43374</v>
      </c>
      <c r="B48" s="29">
        <v>45</v>
      </c>
      <c r="C48" s="28"/>
      <c r="D48" s="27"/>
      <c r="E48" s="42"/>
      <c r="F48" s="42"/>
      <c r="G48" s="42"/>
      <c r="H48" s="42"/>
      <c r="I48" s="42"/>
      <c r="J48" s="27"/>
      <c r="K48" s="27"/>
      <c r="T48" s="4"/>
      <c r="U48" s="20"/>
      <c r="V48" s="6"/>
      <c r="W48" s="6"/>
      <c r="Y48" s="6"/>
      <c r="Z48" s="4"/>
      <c r="AA48" s="23"/>
      <c r="AB48" s="48"/>
      <c r="AC48" s="48"/>
      <c r="AD48" s="20"/>
      <c r="AE48" s="19"/>
      <c r="AF48" s="129"/>
      <c r="AG48" s="19"/>
      <c r="AH48" s="4"/>
      <c r="AI48" s="20"/>
      <c r="AJ48" s="6"/>
      <c r="AK48" s="6"/>
      <c r="AL48" s="6"/>
      <c r="AM48" s="6"/>
      <c r="AN48" s="26"/>
      <c r="AO48" s="26"/>
      <c r="AP48" s="6"/>
      <c r="AQ48" s="4"/>
    </row>
    <row r="49" spans="1:43" x14ac:dyDescent="0.3">
      <c r="A49" s="128">
        <v>43375</v>
      </c>
      <c r="B49" s="29">
        <v>46</v>
      </c>
      <c r="C49" s="28"/>
      <c r="D49" s="27"/>
      <c r="E49" s="42"/>
      <c r="F49" s="42"/>
      <c r="G49" s="42"/>
      <c r="H49" s="42"/>
      <c r="I49" s="42"/>
      <c r="J49" s="27"/>
      <c r="K49" s="27"/>
      <c r="T49" s="4"/>
      <c r="U49" s="20"/>
      <c r="V49" s="6"/>
      <c r="W49" s="6"/>
      <c r="Y49" s="6"/>
      <c r="Z49" s="4"/>
      <c r="AA49" s="23"/>
      <c r="AB49" s="48"/>
      <c r="AC49" s="48"/>
      <c r="AD49" s="20"/>
      <c r="AE49" s="19"/>
      <c r="AF49" s="129"/>
      <c r="AG49" s="19"/>
      <c r="AH49" s="4"/>
      <c r="AI49" s="20"/>
      <c r="AJ49" s="6"/>
      <c r="AK49" s="6"/>
      <c r="AL49" s="6"/>
      <c r="AM49" s="6"/>
      <c r="AN49" s="26"/>
      <c r="AO49" s="26"/>
      <c r="AP49" s="6"/>
      <c r="AQ49" s="4" t="s">
        <v>550</v>
      </c>
    </row>
    <row r="50" spans="1:43" x14ac:dyDescent="0.3">
      <c r="A50" s="128">
        <v>43376</v>
      </c>
      <c r="B50" s="29">
        <v>47</v>
      </c>
      <c r="C50" s="28"/>
      <c r="D50" s="27"/>
      <c r="E50" s="42"/>
      <c r="F50" s="42"/>
      <c r="G50" s="42"/>
      <c r="H50" s="42"/>
      <c r="I50" s="42"/>
      <c r="J50" s="27"/>
      <c r="K50" s="27"/>
      <c r="T50" s="4"/>
      <c r="U50" s="20"/>
      <c r="V50" s="6"/>
      <c r="W50" s="6"/>
      <c r="Y50" s="6"/>
      <c r="Z50" s="4"/>
      <c r="AA50" s="23"/>
      <c r="AB50" s="48"/>
      <c r="AC50" s="48"/>
      <c r="AD50" s="20"/>
      <c r="AE50" s="19"/>
      <c r="AF50" s="129"/>
      <c r="AG50" s="19"/>
      <c r="AH50" s="4"/>
      <c r="AI50" s="20"/>
      <c r="AJ50" s="6"/>
      <c r="AK50" s="6"/>
      <c r="AL50" s="6"/>
      <c r="AM50" s="6"/>
      <c r="AN50" s="26"/>
      <c r="AO50" s="26"/>
      <c r="AP50" s="6"/>
      <c r="AQ50" s="4"/>
    </row>
    <row r="51" spans="1:43" x14ac:dyDescent="0.3">
      <c r="A51" s="128">
        <v>43377</v>
      </c>
      <c r="B51" s="29">
        <v>48</v>
      </c>
      <c r="C51" s="28"/>
      <c r="D51" s="27"/>
      <c r="E51" s="42"/>
      <c r="F51" s="42"/>
      <c r="G51" s="42"/>
      <c r="H51" s="42"/>
      <c r="I51" s="42"/>
      <c r="J51" s="27"/>
      <c r="K51" s="27"/>
      <c r="T51" s="4"/>
      <c r="U51" s="20"/>
      <c r="V51" s="6"/>
      <c r="W51" s="6"/>
      <c r="Y51" s="6"/>
      <c r="Z51" s="4"/>
      <c r="AA51" s="23"/>
      <c r="AB51" s="48"/>
      <c r="AC51" s="48"/>
      <c r="AD51" s="20"/>
      <c r="AE51" s="19"/>
      <c r="AF51" s="129"/>
      <c r="AG51" s="19"/>
      <c r="AH51" s="4"/>
      <c r="AI51" s="20"/>
      <c r="AJ51" s="6"/>
      <c r="AK51" s="6"/>
      <c r="AL51" s="6"/>
      <c r="AM51" s="6"/>
      <c r="AN51" s="26"/>
      <c r="AO51" s="26"/>
      <c r="AP51" s="6"/>
      <c r="AQ51" s="4" t="s">
        <v>553</v>
      </c>
    </row>
    <row r="52" spans="1:43" x14ac:dyDescent="0.3">
      <c r="A52" s="128">
        <v>43378</v>
      </c>
      <c r="B52" s="29">
        <v>49</v>
      </c>
      <c r="C52" s="28"/>
      <c r="D52" s="27"/>
      <c r="E52" s="42"/>
      <c r="F52" s="42"/>
      <c r="G52" s="42"/>
      <c r="H52" s="42"/>
      <c r="I52" s="42"/>
      <c r="J52" s="27"/>
      <c r="K52" s="27"/>
      <c r="T52" s="4"/>
      <c r="U52" s="20"/>
      <c r="V52" s="6"/>
      <c r="W52" s="6"/>
      <c r="Y52" s="6"/>
      <c r="Z52" s="4"/>
      <c r="AA52" s="23"/>
      <c r="AB52" s="48"/>
      <c r="AC52" s="48"/>
      <c r="AD52" s="20"/>
      <c r="AE52" s="19"/>
      <c r="AF52" s="129"/>
      <c r="AG52" s="19"/>
      <c r="AH52" s="4"/>
      <c r="AI52" s="20"/>
      <c r="AJ52" s="6"/>
      <c r="AK52" s="6"/>
      <c r="AL52" s="6"/>
      <c r="AM52" s="6"/>
      <c r="AN52" s="26"/>
      <c r="AO52" s="26"/>
      <c r="AP52" s="6"/>
      <c r="AQ52" s="4"/>
    </row>
    <row r="53" spans="1:43" x14ac:dyDescent="0.3">
      <c r="A53" s="128">
        <v>43379</v>
      </c>
      <c r="B53" s="29">
        <v>50</v>
      </c>
      <c r="C53" s="28"/>
      <c r="D53" s="27"/>
      <c r="E53" s="42"/>
      <c r="F53" s="42"/>
      <c r="G53" s="42"/>
      <c r="H53" s="42"/>
      <c r="I53" s="42"/>
      <c r="J53" s="27"/>
      <c r="K53" s="27"/>
      <c r="T53" s="4"/>
      <c r="U53" s="20"/>
      <c r="V53" s="6"/>
      <c r="W53" s="6"/>
      <c r="Y53" s="6"/>
      <c r="Z53" s="4"/>
      <c r="AA53" s="23"/>
      <c r="AB53" s="48"/>
      <c r="AC53" s="48"/>
      <c r="AD53" s="20"/>
      <c r="AE53" s="19"/>
      <c r="AF53" s="129"/>
      <c r="AG53" s="19"/>
      <c r="AH53" s="4"/>
      <c r="AI53" s="20"/>
      <c r="AJ53" s="6"/>
      <c r="AK53" s="6"/>
      <c r="AL53" s="6"/>
      <c r="AM53" s="6"/>
      <c r="AN53" s="26"/>
      <c r="AO53" s="26"/>
      <c r="AP53" s="6"/>
      <c r="AQ53" s="4"/>
    </row>
    <row r="54" spans="1:43" x14ac:dyDescent="0.3">
      <c r="A54" s="128">
        <v>43380</v>
      </c>
      <c r="B54" s="29">
        <v>51</v>
      </c>
      <c r="C54" s="28"/>
      <c r="D54" s="27"/>
      <c r="E54" s="42"/>
      <c r="F54" s="42"/>
      <c r="G54" s="42"/>
      <c r="H54" s="42"/>
      <c r="I54" s="42"/>
      <c r="J54" s="27"/>
      <c r="K54" s="27"/>
      <c r="T54" s="4"/>
      <c r="U54" s="20"/>
      <c r="V54" s="6"/>
      <c r="W54" s="6"/>
      <c r="Y54" s="6"/>
      <c r="Z54" s="4"/>
      <c r="AA54" s="23"/>
      <c r="AB54" s="48"/>
      <c r="AC54" s="48"/>
      <c r="AD54" s="20"/>
      <c r="AE54" s="19"/>
      <c r="AF54" s="129"/>
      <c r="AG54" s="19"/>
      <c r="AH54" s="4"/>
      <c r="AI54" s="20"/>
      <c r="AJ54" s="6"/>
      <c r="AK54" s="6"/>
      <c r="AL54" s="6"/>
      <c r="AM54" s="6"/>
      <c r="AN54" s="26"/>
      <c r="AO54" s="26"/>
      <c r="AP54" s="6">
        <v>4.5999999999999999E-2</v>
      </c>
      <c r="AQ54" s="4"/>
    </row>
    <row r="55" spans="1:43" x14ac:dyDescent="0.3">
      <c r="A55" s="128">
        <v>43381</v>
      </c>
      <c r="B55" s="29">
        <v>52</v>
      </c>
      <c r="C55" s="28"/>
      <c r="D55" s="27"/>
      <c r="E55" s="42"/>
      <c r="F55" s="42"/>
      <c r="G55" s="42"/>
      <c r="H55" s="42"/>
      <c r="I55" s="42"/>
      <c r="J55" s="27"/>
      <c r="K55" s="27"/>
      <c r="T55" s="4"/>
      <c r="U55" s="20"/>
      <c r="V55" s="6"/>
      <c r="W55" s="6"/>
      <c r="Y55" s="6"/>
      <c r="Z55" s="4"/>
      <c r="AA55" s="23"/>
      <c r="AB55" s="48"/>
      <c r="AC55" s="48"/>
      <c r="AD55" s="20"/>
      <c r="AE55" s="19"/>
      <c r="AF55" s="129"/>
      <c r="AG55" s="19"/>
      <c r="AH55" s="4"/>
      <c r="AI55" s="20"/>
      <c r="AJ55" s="6"/>
      <c r="AK55" s="6"/>
      <c r="AL55" s="6"/>
      <c r="AM55" s="6"/>
      <c r="AN55" s="26"/>
      <c r="AO55" s="26"/>
      <c r="AP55" s="6"/>
      <c r="AQ55" s="4" t="s">
        <v>555</v>
      </c>
    </row>
    <row r="56" spans="1:43" x14ac:dyDescent="0.3">
      <c r="A56" s="128">
        <v>43382</v>
      </c>
      <c r="B56" s="29">
        <v>53</v>
      </c>
      <c r="C56" s="28"/>
      <c r="D56" s="27"/>
      <c r="E56" s="42"/>
      <c r="F56" s="42"/>
      <c r="G56" s="42"/>
      <c r="H56" s="42"/>
      <c r="I56" s="42"/>
      <c r="J56" s="27"/>
      <c r="K56" s="27"/>
      <c r="T56" s="4"/>
      <c r="U56" s="20"/>
      <c r="V56" s="6"/>
      <c r="W56" s="6"/>
      <c r="Y56" s="6"/>
      <c r="Z56" s="4"/>
      <c r="AA56" s="23"/>
      <c r="AB56" s="48"/>
      <c r="AC56" s="48"/>
      <c r="AD56" s="20"/>
      <c r="AE56" s="19"/>
      <c r="AF56" s="129"/>
      <c r="AG56" s="19"/>
      <c r="AH56" s="4"/>
      <c r="AI56" s="20"/>
      <c r="AJ56" s="6"/>
      <c r="AK56" s="6"/>
      <c r="AL56" s="6"/>
      <c r="AM56" s="6"/>
      <c r="AN56" s="26"/>
      <c r="AO56" s="26"/>
      <c r="AP56" s="6"/>
      <c r="AQ56" s="4"/>
    </row>
    <row r="57" spans="1:43" s="127" customFormat="1" x14ac:dyDescent="0.3">
      <c r="A57" s="213">
        <v>43355</v>
      </c>
      <c r="B57" s="127">
        <v>54</v>
      </c>
      <c r="C57" s="214">
        <f>Information!$R$54/GSBR8[[#This Row],[HRT 
(h)]]*24</f>
        <v>0.2706765899712068</v>
      </c>
      <c r="D57" s="215">
        <v>17.733339999999998</v>
      </c>
      <c r="E57" s="215">
        <v>27.316898125000002</v>
      </c>
      <c r="F57" s="215">
        <v>7.6157895624999998</v>
      </c>
      <c r="G57" s="215">
        <v>0.48629238749999998</v>
      </c>
      <c r="H57" s="215">
        <v>4.1222456875000004</v>
      </c>
      <c r="I57" s="215">
        <v>-19.144330624999998</v>
      </c>
      <c r="J57" s="216"/>
      <c r="K57" s="216"/>
      <c r="L57" s="127">
        <v>1585</v>
      </c>
      <c r="M57" s="127">
        <f>GSBR8[[#This Row],[COD 
(mg L-1)]]*Information!$AK$43</f>
        <v>1268</v>
      </c>
      <c r="N57" s="127">
        <v>566</v>
      </c>
      <c r="O57" s="127">
        <v>7.4</v>
      </c>
      <c r="P57" s="127">
        <v>54</v>
      </c>
      <c r="R57" s="127">
        <v>2.04</v>
      </c>
      <c r="S57" s="127">
        <v>403.9</v>
      </c>
      <c r="T57" s="217">
        <f>GSBR8[[#This Row],[NH4-N 
(mg L-1)]]*1.288</f>
        <v>624.47392000000002</v>
      </c>
      <c r="U57" s="218">
        <f>GSBR8[[#This Row],[NO2-N 
(mg L-1)]]*3.284</f>
        <v>965.20044000000007</v>
      </c>
      <c r="V57" s="219">
        <f>(GSBR8[[#This Row],[NO3-N 
(mg L-1)]])*4.426</f>
        <v>486.81573999999978</v>
      </c>
      <c r="W57" s="127">
        <v>484.84</v>
      </c>
      <c r="X57" s="127">
        <v>293.91000000000003</v>
      </c>
      <c r="Y57" s="219">
        <f>IF((GSBR8[[#This Row],[TON 
(mg L-1)]]-GSBR8[[#This Row],[NO2-N 
(mg L-1)]])&lt;0,0.2,(GSBR8[[#This Row],[TON 
(mg L-1)]]-GSBR8[[#This Row],[NO2-N 
(mg L-1)]]))</f>
        <v>109.98999999999995</v>
      </c>
      <c r="Z57" s="217">
        <f>SUM(GSBR8[[#This Row],[NO3-N 
(mg L-1)]],GSBR8[[#This Row],[NO2-N 
(mg L-1)]],GSBR8[[#This Row],[NH4-N 
(mg L-1)]])</f>
        <v>888.74</v>
      </c>
      <c r="AA57" s="220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0.13881316573274766</v>
      </c>
      <c r="AB57" s="221">
        <f>IF(IFERROR(GSBR8[[#This Row],[NO2-N 
(mg L-1)]]/GSBR8[[#This Row],[NH4-N 
(mg L-1)]],0)&lt;0,0,IFERROR(GSBR8[[#This Row],[NO2-N 
(mg L-1)]]/GSBR8[[#This Row],[NH4-N 
(mg L-1)]],0))</f>
        <v>0.60619998349971138</v>
      </c>
      <c r="AC57" s="221">
        <f>GSBR8[[#This Row],[NO2-N 
(mg L-1)]]/(GSBR8[[#This Row],[NO2-N 
(mg L-1)]]+GSBR8[[#This Row],[NO3-N 
(mg L-1)]])</f>
        <v>0.72768011884129746</v>
      </c>
      <c r="AD57" s="218">
        <f>46/14*GSBR8[[#This Row],[NO2-N 
(mg L-1)]]/(EXP(-2300/(GSBR8[[#This Row],[Temp. 
(°C)]]+273))*10^(GSBR8[[#This Row],[pHreactor]]))</f>
        <v>4.9560102777697998E-2</v>
      </c>
      <c r="AE57" s="222">
        <f>17/14*(GSBR8[[#This Row],[NH4+ (mg L-1)]]*10^GSBR8[[#This Row],[pHreactor]])/(EXP(6344/(273+GSBR8[[#This Row],[Temp. 
(°C)]]))+10^GSBR8[pHreactor])</f>
        <v>20.398225633607442</v>
      </c>
      <c r="AF57" s="223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388.46000000000004</v>
      </c>
      <c r="AG57" s="222">
        <f>IFERROR(IF(Influent[[#This Row],[COD (mg L-1)]]-MEDIA[[#This Row],[COD 
(mg L-1)]]&lt;0,0,Influent[[#This Row],[COD (mg L-1)]]-MEDIA[[#This Row],[COD 
(mg L-1)]]),0)</f>
        <v>1363</v>
      </c>
      <c r="AH57" s="217">
        <f>IF(IFERROR(Influent[[#This Row],[Alkalinity (mg CaCO3 L-1) ]]-GSBR8[[#This Row],[Alkalinity 
(mg CaCO3 L-1) ]],0)&lt;0,0,IFERROR(Influent[[#This Row],[Alkalinity (mg CaCO3 L-1) ]]-GSBR8[[#This Row],[Alkalinity 
(mg CaCO3 L-1) ]],0))</f>
        <v>4064</v>
      </c>
      <c r="AI57" s="218">
        <f>Influent[[#This Row],[COD (mg L-1)]]/GSBR8[[#This Row],[HRT 
(h)]]*24/1000</f>
        <v>3.0248108929282362</v>
      </c>
      <c r="AJ57" s="219">
        <f>IFERROR(IF(((GSBR8[[#This Row],[ΔC (mg L-1)]])/GSBR8[[#This Row],[HRT 
(h)]]*24/1000) &lt;0,0, (GSBR8[[#This Row],[ΔC (mg L-1)]])/GSBR8[[#This Row],[HRT 
(h)]]*24/1000),0)</f>
        <v>1.8446609606537745</v>
      </c>
      <c r="AK57" s="219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1.0723665141479273</v>
      </c>
      <c r="AL57" s="219">
        <f>Influent[[#This Row],[TN (mg L-1)]]/GSBR8[[#This Row],[HRT 
(h)]]*24/1000</f>
        <v>1.7305707779809105</v>
      </c>
      <c r="AM57" s="219">
        <f>GSBR8[[#This Row],[NLR 
(kg N m-3 d-1)]]*GSBR8[[#This Row],[NRE 
(%)]]</f>
        <v>0.52776521512585894</v>
      </c>
      <c r="AN57" s="220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0.62038834951456323</v>
      </c>
      <c r="AO57" s="220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0.30496598107452882</v>
      </c>
      <c r="AP57" s="219"/>
      <c r="AQ57" s="217" t="s">
        <v>556</v>
      </c>
    </row>
    <row r="58" spans="1:43" x14ac:dyDescent="0.3">
      <c r="A58" s="128">
        <v>43356</v>
      </c>
      <c r="B58" s="29">
        <v>55</v>
      </c>
      <c r="C58" s="28">
        <f>Information!$R$54/GSBR8[[#This Row],[HRT 
(h)]]*24</f>
        <v>0.25935557703644108</v>
      </c>
      <c r="D58" s="42">
        <v>18.50741</v>
      </c>
      <c r="E58" s="42">
        <v>33.499074374999999</v>
      </c>
      <c r="F58" s="42">
        <v>7.8351973749999999</v>
      </c>
      <c r="G58" s="42">
        <v>0.45743643750000001</v>
      </c>
      <c r="H58" s="42">
        <v>2.446123</v>
      </c>
      <c r="I58" s="42">
        <v>-27.14709375</v>
      </c>
      <c r="J58" s="27">
        <v>4900</v>
      </c>
      <c r="K58" s="27">
        <v>1340</v>
      </c>
      <c r="L58" s="29">
        <v>1006</v>
      </c>
      <c r="M58" s="29">
        <f>GSBR8[[#This Row],[COD 
(mg L-1)]]*Information!$AK$43</f>
        <v>804.80000000000007</v>
      </c>
      <c r="N58" s="29">
        <v>440</v>
      </c>
      <c r="O58" s="29">
        <v>7.5</v>
      </c>
      <c r="P58" s="29">
        <v>44</v>
      </c>
      <c r="R58" s="29">
        <v>1.43</v>
      </c>
      <c r="S58" s="29">
        <v>175.3</v>
      </c>
      <c r="T58" s="4">
        <f>GSBR8[[#This Row],[NH4-N 
(mg L-1)]]*1.288</f>
        <v>208.25672</v>
      </c>
      <c r="U58" s="20">
        <f>GSBR8[[#This Row],[NO2-N 
(mg L-1)]]*3.284</f>
        <v>495.09583999999995</v>
      </c>
      <c r="V58" s="6">
        <f>(GSBR8[[#This Row],[NO3-N 
(mg L-1)]])*4.426</f>
        <v>108.61404000000009</v>
      </c>
      <c r="W58" s="29">
        <v>161.69</v>
      </c>
      <c r="X58" s="29">
        <v>150.76</v>
      </c>
      <c r="Y58" s="6">
        <f>IF((GSBR8[[#This Row],[TON 
(mg L-1)]]-GSBR8[[#This Row],[NO2-N 
(mg L-1)]])&lt;0,0.2,(GSBR8[[#This Row],[TON 
(mg L-1)]]-GSBR8[[#This Row],[NO2-N 
(mg L-1)]]))</f>
        <v>24.54000000000002</v>
      </c>
      <c r="Z58" s="4">
        <f>SUM(GSBR8[[#This Row],[NO3-N 
(mg L-1)]],GSBR8[[#This Row],[NO2-N 
(mg L-1)]],GSBR8[[#This Row],[NH4-N 
(mg L-1)]])</f>
        <v>336.99</v>
      </c>
      <c r="AA58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2.2131835030347869E-2</v>
      </c>
      <c r="AB58" s="48">
        <f>IF(IFERROR(GSBR8[[#This Row],[NO2-N 
(mg L-1)]]/GSBR8[[#This Row],[NH4-N 
(mg L-1)]],0)&lt;0,0,IFERROR(GSBR8[[#This Row],[NO2-N 
(mg L-1)]]/GSBR8[[#This Row],[NH4-N 
(mg L-1)]],0))</f>
        <v>0.93240150906054797</v>
      </c>
      <c r="AC58" s="48">
        <f>GSBR8[[#This Row],[NO2-N 
(mg L-1)]]/(GSBR8[[#This Row],[NO2-N 
(mg L-1)]]+GSBR8[[#This Row],[NO3-N 
(mg L-1)]])</f>
        <v>0.86001140901312023</v>
      </c>
      <c r="AD58" s="20">
        <f>46/14*GSBR8[[#This Row],[NO2-N 
(mg L-1)]]/(EXP(-2300/(GSBR8[[#This Row],[Temp. 
(°C)]]+273))*10^(GSBR8[[#This Row],[pHreactor]]))</f>
        <v>1.3143414091224817E-2</v>
      </c>
      <c r="AE58" s="19">
        <f>17/14*(GSBR8[[#This Row],[NH4+ (mg L-1)]]*10^GSBR8[[#This Row],[pHreactor]])/(EXP(6344/(273+GSBR8[[#This Row],[Temp. 
(°C)]]))+10^GSBR8[pHreactor])</f>
        <v>16.577816071450741</v>
      </c>
      <c r="AF58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933.51</v>
      </c>
      <c r="AG58" s="19">
        <f>IFERROR(IF(Influent[[#This Row],[COD (mg L-1)]]-MEDIA[[#This Row],[COD 
(mg L-1)]]&lt;0,0,Influent[[#This Row],[COD (mg L-1)]]-MEDIA[[#This Row],[COD 
(mg L-1)]]),0)</f>
        <v>1240</v>
      </c>
      <c r="AH58" s="4">
        <f>IF(IFERROR(Influent[[#This Row],[Alkalinity (mg CaCO3 L-1) ]]-GSBR8[[#This Row],[Alkalinity 
(mg CaCO3 L-1) ]],0)&lt;0,0,IFERROR(Influent[[#This Row],[Alkalinity (mg CaCO3 L-1) ]]-GSBR8[[#This Row],[Alkalinity 
(mg CaCO3 L-1) ]],0))</f>
        <v>4158</v>
      </c>
      <c r="AI58" s="20"/>
      <c r="AJ58" s="6"/>
      <c r="AK58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1.4378802868688811</v>
      </c>
      <c r="AL58" s="6">
        <f>Influent[[#This Row],[TN (mg L-1)]]/GSBR8[[#This Row],[HRT 
(h)]]*24/1000</f>
        <v>1.6698543988596999</v>
      </c>
      <c r="AM58" s="6">
        <f>GSBR8[[#This Row],[NLR 
(kg N m-3 d-1)]]*GSBR8[[#This Row],[NRE 
(%)]]</f>
        <v>1.2328532193321484</v>
      </c>
      <c r="AN58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0.87273514364423455</v>
      </c>
      <c r="AO58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0.73829983031696167</v>
      </c>
      <c r="AP58" s="6"/>
      <c r="AQ58" s="4"/>
    </row>
    <row r="59" spans="1:43" x14ac:dyDescent="0.3">
      <c r="A59" s="128">
        <v>43357</v>
      </c>
      <c r="B59" s="29">
        <v>56</v>
      </c>
      <c r="C59" s="28">
        <f>Information!$R$54/GSBR8[[#This Row],[HRT 
(h)]]*24</f>
        <v>0.2564305297641053</v>
      </c>
      <c r="D59" s="42">
        <v>18.718520000000002</v>
      </c>
      <c r="E59" s="42">
        <v>27.716984374999999</v>
      </c>
      <c r="F59" s="42">
        <v>7.7654817500000002</v>
      </c>
      <c r="G59" s="42">
        <v>0.45012712500000002</v>
      </c>
      <c r="H59" s="42">
        <v>3.2358263125</v>
      </c>
      <c r="I59" s="42">
        <v>-7.6753616874999997</v>
      </c>
      <c r="J59" s="27">
        <f>stableGSBR[[#This Row],[MLVSS 
(mg L-1)]]/0.44</f>
        <v>4000</v>
      </c>
      <c r="K59" s="27">
        <f>880*2</f>
        <v>1760</v>
      </c>
      <c r="L59" s="29">
        <v>1550</v>
      </c>
      <c r="M59" s="29">
        <f>GSBR8[[#This Row],[COD 
(mg L-1)]]*Information!$AK$43</f>
        <v>1240</v>
      </c>
      <c r="N59" s="29">
        <v>616</v>
      </c>
      <c r="O59" s="29">
        <v>7.9</v>
      </c>
      <c r="P59" s="29">
        <v>456.7</v>
      </c>
      <c r="R59" s="29">
        <v>0.96</v>
      </c>
      <c r="S59" s="29">
        <v>49</v>
      </c>
      <c r="T59" s="4">
        <f>GSBR8[[#This Row],[NH4-N 
(mg L-1)]]*1.288</f>
        <v>1528.856</v>
      </c>
      <c r="U59" s="20">
        <f>GSBR8[[#This Row],[NO2-N 
(mg L-1)]]*3.284</f>
        <v>89.666335999999987</v>
      </c>
      <c r="V59" s="6">
        <f>(GSBR8[[#This Row],[NO3-N 
(mg L-1)]])*4.426</f>
        <v>96.026496000000009</v>
      </c>
      <c r="W59" s="29">
        <v>1187</v>
      </c>
      <c r="X59" s="29">
        <v>27.303999999999998</v>
      </c>
      <c r="Y59" s="6">
        <f>IF((GSBR8[[#This Row],[TON 
(mg L-1)]]-GSBR8[[#This Row],[NO2-N 
(mg L-1)]])&lt;0,0.2,(GSBR8[[#This Row],[TON 
(mg L-1)]]-GSBR8[[#This Row],[NO2-N 
(mg L-1)]]))</f>
        <v>21.696000000000002</v>
      </c>
      <c r="Z59" s="4">
        <f>SUM(GSBR8[[#This Row],[NO3-N 
(mg L-1)]],GSBR8[[#This Row],[NO2-N 
(mg L-1)]],GSBR8[[#This Row],[NH4-N 
(mg L-1)]])</f>
        <v>1236</v>
      </c>
      <c r="AA59" s="2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0.16831652443754838</v>
      </c>
      <c r="AB59" s="48">
        <f>IF(IFERROR(GSBR8[[#This Row],[NO2-N 
(mg L-1)]]/GSBR8[[#This Row],[NH4-N 
(mg L-1)]],0)&lt;0,0,IFERROR(GSBR8[[#This Row],[NO2-N 
(mg L-1)]]/GSBR8[[#This Row],[NH4-N 
(mg L-1)]],0))</f>
        <v>2.3002527379949452E-2</v>
      </c>
      <c r="AC59" s="48">
        <f>GSBR8[[#This Row],[NO2-N 
(mg L-1)]]/(GSBR8[[#This Row],[NO2-N 
(mg L-1)]]+GSBR8[[#This Row],[NO3-N 
(mg L-1)]])</f>
        <v>0.55722448979591832</v>
      </c>
      <c r="AD59" s="20">
        <f>46/14*GSBR8[[#This Row],[NO2-N 
(mg L-1)]]/(EXP(-2300/(GSBR8[[#This Row],[Temp. 
(°C)]]+273))*10^(GSBR8[[#This Row],[pHreactor]]))</f>
        <v>3.2286931540098304E-3</v>
      </c>
      <c r="AE59" s="19">
        <f>17/14*(GSBR8[[#This Row],[NH4+ (mg L-1)]]*10^GSBR8[[#This Row],[pHreactor]])/(EXP(6344/(273+GSBR8[[#This Row],[Temp. 
(°C)]]))+10^GSBR8[pHreactor])</f>
        <v>71.630257373276663</v>
      </c>
      <c r="AF59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79.900000000000091</v>
      </c>
      <c r="AG59" s="19">
        <f>IFERROR(IF(Influent[[#This Row],[COD (mg L-1)]]-MEDIA[[#This Row],[COD 
(mg L-1)]]&lt;0,0,Influent[[#This Row],[COD (mg L-1)]]-MEDIA[[#This Row],[COD 
(mg L-1)]]),0)</f>
        <v>975</v>
      </c>
      <c r="AH59" s="4">
        <f>IF(IFERROR(Influent[[#This Row],[Alkalinity (mg CaCO3 L-1) ]]-GSBR8[[#This Row],[Alkalinity 
(mg CaCO3 L-1) ]],0)&lt;0,0,IFERROR(Influent[[#This Row],[Alkalinity (mg CaCO3 L-1) ]]-GSBR8[[#This Row],[Alkalinity 
(mg CaCO3 L-1) ]],0))</f>
        <v>4147</v>
      </c>
      <c r="AI59" s="20"/>
      <c r="AJ59" s="6"/>
      <c r="AK59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0.16526947643296594</v>
      </c>
      <c r="AL59" s="6">
        <f>Influent[[#This Row],[TN (mg L-1)]]/GSBR8[[#This Row],[HRT 
(h)]]*24/1000</f>
        <v>1.6874411011126949</v>
      </c>
      <c r="AM59" s="6">
        <f>GSBR8[[#This Row],[NLR 
(kg N m-3 d-1)]]*GSBR8[[#This Row],[NRE 
(%)]]</f>
        <v>0.10270042717052434</v>
      </c>
      <c r="AN59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9.7955771715175985E-2</v>
      </c>
      <c r="AO59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6.0861636653749815E-2</v>
      </c>
      <c r="AP59" s="6">
        <v>8.8999999999999996E-2</v>
      </c>
      <c r="AQ59" s="4"/>
    </row>
    <row r="60" spans="1:43" x14ac:dyDescent="0.3">
      <c r="A60" s="128">
        <v>43383</v>
      </c>
      <c r="B60" s="29">
        <v>57</v>
      </c>
      <c r="C60" s="28">
        <f>Information!$R$54/GSBR8[[#This Row],[HRT 
(h)]]*24</f>
        <v>0.12</v>
      </c>
      <c r="D60" s="27">
        <v>40</v>
      </c>
      <c r="E60" s="42">
        <v>27</v>
      </c>
      <c r="F60" s="42">
        <f>GSBR8[[#This Row],[pHeff]]</f>
        <v>8.9</v>
      </c>
      <c r="G60" s="42"/>
      <c r="H60" s="42"/>
      <c r="I60" s="42"/>
      <c r="J60" s="27"/>
      <c r="K60" s="27"/>
      <c r="L60" s="29">
        <v>2265</v>
      </c>
      <c r="M60" s="29">
        <f>GSBR8[[#This Row],[COD 
(mg L-1)]]*Information!$AK$43</f>
        <v>1812</v>
      </c>
      <c r="N60" s="29">
        <v>4205</v>
      </c>
      <c r="O60" s="29">
        <v>8.9</v>
      </c>
      <c r="P60" s="29">
        <v>156</v>
      </c>
      <c r="R60" s="29">
        <v>8.49</v>
      </c>
      <c r="S60" s="29">
        <v>2.4</v>
      </c>
      <c r="T60" s="4">
        <f>GSBR8[[#This Row],[NH4-N 
(mg L-1)]]*1.288</f>
        <v>1489.3144</v>
      </c>
      <c r="U60" s="20">
        <f>GSBR8[[#This Row],[NO2-N 
(mg L-1)]]*3.284</f>
        <v>5.5630959999999998</v>
      </c>
      <c r="V60" s="6">
        <f>(GSBR8[[#This Row],[NO3-N 
(mg L-1)]])*4.426</f>
        <v>3.1247560000000001</v>
      </c>
      <c r="W60" s="6">
        <v>1156.3</v>
      </c>
      <c r="X60" s="29">
        <v>1.694</v>
      </c>
      <c r="Y60" s="6">
        <f>IF((GSBR8[[#This Row],[TON 
(mg L-1)]]-GSBR8[[#This Row],[NO2-N 
(mg L-1)]])&lt;0,0.2,(GSBR8[[#This Row],[TON 
(mg L-1)]]-GSBR8[[#This Row],[NO2-N 
(mg L-1)]]))</f>
        <v>0.70599999999999996</v>
      </c>
      <c r="Z60" s="4">
        <f>SUM(GSBR8[[#This Row],[NO3-N 
(mg L-1)]],GSBR8[[#This Row],[NO2-N 
(mg L-1)]],GSBR8[[#This Row],[NH4-N 
(mg L-1)]])</f>
        <v>1158.7</v>
      </c>
      <c r="AA60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4.5111821086261982E-3</v>
      </c>
      <c r="AB60" s="48">
        <f>IF(IFERROR(GSBR8[[#This Row],[NO2-N 
(mg L-1)]]/GSBR8[[#This Row],[NH4-N 
(mg L-1)]],0)&lt;0,0,IFERROR(GSBR8[[#This Row],[NO2-N 
(mg L-1)]]/GSBR8[[#This Row],[NH4-N 
(mg L-1)]],0))</f>
        <v>1.4650177289630719E-3</v>
      </c>
      <c r="AC60" s="48">
        <f>GSBR8[[#This Row],[NO2-N 
(mg L-1)]]/(GSBR8[[#This Row],[NO2-N 
(mg L-1)]]+GSBR8[[#This Row],[NO3-N 
(mg L-1)]])</f>
        <v>0.70583333333333331</v>
      </c>
      <c r="AD60" s="20">
        <f>46/14*GSBR8[[#This Row],[NO2-N 
(mg L-1)]]/(EXP(-2300/(GSBR8[[#This Row],[Temp. 
(°C)]]+273))*10^(GSBR8[[#This Row],[pHreactor]]))</f>
        <v>1.4966981778296546E-5</v>
      </c>
      <c r="AE60" s="19">
        <f>17/14*(GSBR8[[#This Row],[NH4+ (mg L-1)]]*10^GSBR8[[#This Row],[pHreactor]])/(EXP(6344/(273+GSBR8[[#This Row],[Temp. 
(°C)]]))+10^GSBR8[pHreactor])</f>
        <v>618.79009100209885</v>
      </c>
      <c r="AF60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154.10000000000014</v>
      </c>
      <c r="AG60" s="19">
        <f>IFERROR(IF(Influent[[#This Row],[COD (mg L-1)]]-MEDIA[[#This Row],[COD 
(mg L-1)]]&lt;0,0,Influent[[#This Row],[COD (mg L-1)]]-MEDIA[[#This Row],[COD 
(mg L-1)]]),0)</f>
        <v>815</v>
      </c>
      <c r="AH60" s="4">
        <f>IF(IFERROR(Influent[[#This Row],[Alkalinity (mg CaCO3 L-1) ]]-GSBR8[[#This Row],[Alkalinity 
(mg CaCO3 L-1) ]],0)&lt;0,0,IFERROR(Influent[[#This Row],[Alkalinity (mg CaCO3 L-1) ]]-GSBR8[[#This Row],[Alkalinity 
(mg CaCO3 L-1) ]],0))</f>
        <v>613</v>
      </c>
      <c r="AI60" s="20">
        <f>Influent[[#This Row],[COD (mg L-1)]]/GSBR8[[#This Row],[HRT 
(h)]]*24/1000</f>
        <v>1.4670000000000001</v>
      </c>
      <c r="AJ60" s="6">
        <f>IFERROR(IF(((GSBR8[[#This Row],[ΔC (mg L-1)]])/GSBR8[[#This Row],[HRT 
(h)]]*24/1000) &lt;0,0, (GSBR8[[#This Row],[ΔC (mg L-1)]])/GSBR8[[#This Row],[HRT 
(h)]]*24/1000),0)</f>
        <v>0.48899999999999999</v>
      </c>
      <c r="AK60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9.3900000000000011E-2</v>
      </c>
      <c r="AL60" s="6">
        <f>Influent[[#This Row],[TN (mg L-1)]]/GSBR8[[#This Row],[HRT 
(h)]]*24/1000</f>
        <v>0.78780000000000006</v>
      </c>
      <c r="AM60" s="6">
        <f>GSBR8[[#This Row],[NLR 
(kg N m-3 d-1)]]*GSBR8[[#This Row],[NRE 
(%)]]</f>
        <v>9.2579999999999982E-2</v>
      </c>
      <c r="AN60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0.11921084704448508</v>
      </c>
      <c r="AO60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0.11751713632901749</v>
      </c>
      <c r="AP60" s="6"/>
      <c r="AQ60" s="4"/>
    </row>
    <row r="61" spans="1:43" x14ac:dyDescent="0.3">
      <c r="A61" s="128">
        <v>43384</v>
      </c>
      <c r="B61" s="29">
        <v>58</v>
      </c>
      <c r="C61" s="28">
        <f>Information!$R$54/GSBR8[[#This Row],[HRT 
(h)]]*24</f>
        <v>0.12</v>
      </c>
      <c r="D61" s="27">
        <v>40</v>
      </c>
      <c r="E61" s="42">
        <v>27</v>
      </c>
      <c r="F61" s="42">
        <f>GSBR8[[#This Row],[pHeff]]</f>
        <v>8.9</v>
      </c>
      <c r="G61" s="42"/>
      <c r="H61" s="42"/>
      <c r="I61" s="42"/>
      <c r="J61" s="27">
        <v>3326.027397260274</v>
      </c>
      <c r="K61" s="27">
        <v>2428</v>
      </c>
      <c r="L61" s="29">
        <v>2190</v>
      </c>
      <c r="M61" s="29">
        <f>GSBR8[[#This Row],[COD 
(mg L-1)]]*Information!$AK$43</f>
        <v>1752</v>
      </c>
      <c r="N61" s="29">
        <v>4112</v>
      </c>
      <c r="O61" s="29">
        <v>8.9</v>
      </c>
      <c r="P61" s="29">
        <v>134</v>
      </c>
      <c r="R61" s="29">
        <v>8.92</v>
      </c>
      <c r="S61" s="29">
        <v>2.1</v>
      </c>
      <c r="T61" s="4">
        <f>GSBR8[[#This Row],[NH4-N 
(mg L-1)]]*1.288</f>
        <v>1526.5376000000001</v>
      </c>
      <c r="U61" s="20">
        <f>GSBR8[[#This Row],[NO2-N 
(mg L-1)]]*3.284</f>
        <v>4.9457040000000001</v>
      </c>
      <c r="V61" s="6">
        <f>(GSBR8[[#This Row],[NO3-N 
(mg L-1)]])*4.426</f>
        <v>2.6290440000000004</v>
      </c>
      <c r="W61" s="6">
        <v>1185.2</v>
      </c>
      <c r="X61" s="29">
        <v>1.506</v>
      </c>
      <c r="Y61" s="6">
        <f>IF((GSBR8[[#This Row],[TON 
(mg L-1)]]-GSBR8[[#This Row],[NO2-N 
(mg L-1)]])&lt;0,0.2,(GSBR8[[#This Row],[TON 
(mg L-1)]]-GSBR8[[#This Row],[NO2-N 
(mg L-1)]]))</f>
        <v>0.59400000000000008</v>
      </c>
      <c r="Z61" s="4">
        <f>SUM(GSBR8[[#This Row],[NO3-N 
(mg L-1)]],GSBR8[[#This Row],[NO2-N 
(mg L-1)]],GSBR8[[#This Row],[NH4-N 
(mg L-1)]])</f>
        <v>1187.3</v>
      </c>
      <c r="AA61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4.218750000000002E-3</v>
      </c>
      <c r="AB61" s="48">
        <f>IF(IFERROR(GSBR8[[#This Row],[NO2-N 
(mg L-1)]]/GSBR8[[#This Row],[NH4-N 
(mg L-1)]],0)&lt;0,0,IFERROR(GSBR8[[#This Row],[NO2-N 
(mg L-1)]]/GSBR8[[#This Row],[NH4-N 
(mg L-1)]],0))</f>
        <v>1.2706716166047923E-3</v>
      </c>
      <c r="AC61" s="48">
        <f>GSBR8[[#This Row],[NO2-N 
(mg L-1)]]/(GSBR8[[#This Row],[NO2-N 
(mg L-1)]]+GSBR8[[#This Row],[NO3-N 
(mg L-1)]])</f>
        <v>0.71714285714285708</v>
      </c>
      <c r="AD61" s="20">
        <f>46/14*GSBR8[[#This Row],[NO2-N 
(mg L-1)]]/(EXP(-2300/(GSBR8[[#This Row],[Temp. 
(°C)]]+273))*10^(GSBR8[[#This Row],[pHreactor]]))</f>
        <v>1.3305947200776032E-5</v>
      </c>
      <c r="AE61" s="19">
        <f>17/14*(GSBR8[[#This Row],[NH4+ (mg L-1)]]*10^GSBR8[[#This Row],[pHreactor]])/(EXP(6344/(273+GSBR8[[#This Row],[Temp. 
(°C)]]))+10^GSBR8[pHreactor])</f>
        <v>634.25582967714922</v>
      </c>
      <c r="AF61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138.69999999999982</v>
      </c>
      <c r="AG61" s="19">
        <f>IFERROR(IF(Influent[[#This Row],[COD (mg L-1)]]-MEDIA[[#This Row],[COD 
(mg L-1)]]&lt;0,0,Influent[[#This Row],[COD (mg L-1)]]-MEDIA[[#This Row],[COD 
(mg L-1)]]),0)</f>
        <v>695</v>
      </c>
      <c r="AH61" s="4">
        <f>IF(IFERROR(Influent[[#This Row],[Alkalinity (mg CaCO3 L-1) ]]-GSBR8[[#This Row],[Alkalinity 
(mg CaCO3 L-1) ]],0)&lt;0,0,IFERROR(Influent[[#This Row],[Alkalinity (mg CaCO3 L-1) ]]-GSBR8[[#This Row],[Alkalinity 
(mg CaCO3 L-1) ]],0))</f>
        <v>666</v>
      </c>
      <c r="AI61" s="20">
        <f>Influent[[#This Row],[COD (mg L-1)]]/GSBR8[[#This Row],[HRT 
(h)]]*24/1000</f>
        <v>1.464</v>
      </c>
      <c r="AJ61" s="6">
        <f>IFERROR(IF(((GSBR8[[#This Row],[ΔC (mg L-1)]])/GSBR8[[#This Row],[HRT 
(h)]]*24/1000) &lt;0,0, (GSBR8[[#This Row],[ΔC (mg L-1)]])/GSBR8[[#This Row],[HRT 
(h)]]*24/1000),0)</f>
        <v>0.41699999999999998</v>
      </c>
      <c r="AK61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8.4479999999999958E-2</v>
      </c>
      <c r="AL61" s="6">
        <f>Influent[[#This Row],[TN (mg L-1)]]/GSBR8[[#This Row],[HRT 
(h)]]*24/1000</f>
        <v>0.80124000000000017</v>
      </c>
      <c r="AM61" s="6">
        <f>GSBR8[[#This Row],[NLR 
(kg N m-3 d-1)]]*GSBR8[[#This Row],[NRE 
(%)]]</f>
        <v>8.8860000000000106E-2</v>
      </c>
      <c r="AN61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0.10618401206636498</v>
      </c>
      <c r="AO61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0.11090310019469832</v>
      </c>
      <c r="AP61" s="6"/>
      <c r="AQ61" s="4"/>
    </row>
    <row r="62" spans="1:43" x14ac:dyDescent="0.3">
      <c r="A62" s="128">
        <v>43385</v>
      </c>
      <c r="B62" s="29">
        <v>59</v>
      </c>
      <c r="C62" s="28"/>
      <c r="D62" s="27"/>
      <c r="E62" s="42"/>
      <c r="F62" s="42"/>
      <c r="G62" s="42"/>
      <c r="H62" s="42"/>
      <c r="I62" s="42"/>
      <c r="J62" s="41"/>
      <c r="K62" s="27"/>
      <c r="T62" s="4"/>
      <c r="U62" s="20"/>
      <c r="V62" s="6"/>
      <c r="W62" s="6"/>
      <c r="Y62" s="6"/>
      <c r="Z62" s="4"/>
      <c r="AA62" s="23"/>
      <c r="AB62" s="48"/>
      <c r="AC62" s="48"/>
      <c r="AD62" s="20"/>
      <c r="AE62" s="19"/>
      <c r="AF62" s="129"/>
      <c r="AG62" s="19"/>
      <c r="AH62" s="4"/>
      <c r="AI62" s="20"/>
      <c r="AJ62" s="6"/>
      <c r="AK62" s="6"/>
      <c r="AL62" s="6"/>
      <c r="AM62" s="6"/>
      <c r="AN62" s="26"/>
      <c r="AO62" s="26"/>
      <c r="AP62" s="6">
        <v>7.2099999999999997E-2</v>
      </c>
      <c r="AQ62" s="4"/>
    </row>
    <row r="63" spans="1:43" x14ac:dyDescent="0.3">
      <c r="A63" s="128">
        <v>43386</v>
      </c>
      <c r="B63" s="29">
        <v>60</v>
      </c>
      <c r="C63" s="28"/>
      <c r="D63" s="27"/>
      <c r="E63" s="42"/>
      <c r="F63" s="42"/>
      <c r="G63" s="42"/>
      <c r="H63" s="42"/>
      <c r="I63" s="42"/>
      <c r="J63" s="27"/>
      <c r="K63" s="27"/>
      <c r="T63" s="4"/>
      <c r="U63" s="20"/>
      <c r="V63" s="6"/>
      <c r="W63" s="6"/>
      <c r="Y63" s="6"/>
      <c r="Z63" s="4"/>
      <c r="AA63" s="23"/>
      <c r="AB63" s="48"/>
      <c r="AC63" s="48"/>
      <c r="AD63" s="20"/>
      <c r="AE63" s="19"/>
      <c r="AF63" s="129"/>
      <c r="AG63" s="19"/>
      <c r="AH63" s="4"/>
      <c r="AI63" s="20"/>
      <c r="AJ63" s="6"/>
      <c r="AK63" s="6"/>
      <c r="AL63" s="6"/>
      <c r="AM63" s="6"/>
      <c r="AN63" s="26"/>
      <c r="AO63" s="26"/>
      <c r="AP63" s="6"/>
      <c r="AQ63" s="4"/>
    </row>
    <row r="64" spans="1:43" x14ac:dyDescent="0.3">
      <c r="A64" s="128">
        <v>43387</v>
      </c>
      <c r="B64" s="29">
        <v>61</v>
      </c>
      <c r="C64" s="28"/>
      <c r="D64" s="27"/>
      <c r="E64" s="42"/>
      <c r="F64" s="42"/>
      <c r="G64" s="42"/>
      <c r="H64" s="42"/>
      <c r="I64" s="42"/>
      <c r="J64" s="27"/>
      <c r="K64" s="27"/>
      <c r="T64" s="4"/>
      <c r="U64" s="20"/>
      <c r="V64" s="6"/>
      <c r="W64" s="6"/>
      <c r="Y64" s="6"/>
      <c r="Z64" s="4"/>
      <c r="AA64" s="23"/>
      <c r="AB64" s="48"/>
      <c r="AC64" s="48"/>
      <c r="AD64" s="20"/>
      <c r="AE64" s="19"/>
      <c r="AF64" s="129"/>
      <c r="AG64" s="19"/>
      <c r="AH64" s="4"/>
      <c r="AI64" s="20"/>
      <c r="AJ64" s="6"/>
      <c r="AK64" s="6"/>
      <c r="AL64" s="6"/>
      <c r="AM64" s="6"/>
      <c r="AN64" s="26"/>
      <c r="AO64" s="26"/>
      <c r="AP64" s="6"/>
      <c r="AQ64" s="4"/>
    </row>
    <row r="65" spans="1:43" x14ac:dyDescent="0.3">
      <c r="A65" s="128">
        <v>43388</v>
      </c>
      <c r="B65" s="29">
        <v>62</v>
      </c>
      <c r="C65" s="28"/>
      <c r="D65" s="27"/>
      <c r="E65" s="42"/>
      <c r="F65" s="42"/>
      <c r="G65" s="42"/>
      <c r="H65" s="42"/>
      <c r="I65" s="42"/>
      <c r="J65" s="27"/>
      <c r="K65" s="27"/>
      <c r="T65" s="4"/>
      <c r="U65" s="20"/>
      <c r="V65" s="6"/>
      <c r="W65" s="6"/>
      <c r="Y65" s="6"/>
      <c r="Z65" s="4"/>
      <c r="AA65" s="23"/>
      <c r="AB65" s="48"/>
      <c r="AC65" s="48"/>
      <c r="AD65" s="20"/>
      <c r="AE65" s="19"/>
      <c r="AF65" s="129"/>
      <c r="AG65" s="19"/>
      <c r="AH65" s="4"/>
      <c r="AI65" s="20"/>
      <c r="AJ65" s="6"/>
      <c r="AK65" s="6"/>
      <c r="AL65" s="6"/>
      <c r="AM65" s="6"/>
      <c r="AN65" s="26"/>
      <c r="AO65" s="26"/>
      <c r="AP65" s="6"/>
      <c r="AQ65" s="4"/>
    </row>
    <row r="66" spans="1:43" x14ac:dyDescent="0.3">
      <c r="A66" s="128">
        <v>43389</v>
      </c>
      <c r="B66" s="29">
        <v>63</v>
      </c>
      <c r="C66" s="28"/>
      <c r="D66" s="27"/>
      <c r="E66" s="42"/>
      <c r="F66" s="42"/>
      <c r="G66" s="42"/>
      <c r="H66" s="42"/>
      <c r="I66" s="42"/>
      <c r="J66" s="27"/>
      <c r="K66" s="27"/>
      <c r="T66" s="4"/>
      <c r="U66" s="20"/>
      <c r="V66" s="6"/>
      <c r="W66" s="6"/>
      <c r="Y66" s="6"/>
      <c r="Z66" s="4"/>
      <c r="AA66" s="23"/>
      <c r="AB66" s="48"/>
      <c r="AC66" s="48"/>
      <c r="AD66" s="20"/>
      <c r="AE66" s="19"/>
      <c r="AF66" s="129"/>
      <c r="AG66" s="19"/>
      <c r="AH66" s="4"/>
      <c r="AI66" s="20"/>
      <c r="AJ66" s="6"/>
      <c r="AK66" s="6"/>
      <c r="AL66" s="6"/>
      <c r="AM66" s="6"/>
      <c r="AN66" s="26"/>
      <c r="AO66" s="26"/>
      <c r="AP66" s="6"/>
      <c r="AQ66" s="4"/>
    </row>
    <row r="67" spans="1:43" x14ac:dyDescent="0.3">
      <c r="A67" s="128">
        <v>43390</v>
      </c>
      <c r="B67" s="29">
        <v>64</v>
      </c>
      <c r="C67" s="28"/>
      <c r="D67" s="27"/>
      <c r="E67" s="42"/>
      <c r="F67" s="42"/>
      <c r="G67" s="42"/>
      <c r="H67" s="42"/>
      <c r="I67" s="42"/>
      <c r="J67" s="27"/>
      <c r="K67" s="27"/>
      <c r="T67" s="4"/>
      <c r="U67" s="20"/>
      <c r="V67" s="6"/>
      <c r="W67" s="6"/>
      <c r="Y67" s="6"/>
      <c r="Z67" s="4"/>
      <c r="AA67" s="23"/>
      <c r="AB67" s="48"/>
      <c r="AC67" s="48"/>
      <c r="AD67" s="20"/>
      <c r="AE67" s="19"/>
      <c r="AF67" s="129"/>
      <c r="AG67" s="19"/>
      <c r="AH67" s="4"/>
      <c r="AI67" s="20"/>
      <c r="AJ67" s="6"/>
      <c r="AK67" s="6"/>
      <c r="AL67" s="6"/>
      <c r="AM67" s="6"/>
      <c r="AN67" s="26"/>
      <c r="AO67" s="26"/>
      <c r="AP67" s="6"/>
      <c r="AQ67" s="4"/>
    </row>
    <row r="68" spans="1:43" x14ac:dyDescent="0.3">
      <c r="A68" s="128">
        <v>43391</v>
      </c>
      <c r="B68" s="29">
        <v>65</v>
      </c>
      <c r="C68" s="28"/>
      <c r="D68" s="27"/>
      <c r="E68" s="42"/>
      <c r="F68" s="42"/>
      <c r="G68" s="42"/>
      <c r="H68" s="42"/>
      <c r="I68" s="42"/>
      <c r="J68" s="27"/>
      <c r="K68" s="27"/>
      <c r="T68" s="4"/>
      <c r="U68" s="20"/>
      <c r="V68" s="6"/>
      <c r="W68" s="6"/>
      <c r="Y68" s="6"/>
      <c r="Z68" s="4"/>
      <c r="AA68" s="23"/>
      <c r="AB68" s="48"/>
      <c r="AC68" s="48"/>
      <c r="AD68" s="20"/>
      <c r="AE68" s="19"/>
      <c r="AF68" s="129"/>
      <c r="AG68" s="19"/>
      <c r="AH68" s="4"/>
      <c r="AI68" s="20"/>
      <c r="AJ68" s="6"/>
      <c r="AK68" s="6"/>
      <c r="AL68" s="6"/>
      <c r="AM68" s="6"/>
      <c r="AN68" s="26"/>
      <c r="AO68" s="26"/>
      <c r="AP68" s="6"/>
      <c r="AQ68" s="4"/>
    </row>
    <row r="69" spans="1:43" x14ac:dyDescent="0.3">
      <c r="A69" s="128">
        <v>43392</v>
      </c>
      <c r="B69" s="29">
        <v>66</v>
      </c>
      <c r="C69" s="28"/>
      <c r="D69" s="27"/>
      <c r="E69" s="42"/>
      <c r="F69" s="42"/>
      <c r="G69" s="42"/>
      <c r="H69" s="42"/>
      <c r="I69" s="42"/>
      <c r="J69" s="27"/>
      <c r="K69" s="27"/>
      <c r="T69" s="4"/>
      <c r="U69" s="20"/>
      <c r="V69" s="6"/>
      <c r="W69" s="6"/>
      <c r="Y69" s="6"/>
      <c r="Z69" s="4"/>
      <c r="AA69" s="23"/>
      <c r="AB69" s="48"/>
      <c r="AC69" s="48"/>
      <c r="AD69" s="20"/>
      <c r="AE69" s="19"/>
      <c r="AF69" s="129"/>
      <c r="AG69" s="19"/>
      <c r="AH69" s="4"/>
      <c r="AI69" s="20"/>
      <c r="AJ69" s="6"/>
      <c r="AK69" s="6"/>
      <c r="AL69" s="6"/>
      <c r="AM69" s="6"/>
      <c r="AN69" s="26"/>
      <c r="AO69" s="26"/>
      <c r="AP69" s="6"/>
      <c r="AQ69" s="4"/>
    </row>
    <row r="70" spans="1:43" x14ac:dyDescent="0.3">
      <c r="A70" s="128">
        <v>43393</v>
      </c>
      <c r="B70" s="29">
        <v>67</v>
      </c>
      <c r="C70" s="28"/>
      <c r="D70" s="27"/>
      <c r="E70" s="42"/>
      <c r="F70" s="42"/>
      <c r="G70" s="42"/>
      <c r="H70" s="42"/>
      <c r="I70" s="42"/>
      <c r="J70" s="27"/>
      <c r="K70" s="27"/>
      <c r="T70" s="4"/>
      <c r="U70" s="20"/>
      <c r="V70" s="6"/>
      <c r="W70" s="6"/>
      <c r="Y70" s="6"/>
      <c r="Z70" s="4"/>
      <c r="AA70" s="23"/>
      <c r="AB70" s="48"/>
      <c r="AC70" s="48"/>
      <c r="AD70" s="20"/>
      <c r="AE70" s="19"/>
      <c r="AF70" s="129"/>
      <c r="AG70" s="19"/>
      <c r="AH70" s="4"/>
      <c r="AI70" s="20"/>
      <c r="AJ70" s="6"/>
      <c r="AK70" s="6"/>
      <c r="AL70" s="6"/>
      <c r="AM70" s="6"/>
      <c r="AN70" s="26"/>
      <c r="AO70" s="26"/>
      <c r="AP70" s="6"/>
      <c r="AQ70" s="4"/>
    </row>
    <row r="71" spans="1:43" x14ac:dyDescent="0.3">
      <c r="A71" s="128">
        <v>43394</v>
      </c>
      <c r="B71" s="29">
        <v>68</v>
      </c>
      <c r="C71" s="28"/>
      <c r="D71" s="27"/>
      <c r="E71" s="42"/>
      <c r="F71" s="42"/>
      <c r="G71" s="42"/>
      <c r="H71" s="42"/>
      <c r="I71" s="42"/>
      <c r="J71" s="27"/>
      <c r="K71" s="27"/>
      <c r="T71" s="4"/>
      <c r="U71" s="20"/>
      <c r="V71" s="6"/>
      <c r="W71" s="6"/>
      <c r="Y71" s="6"/>
      <c r="Z71" s="4"/>
      <c r="AA71" s="23"/>
      <c r="AB71" s="48"/>
      <c r="AC71" s="48"/>
      <c r="AD71" s="20"/>
      <c r="AE71" s="19"/>
      <c r="AF71" s="129"/>
      <c r="AG71" s="19"/>
      <c r="AH71" s="4"/>
      <c r="AI71" s="20"/>
      <c r="AJ71" s="6"/>
      <c r="AK71" s="6"/>
      <c r="AL71" s="6"/>
      <c r="AM71" s="6"/>
      <c r="AN71" s="26"/>
      <c r="AO71" s="26"/>
      <c r="AP71" s="6"/>
      <c r="AQ71" s="4"/>
    </row>
    <row r="72" spans="1:43" x14ac:dyDescent="0.3">
      <c r="A72" s="128">
        <v>43395</v>
      </c>
      <c r="B72" s="29">
        <v>69</v>
      </c>
      <c r="C72" s="28"/>
      <c r="D72" s="27"/>
      <c r="E72" s="42"/>
      <c r="F72" s="42"/>
      <c r="G72" s="42"/>
      <c r="H72" s="42"/>
      <c r="I72" s="42"/>
      <c r="J72" s="27"/>
      <c r="K72" s="27"/>
      <c r="T72" s="4"/>
      <c r="U72" s="20"/>
      <c r="V72" s="6"/>
      <c r="W72" s="6"/>
      <c r="Y72" s="6"/>
      <c r="Z72" s="4"/>
      <c r="AA72" s="23"/>
      <c r="AB72" s="48"/>
      <c r="AC72" s="48"/>
      <c r="AD72" s="20"/>
      <c r="AE72" s="19"/>
      <c r="AF72" s="129"/>
      <c r="AG72" s="19"/>
      <c r="AH72" s="4"/>
      <c r="AI72" s="20"/>
      <c r="AJ72" s="6"/>
      <c r="AK72" s="6"/>
      <c r="AL72" s="6"/>
      <c r="AM72" s="6"/>
      <c r="AN72" s="26"/>
      <c r="AO72" s="26"/>
      <c r="AP72" s="6"/>
      <c r="AQ72" s="4" t="s">
        <v>559</v>
      </c>
    </row>
    <row r="73" spans="1:43" x14ac:dyDescent="0.3">
      <c r="A73" s="128">
        <v>43396</v>
      </c>
      <c r="B73" s="29">
        <v>70</v>
      </c>
      <c r="C73" s="28"/>
      <c r="D73" s="27"/>
      <c r="E73" s="42"/>
      <c r="F73" s="42"/>
      <c r="G73" s="42"/>
      <c r="H73" s="42"/>
      <c r="I73" s="42"/>
      <c r="J73" s="27"/>
      <c r="K73" s="27"/>
      <c r="T73" s="4"/>
      <c r="U73" s="20"/>
      <c r="V73" s="6"/>
      <c r="W73" s="6"/>
      <c r="Y73" s="6"/>
      <c r="Z73" s="4"/>
      <c r="AA73" s="23"/>
      <c r="AB73" s="48"/>
      <c r="AC73" s="48"/>
      <c r="AD73" s="20"/>
      <c r="AE73" s="19"/>
      <c r="AF73" s="129"/>
      <c r="AG73" s="19"/>
      <c r="AH73" s="4"/>
      <c r="AI73" s="20"/>
      <c r="AJ73" s="6"/>
      <c r="AK73" s="6"/>
      <c r="AL73" s="6"/>
      <c r="AM73" s="6"/>
      <c r="AN73" s="26"/>
      <c r="AO73" s="26"/>
      <c r="AP73" s="6"/>
      <c r="AQ73" s="4"/>
    </row>
    <row r="74" spans="1:43" x14ac:dyDescent="0.3">
      <c r="A74" s="128">
        <v>43397</v>
      </c>
      <c r="B74" s="29">
        <v>71</v>
      </c>
      <c r="C74" s="28"/>
      <c r="D74" s="27"/>
      <c r="E74" s="42"/>
      <c r="F74" s="42"/>
      <c r="G74" s="42"/>
      <c r="H74" s="42"/>
      <c r="I74" s="42"/>
      <c r="J74" s="27"/>
      <c r="K74" s="27"/>
      <c r="T74" s="4"/>
      <c r="U74" s="20"/>
      <c r="V74" s="6"/>
      <c r="W74" s="6"/>
      <c r="Y74" s="6"/>
      <c r="Z74" s="4"/>
      <c r="AA74" s="23"/>
      <c r="AB74" s="48"/>
      <c r="AC74" s="48"/>
      <c r="AD74" s="20"/>
      <c r="AE74" s="19"/>
      <c r="AF74" s="129"/>
      <c r="AG74" s="19"/>
      <c r="AH74" s="4"/>
      <c r="AI74" s="20"/>
      <c r="AJ74" s="6"/>
      <c r="AK74" s="6"/>
      <c r="AL74" s="6"/>
      <c r="AM74" s="6"/>
      <c r="AN74" s="26"/>
      <c r="AO74" s="26"/>
      <c r="AP74" s="6"/>
      <c r="AQ74" s="4"/>
    </row>
    <row r="75" spans="1:43" x14ac:dyDescent="0.3">
      <c r="A75" s="128">
        <v>43398</v>
      </c>
      <c r="B75" s="29">
        <v>72</v>
      </c>
      <c r="C75" s="28"/>
      <c r="D75" s="27"/>
      <c r="E75" s="42"/>
      <c r="F75" s="42"/>
      <c r="G75" s="42"/>
      <c r="H75" s="42"/>
      <c r="I75" s="42"/>
      <c r="J75" s="27"/>
      <c r="K75" s="27"/>
      <c r="T75" s="4"/>
      <c r="U75" s="20"/>
      <c r="V75" s="6"/>
      <c r="W75" s="6"/>
      <c r="Y75" s="6"/>
      <c r="Z75" s="4"/>
      <c r="AA75" s="23"/>
      <c r="AB75" s="48"/>
      <c r="AC75" s="48"/>
      <c r="AD75" s="20"/>
      <c r="AE75" s="19"/>
      <c r="AF75" s="129"/>
      <c r="AG75" s="19"/>
      <c r="AH75" s="4"/>
      <c r="AI75" s="20"/>
      <c r="AJ75" s="6"/>
      <c r="AK75" s="6"/>
      <c r="AL75" s="6"/>
      <c r="AM75" s="6"/>
      <c r="AN75" s="26"/>
      <c r="AO75" s="26"/>
      <c r="AP75" s="4"/>
      <c r="AQ75" s="4"/>
    </row>
    <row r="76" spans="1:43" x14ac:dyDescent="0.3">
      <c r="A76" s="128">
        <v>43399</v>
      </c>
      <c r="B76" s="29">
        <v>73</v>
      </c>
      <c r="C76" s="28">
        <f>Information!$R$54/GSBR8[[#This Row],[HRT 
(h)]]*24</f>
        <v>0.24615384615384617</v>
      </c>
      <c r="D76" s="27">
        <v>19.5</v>
      </c>
      <c r="E76" s="42">
        <v>32.299999999999997</v>
      </c>
      <c r="F76" s="42">
        <v>7.4</v>
      </c>
      <c r="G76" s="42">
        <v>0.6</v>
      </c>
      <c r="H76" s="42">
        <v>1.1000000000000001</v>
      </c>
      <c r="I76" s="42">
        <v>-2.2000000000000002</v>
      </c>
      <c r="J76" s="27"/>
      <c r="K76" s="27"/>
      <c r="L76" s="29">
        <v>615</v>
      </c>
      <c r="M76" s="29">
        <f>GSBR8[[#This Row],[COD 
(mg L-1)]]*Information!$AK$43</f>
        <v>492</v>
      </c>
      <c r="N76" s="29">
        <v>253</v>
      </c>
      <c r="O76" s="29">
        <v>7.4</v>
      </c>
      <c r="P76" s="29">
        <v>46</v>
      </c>
      <c r="R76" s="29">
        <v>5.67</v>
      </c>
      <c r="S76" s="29">
        <v>28.2</v>
      </c>
      <c r="T76" s="4">
        <f>GSBR8[[#This Row],[NH4-N 
(mg L-1)]]*1.288</f>
        <v>65.842559999999992</v>
      </c>
      <c r="U76" s="20">
        <f>GSBR8[[#This Row],[NO2-N 
(mg L-1)]]*3.284</f>
        <v>15.638407999999998</v>
      </c>
      <c r="V76" s="6">
        <f>(GSBR8[[#This Row],[NO3-N 
(mg L-1)]])*4.426</f>
        <v>103.736588</v>
      </c>
      <c r="W76" s="6">
        <v>51.12</v>
      </c>
      <c r="X76" s="29">
        <v>4.7619999999999996</v>
      </c>
      <c r="Y76" s="6">
        <f>IF((GSBR8[[#This Row],[TON 
(mg L-1)]]-GSBR8[[#This Row],[NO2-N 
(mg L-1)]])&lt;0,0.2,(GSBR8[[#This Row],[TON 
(mg L-1)]]-GSBR8[[#This Row],[NO2-N 
(mg L-1)]]))</f>
        <v>23.437999999999999</v>
      </c>
      <c r="Z76" s="4">
        <f>SUM(GSBR8[[#This Row],[NO3-N 
(mg L-1)]],GSBR8[[#This Row],[NO2-N 
(mg L-1)]],GSBR8[[#This Row],[NH4-N 
(mg L-1)]])</f>
        <v>79.319999999999993</v>
      </c>
      <c r="AA76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1.9235440877158425E-2</v>
      </c>
      <c r="AB76" s="48">
        <f>IF(IFERROR(GSBR8[[#This Row],[NO2-N 
(mg L-1)]]/GSBR8[[#This Row],[NH4-N 
(mg L-1)]],0)&lt;0,0,IFERROR(GSBR8[[#This Row],[NO2-N 
(mg L-1)]]/GSBR8[[#This Row],[NH4-N 
(mg L-1)]],0))</f>
        <v>9.3153364632237862E-2</v>
      </c>
      <c r="AC76" s="48">
        <f>GSBR8[[#This Row],[NO2-N 
(mg L-1)]]/(GSBR8[[#This Row],[NO2-N 
(mg L-1)]]+GSBR8[[#This Row],[NO3-N 
(mg L-1)]])</f>
        <v>0.16886524822695034</v>
      </c>
      <c r="AD76" s="20">
        <f>46/14*GSBR8[[#This Row],[NO2-N 
(mg L-1)]]/(EXP(-2300/(GSBR8[[#This Row],[Temp. 
(°C)]]+273))*10^(GSBR8[[#This Row],[pHreactor]]))</f>
        <v>1.1646853212233319E-3</v>
      </c>
      <c r="AE76" s="19">
        <f>17/14*(GSBR8[[#This Row],[NH4+ (mg L-1)]]*10^GSBR8[[#This Row],[pHreactor]])/(EXP(6344/(273+GSBR8[[#This Row],[Temp. 
(°C)]]))+10^GSBR8[pHreactor])</f>
        <v>1.854332320814015</v>
      </c>
      <c r="AF76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1190.28</v>
      </c>
      <c r="AG76" s="19">
        <f>IFERROR(IF(Influent[[#This Row],[COD (mg L-1)]]-MEDIA[[#This Row],[COD 
(mg L-1)]]&lt;0,0,Influent[[#This Row],[COD (mg L-1)]]-MEDIA[[#This Row],[COD 
(mg L-1)]]),0)</f>
        <v>1130</v>
      </c>
      <c r="AH76" s="4">
        <f>IF(IFERROR(Influent[[#This Row],[Alkalinity (mg CaCO3 L-1) ]]-GSBR8[[#This Row],[Alkalinity 
(mg CaCO3 L-1) ]],0)&lt;0,0,IFERROR(Influent[[#This Row],[Alkalinity (mg CaCO3 L-1) ]]-GSBR8[[#This Row],[Alkalinity 
(mg CaCO3 L-1) ]],0))</f>
        <v>4348</v>
      </c>
      <c r="AI76" s="20">
        <f>Influent[[#This Row],[COD (mg L-1)]]/GSBR8[[#This Row],[HRT 
(h)]]*24/1000</f>
        <v>1.3907692307692308</v>
      </c>
      <c r="AJ76" s="6">
        <f>IFERROR(IF(((GSBR8[[#This Row],[ΔC (mg L-1)]])/GSBR8[[#This Row],[HRT 
(h)]]*24/1000) &lt;0,0, (GSBR8[[#This Row],[ΔC (mg L-1)]])/GSBR8[[#This Row],[HRT 
(h)]]*24/1000),0)</f>
        <v>1.3907692307692308</v>
      </c>
      <c r="AK76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1.4996676923076924</v>
      </c>
      <c r="AL76" s="6">
        <f>Influent[[#This Row],[TN (mg L-1)]]/GSBR8[[#This Row],[HRT 
(h)]]*24/1000</f>
        <v>1.5809144615384612</v>
      </c>
      <c r="AM76" s="6">
        <f>GSBR8[[#This Row],[NLR 
(kg N m-3 d-1)]]*GSBR8[[#This Row],[NRE 
(%)]]</f>
        <v>1.4832898461538457</v>
      </c>
      <c r="AN76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0.95973534971644625</v>
      </c>
      <c r="AO76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0.93824800913667883</v>
      </c>
      <c r="AP76" s="4"/>
      <c r="AQ76" s="4"/>
    </row>
    <row r="77" spans="1:43" x14ac:dyDescent="0.3">
      <c r="A77" s="128">
        <v>43400</v>
      </c>
      <c r="B77" s="29">
        <v>74</v>
      </c>
      <c r="C77" s="28">
        <f>Information!$R$54/GSBR8[[#This Row],[HRT 
(h)]]*24</f>
        <v>0.23188405797101452</v>
      </c>
      <c r="D77" s="27">
        <v>20.7</v>
      </c>
      <c r="E77" s="42">
        <v>29.2</v>
      </c>
      <c r="F77" s="42">
        <v>7.3</v>
      </c>
      <c r="G77" s="42">
        <v>0.6</v>
      </c>
      <c r="H77" s="42">
        <v>1.2</v>
      </c>
      <c r="I77" s="42">
        <v>17.2</v>
      </c>
      <c r="J77" s="27"/>
      <c r="K77" s="27"/>
      <c r="L77" s="29">
        <v>915</v>
      </c>
      <c r="M77" s="29">
        <f>GSBR8[[#This Row],[COD 
(mg L-1)]]*Information!$AK$43</f>
        <v>732</v>
      </c>
      <c r="N77" s="29">
        <v>272</v>
      </c>
      <c r="O77" s="29">
        <v>7.7</v>
      </c>
      <c r="P77" s="29">
        <v>46</v>
      </c>
      <c r="Q77" s="29">
        <v>13</v>
      </c>
      <c r="R77" s="29">
        <v>4.8899999999999997</v>
      </c>
      <c r="S77" s="29">
        <v>27.7</v>
      </c>
      <c r="T77" s="4">
        <f>GSBR8[[#This Row],[NH4-N 
(mg L-1)]]*1.288</f>
        <v>85.433040000000005</v>
      </c>
      <c r="U77" s="20">
        <f>GSBR8[[#This Row],[NO2-N 
(mg L-1)]]*3.284</f>
        <v>4.4169799999999997</v>
      </c>
      <c r="V77" s="6">
        <f>(GSBR8[[#This Row],[NO3-N 
(mg L-1)]])*4.426</f>
        <v>116.64723000000001</v>
      </c>
      <c r="W77" s="6">
        <v>66.33</v>
      </c>
      <c r="X77" s="29">
        <v>1.345</v>
      </c>
      <c r="Y77" s="6">
        <f>IF((GSBR8[[#This Row],[TON 
(mg L-1)]]-GSBR8[[#This Row],[NO2-N 
(mg L-1)]])&lt;0,0.2,(GSBR8[[#This Row],[TON 
(mg L-1)]]-GSBR8[[#This Row],[NO2-N 
(mg L-1)]]))</f>
        <v>26.355</v>
      </c>
      <c r="Z77" s="4">
        <f>SUM(GSBR8[[#This Row],[NO3-N 
(mg L-1)]],GSBR8[[#This Row],[NO2-N 
(mg L-1)]],GSBR8[[#This Row],[NH4-N 
(mg L-1)]])</f>
        <v>94.03</v>
      </c>
      <c r="AA77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2.3239306215665698E-2</v>
      </c>
      <c r="AB77" s="48">
        <f>IF(IFERROR(GSBR8[[#This Row],[NO2-N 
(mg L-1)]]/GSBR8[[#This Row],[NH4-N 
(mg L-1)]],0)&lt;0,0,IFERROR(GSBR8[[#This Row],[NO2-N 
(mg L-1)]]/GSBR8[[#This Row],[NH4-N 
(mg L-1)]],0))</f>
        <v>2.0277400874415801E-2</v>
      </c>
      <c r="AC77" s="48">
        <f>GSBR8[[#This Row],[NO2-N 
(mg L-1)]]/(GSBR8[[#This Row],[NO2-N 
(mg L-1)]]+GSBR8[[#This Row],[NO3-N 
(mg L-1)]])</f>
        <v>4.8555956678700364E-2</v>
      </c>
      <c r="AD77" s="20">
        <f>46/14*GSBR8[[#This Row],[NO2-N 
(mg L-1)]]/(EXP(-2300/(GSBR8[[#This Row],[Temp. 
(°C)]]+273))*10^(GSBR8[[#This Row],[pHreactor]]))</f>
        <v>4.4740812003689795E-4</v>
      </c>
      <c r="AE77" s="19">
        <f>17/14*(GSBR8[[#This Row],[NH4+ (mg L-1)]]*10^GSBR8[[#This Row],[pHreactor]])/(EXP(6344/(273+GSBR8[[#This Row],[Temp. 
(°C)]]))+10^GSBR8[pHreactor])</f>
        <v>1.5572403856393218</v>
      </c>
      <c r="AF77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1106.3700000000001</v>
      </c>
      <c r="AG77" s="19">
        <f>IFERROR(IF(Influent[[#This Row],[COD (mg L-1)]]-MEDIA[[#This Row],[COD 
(mg L-1)]]&lt;0,0,Influent[[#This Row],[COD (mg L-1)]]-MEDIA[[#This Row],[COD 
(mg L-1)]]),0)</f>
        <v>970</v>
      </c>
      <c r="AH77" s="4">
        <f>IF(IFERROR(Influent[[#This Row],[Alkalinity (mg CaCO3 L-1) ]]-GSBR8[[#This Row],[Alkalinity 
(mg CaCO3 L-1) ]],0)&lt;0,0,IFERROR(Influent[[#This Row],[Alkalinity (mg CaCO3 L-1) ]]-GSBR8[[#This Row],[Alkalinity 
(mg CaCO3 L-1) ]],0))</f>
        <v>4078</v>
      </c>
      <c r="AI77" s="20">
        <f>Influent[[#This Row],[COD (mg L-1)]]/GSBR8[[#This Row],[HRT 
(h)]]*24/1000</f>
        <v>2.5855072463768121</v>
      </c>
      <c r="AJ77" s="6">
        <f>IFERROR(IF(((GSBR8[[#This Row],[ΔC (mg L-1)]])/GSBR8[[#This Row],[HRT 
(h)]]*24/1000) &lt;0,0, (GSBR8[[#This Row],[ΔC (mg L-1)]])/GSBR8[[#This Row],[HRT 
(h)]]*24/1000),0)</f>
        <v>1.1246376811594203</v>
      </c>
      <c r="AK77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1.3148637681159423</v>
      </c>
      <c r="AL77" s="6">
        <f>Influent[[#This Row],[TN (mg L-1)]]/GSBR8[[#This Row],[HRT 
(h)]]*24/1000</f>
        <v>1.3920000000000001</v>
      </c>
      <c r="AM77" s="6">
        <f>GSBR8[[#This Row],[NLR 
(kg N m-3 d-1)]]*GSBR8[[#This Row],[NRE 
(%)]]</f>
        <v>1.2829797101449278</v>
      </c>
      <c r="AN77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0.94474341886037994</v>
      </c>
      <c r="AO77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0.92168082625353998</v>
      </c>
      <c r="AP77" s="4"/>
      <c r="AQ77" s="4"/>
    </row>
    <row r="78" spans="1:43" x14ac:dyDescent="0.3">
      <c r="A78" s="128">
        <v>43401</v>
      </c>
      <c r="B78" s="29">
        <v>75</v>
      </c>
      <c r="C78" s="28"/>
      <c r="D78" s="27"/>
      <c r="E78" s="42"/>
      <c r="F78" s="42"/>
      <c r="G78" s="42"/>
      <c r="H78" s="42"/>
      <c r="I78" s="42"/>
      <c r="J78" s="27"/>
      <c r="K78" s="27"/>
      <c r="T78" s="4"/>
      <c r="U78" s="20"/>
      <c r="V78" s="6"/>
      <c r="W78" s="6"/>
      <c r="Y78" s="6"/>
      <c r="Z78" s="4"/>
      <c r="AA78" s="23"/>
      <c r="AB78" s="48"/>
      <c r="AC78" s="48"/>
      <c r="AD78" s="20"/>
      <c r="AE78" s="19"/>
      <c r="AF78" s="129"/>
      <c r="AG78" s="19"/>
      <c r="AH78" s="4"/>
      <c r="AI78" s="20"/>
      <c r="AJ78" s="6"/>
      <c r="AK78" s="6"/>
      <c r="AL78" s="6"/>
      <c r="AM78" s="6"/>
      <c r="AN78" s="26"/>
      <c r="AO78" s="26"/>
      <c r="AP78" s="4"/>
      <c r="AQ78" s="4"/>
    </row>
    <row r="79" spans="1:43" x14ac:dyDescent="0.3">
      <c r="A79" s="128">
        <v>43402</v>
      </c>
      <c r="B79" s="29">
        <v>76</v>
      </c>
      <c r="C79" s="28"/>
      <c r="D79" s="27"/>
      <c r="E79" s="42"/>
      <c r="F79" s="42"/>
      <c r="G79" s="42"/>
      <c r="H79" s="42"/>
      <c r="I79" s="42"/>
      <c r="J79" s="27"/>
      <c r="K79" s="27"/>
      <c r="T79" s="4"/>
      <c r="U79" s="20"/>
      <c r="V79" s="6"/>
      <c r="W79" s="6"/>
      <c r="Y79" s="6"/>
      <c r="Z79" s="4"/>
      <c r="AA79" s="23"/>
      <c r="AB79" s="48"/>
      <c r="AC79" s="48"/>
      <c r="AD79" s="20"/>
      <c r="AE79" s="19"/>
      <c r="AF79" s="129"/>
      <c r="AG79" s="19"/>
      <c r="AH79" s="4"/>
      <c r="AI79" s="20"/>
      <c r="AJ79" s="6"/>
      <c r="AK79" s="6"/>
      <c r="AL79" s="6"/>
      <c r="AM79" s="6"/>
      <c r="AN79" s="26"/>
      <c r="AO79" s="26"/>
      <c r="AP79" s="4"/>
      <c r="AQ79" s="4"/>
    </row>
    <row r="80" spans="1:43" x14ac:dyDescent="0.3">
      <c r="A80" s="128">
        <v>43403</v>
      </c>
      <c r="B80" s="29">
        <v>77</v>
      </c>
      <c r="C80" s="28"/>
      <c r="D80" s="27"/>
      <c r="E80" s="42"/>
      <c r="F80" s="42"/>
      <c r="G80" s="42"/>
      <c r="H80" s="42"/>
      <c r="I80" s="42"/>
      <c r="J80" s="27">
        <v>3780</v>
      </c>
      <c r="K80" s="27">
        <v>1100</v>
      </c>
      <c r="T80" s="4"/>
      <c r="U80" s="20"/>
      <c r="V80" s="6"/>
      <c r="W80" s="6"/>
      <c r="Y80" s="6"/>
      <c r="Z80" s="4"/>
      <c r="AA80" s="23"/>
      <c r="AB80" s="48"/>
      <c r="AC80" s="48"/>
      <c r="AD80" s="20"/>
      <c r="AE80" s="19"/>
      <c r="AF80" s="129"/>
      <c r="AG80" s="19"/>
      <c r="AH80" s="4"/>
      <c r="AI80" s="20"/>
      <c r="AJ80" s="6"/>
      <c r="AK80" s="6"/>
      <c r="AL80" s="6"/>
      <c r="AM80" s="6"/>
      <c r="AN80" s="26"/>
      <c r="AO80" s="26"/>
      <c r="AP80" s="4"/>
      <c r="AQ80" s="4"/>
    </row>
    <row r="81" spans="1:43" x14ac:dyDescent="0.3">
      <c r="A81" s="128">
        <v>43404</v>
      </c>
      <c r="B81" s="29">
        <v>78</v>
      </c>
      <c r="C81" s="28">
        <f>Information!$R$54/GSBR8[[#This Row],[HRT 
(h)]]*24</f>
        <v>0.10526315789473684</v>
      </c>
      <c r="D81" s="27">
        <v>45.6</v>
      </c>
      <c r="E81" s="42">
        <v>28.1</v>
      </c>
      <c r="F81" s="42">
        <v>7.5</v>
      </c>
      <c r="G81" s="42">
        <v>0.8</v>
      </c>
      <c r="H81" s="42">
        <v>2.8</v>
      </c>
      <c r="I81" s="42">
        <v>11.7</v>
      </c>
      <c r="J81" s="41">
        <f>stableGSBR[[#This Row],[MLVSS 
(mg L-1)]]/0.55</f>
        <v>4672.7272727272721</v>
      </c>
      <c r="K81" s="27">
        <f>1285*2</f>
        <v>2570</v>
      </c>
      <c r="L81" s="29">
        <v>1325</v>
      </c>
      <c r="M81" s="29">
        <f>GSBR8[[#This Row],[COD 
(mg L-1)]]*Information!$AK$43</f>
        <v>1060</v>
      </c>
      <c r="N81" s="29">
        <v>365</v>
      </c>
      <c r="O81" s="29">
        <v>7.5</v>
      </c>
      <c r="P81" s="29">
        <v>60</v>
      </c>
      <c r="R81" s="29">
        <v>6.48</v>
      </c>
      <c r="S81" s="29">
        <v>258.5</v>
      </c>
      <c r="T81" s="4">
        <f>GSBR8[[#This Row],[NH4-N 
(mg L-1)]]*1.288</f>
        <v>344.73319999999995</v>
      </c>
      <c r="U81" s="20">
        <f>GSBR8[[#This Row],[NO2-N 
(mg L-1)]]*3.284</f>
        <v>2.5680879999999999</v>
      </c>
      <c r="V81" s="6">
        <f>(GSBR8[[#This Row],[NO3-N 
(mg L-1)]])*4.426</f>
        <v>1140.6598680000002</v>
      </c>
      <c r="W81" s="6">
        <v>267.64999999999998</v>
      </c>
      <c r="X81" s="29">
        <v>0.78200000000000003</v>
      </c>
      <c r="Y81" s="6">
        <f>IF((GSBR8[[#This Row],[TON 
(mg L-1)]]-GSBR8[[#This Row],[NO2-N 
(mg L-1)]])&lt;0,0.2,(GSBR8[[#This Row],[TON 
(mg L-1)]]-GSBR8[[#This Row],[NO2-N 
(mg L-1)]]))</f>
        <v>257.71800000000002</v>
      </c>
      <c r="Z81" s="4">
        <f>SUM(GSBR8[[#This Row],[NO3-N 
(mg L-1)]],GSBR8[[#This Row],[NO2-N 
(mg L-1)]],GSBR8[[#This Row],[NH4-N 
(mg L-1)]])</f>
        <v>526.15</v>
      </c>
      <c r="AA81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0.25225664366466011</v>
      </c>
      <c r="AB81" s="48">
        <f>IF(IFERROR(GSBR8[[#This Row],[NO2-N 
(mg L-1)]]/GSBR8[[#This Row],[NH4-N 
(mg L-1)]],0)&lt;0,0,IFERROR(GSBR8[[#This Row],[NO2-N 
(mg L-1)]]/GSBR8[[#This Row],[NH4-N 
(mg L-1)]],0))</f>
        <v>2.9217261348776389E-3</v>
      </c>
      <c r="AC81" s="48">
        <f>GSBR8[[#This Row],[NO2-N 
(mg L-1)]]/(GSBR8[[#This Row],[NO2-N 
(mg L-1)]]+GSBR8[[#This Row],[NO3-N 
(mg L-1)]])</f>
        <v>3.0251450676982592E-3</v>
      </c>
      <c r="AD81" s="20">
        <f>46/14*GSBR8[[#This Row],[NO2-N 
(mg L-1)]]/(EXP(-2300/(GSBR8[[#This Row],[Temp. 
(°C)]]+273))*10^(GSBR8[[#This Row],[pHreactor]]))</f>
        <v>1.6875773099686678E-4</v>
      </c>
      <c r="AE81" s="19">
        <f>17/14*(GSBR8[[#This Row],[NH4+ (mg L-1)]]*10^GSBR8[[#This Row],[pHreactor]])/(EXP(6344/(273+GSBR8[[#This Row],[Temp. 
(°C)]]))+10^GSBR8[pHreactor])</f>
        <v>9.1593860264337987</v>
      </c>
      <c r="AF81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763.15</v>
      </c>
      <c r="AG81" s="19">
        <f>IFERROR(IF(Influent[[#This Row],[COD (mg L-1)]]-MEDIA[[#This Row],[COD 
(mg L-1)]]&lt;0,0,Influent[[#This Row],[COD (mg L-1)]]-MEDIA[[#This Row],[COD 
(mg L-1)]]),0)</f>
        <v>0</v>
      </c>
      <c r="AH81" s="4">
        <f>IF(IFERROR(Influent[[#This Row],[Alkalinity (mg CaCO3 L-1) ]]-GSBR8[[#This Row],[Alkalinity 
(mg CaCO3 L-1) ]],0)&lt;0,0,IFERROR(Influent[[#This Row],[Alkalinity (mg CaCO3 L-1) ]]-GSBR8[[#This Row],[Alkalinity 
(mg CaCO3 L-1) ]],0))</f>
        <v>4354</v>
      </c>
      <c r="AI81" s="20">
        <f>Influent[[#This Row],[COD (mg L-1)]]/GSBR8[[#This Row],[HRT 
(h)]]*24/1000</f>
        <v>1.2842105263157897</v>
      </c>
      <c r="AJ81" s="6"/>
      <c r="AK81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0.53771052631578964</v>
      </c>
      <c r="AL81" s="6">
        <f>Influent[[#This Row],[TN (mg L-1)]]/GSBR8[[#This Row],[HRT 
(h)]]*24/1000</f>
        <v>0.67868421052631589</v>
      </c>
      <c r="AM81" s="6">
        <f>GSBR8[[#This Row],[NLR 
(kg N m-3 d-1)]]*GSBR8[[#This Row],[NRE 
(%)]]</f>
        <v>0.40176315789473688</v>
      </c>
      <c r="AN81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0.79240673233537584</v>
      </c>
      <c r="AO81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0.59197363319115937</v>
      </c>
      <c r="AP81" s="4">
        <v>2.5999999999999999E-2</v>
      </c>
      <c r="AQ81" s="4"/>
    </row>
    <row r="82" spans="1:43" x14ac:dyDescent="0.3">
      <c r="A82" s="128">
        <v>43405</v>
      </c>
      <c r="B82" s="29">
        <v>79</v>
      </c>
      <c r="C82" s="28">
        <f>Information!$R$54/GSBR8[[#This Row],[HRT 
(h)]]*24</f>
        <v>0.1090909090909091</v>
      </c>
      <c r="D82" s="27">
        <v>44</v>
      </c>
      <c r="E82" s="42">
        <v>30.4</v>
      </c>
      <c r="F82" s="42">
        <v>7.5</v>
      </c>
      <c r="G82" s="42">
        <v>0.6</v>
      </c>
      <c r="H82" s="42">
        <v>3.1</v>
      </c>
      <c r="I82" s="42">
        <v>8</v>
      </c>
      <c r="J82" s="27"/>
      <c r="K82" s="27"/>
      <c r="L82" s="29">
        <v>1355</v>
      </c>
      <c r="M82" s="29">
        <f>GSBR8[[#This Row],[COD 
(mg L-1)]]*Information!$AK$43</f>
        <v>1084</v>
      </c>
      <c r="N82" s="29">
        <v>379</v>
      </c>
      <c r="O82" s="29">
        <v>7.6</v>
      </c>
      <c r="P82" s="29">
        <v>30</v>
      </c>
      <c r="R82" s="29">
        <v>6.99</v>
      </c>
      <c r="S82" s="29">
        <v>257.3</v>
      </c>
      <c r="T82" s="4">
        <f>GSBR8[[#This Row],[NH4-N 
(mg L-1)]]*1.288</f>
        <v>354.52199999999999</v>
      </c>
      <c r="U82" s="20">
        <f>GSBR8[[#This Row],[NO2-N 
(mg L-1)]]*3.284</f>
        <v>2.604212</v>
      </c>
      <c r="V82" s="6">
        <f>(GSBR8[[#This Row],[NO3-N 
(mg L-1)]])*4.426</f>
        <v>1135.299982</v>
      </c>
      <c r="W82" s="6">
        <v>275.25</v>
      </c>
      <c r="X82" s="29">
        <v>0.79300000000000004</v>
      </c>
      <c r="Y82" s="6">
        <f>IF((GSBR8[[#This Row],[TON 
(mg L-1)]]-GSBR8[[#This Row],[NO2-N 
(mg L-1)]])&lt;0,0.2,(GSBR8[[#This Row],[TON 
(mg L-1)]]-GSBR8[[#This Row],[NO2-N 
(mg L-1)]]))</f>
        <v>256.50700000000001</v>
      </c>
      <c r="Z82" s="4">
        <f>SUM(GSBR8[[#This Row],[NO3-N 
(mg L-1)]],GSBR8[[#This Row],[NO2-N 
(mg L-1)]],GSBR8[[#This Row],[NH4-N 
(mg L-1)]])</f>
        <v>532.54999999999995</v>
      </c>
      <c r="AA82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0.22558791972279388</v>
      </c>
      <c r="AB82" s="48">
        <f>IF(IFERROR(GSBR8[[#This Row],[NO2-N 
(mg L-1)]]/GSBR8[[#This Row],[NH4-N 
(mg L-1)]],0)&lt;0,0,IFERROR(GSBR8[[#This Row],[NO2-N 
(mg L-1)]]/GSBR8[[#This Row],[NH4-N 
(mg L-1)]],0))</f>
        <v>2.8810172570390554E-3</v>
      </c>
      <c r="AC82" s="48">
        <f>GSBR8[[#This Row],[NO2-N 
(mg L-1)]]/(GSBR8[[#This Row],[NO2-N 
(mg L-1)]]+GSBR8[[#This Row],[NO3-N 
(mg L-1)]])</f>
        <v>3.0820054411193161E-3</v>
      </c>
      <c r="AD82" s="20">
        <f>46/14*GSBR8[[#This Row],[NO2-N 
(mg L-1)]]/(EXP(-2300/(GSBR8[[#This Row],[Temp. 
(°C)]]+273))*10^(GSBR8[[#This Row],[pHreactor]]))</f>
        <v>1.6150334479060467E-4</v>
      </c>
      <c r="AE82" s="19">
        <f>17/14*(GSBR8[[#This Row],[NH4+ (mg L-1)]]*10^GSBR8[[#This Row],[pHreactor]])/(EXP(6344/(273+GSBR8[[#This Row],[Temp. 
(°C)]]))+10^GSBR8[pHreactor])</f>
        <v>11.009059174429366</v>
      </c>
      <c r="AF82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879.75999999999988</v>
      </c>
      <c r="AG82" s="19">
        <f>IFERROR(IF(Influent[[#This Row],[COD (mg L-1)]]-MEDIA[[#This Row],[COD 
(mg L-1)]]&lt;0,0,Influent[[#This Row],[COD (mg L-1)]]-MEDIA[[#This Row],[COD 
(mg L-1)]]),0)</f>
        <v>1785</v>
      </c>
      <c r="AH82" s="4">
        <f>IF(IFERROR(Influent[[#This Row],[Alkalinity (mg CaCO3 L-1) ]]-GSBR8[[#This Row],[Alkalinity 
(mg CaCO3 L-1) ]],0)&lt;0,0,IFERROR(Influent[[#This Row],[Alkalinity (mg CaCO3 L-1) ]]-GSBR8[[#This Row],[Alkalinity 
(mg CaCO3 L-1) ]],0))</f>
        <v>4514</v>
      </c>
      <c r="AI82" s="20">
        <f>Influent[[#This Row],[COD (mg L-1)]]/GSBR8[[#This Row],[HRT 
(h)]]*24/1000</f>
        <v>1.6090909090909089</v>
      </c>
      <c r="AJ82" s="6">
        <f>IFERROR(IF(((GSBR8[[#This Row],[ΔC (mg L-1)]])/GSBR8[[#This Row],[HRT 
(h)]]*24/1000) &lt;0,0, (GSBR8[[#This Row],[ΔC (mg L-1)]])/GSBR8[[#This Row],[HRT 
(h)]]*24/1000),0)</f>
        <v>0.97363636363636374</v>
      </c>
      <c r="AK82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0.62021454545454535</v>
      </c>
      <c r="AL82" s="6">
        <f>Influent[[#This Row],[TN (mg L-1)]]/GSBR8[[#This Row],[HRT 
(h)]]*24/1000</f>
        <v>0.77046000000000003</v>
      </c>
      <c r="AM82" s="6">
        <f>GSBR8[[#This Row],[NLR 
(kg N m-3 d-1)]]*GSBR8[[#This Row],[NRE 
(%)]]</f>
        <v>0.4799781818181818</v>
      </c>
      <c r="AN82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0.80510652760371304</v>
      </c>
      <c r="AO82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0.62297612052304052</v>
      </c>
      <c r="AP82" s="4"/>
      <c r="AQ82" s="4"/>
    </row>
    <row r="83" spans="1:43" x14ac:dyDescent="0.3">
      <c r="A83" s="128">
        <v>43406</v>
      </c>
      <c r="B83" s="29">
        <v>80</v>
      </c>
      <c r="C83" s="28">
        <f>Information!$R$54/GSBR8[[#This Row],[HRT 
(h)]]*24</f>
        <v>9.9173553719008267E-2</v>
      </c>
      <c r="D83" s="27">
        <v>48.4</v>
      </c>
      <c r="E83" s="42">
        <v>28.9</v>
      </c>
      <c r="F83" s="42">
        <v>7.5</v>
      </c>
      <c r="G83" s="42">
        <v>0.6</v>
      </c>
      <c r="H83" s="42">
        <v>2.9</v>
      </c>
      <c r="I83" s="42">
        <v>12.6</v>
      </c>
      <c r="J83" s="27"/>
      <c r="K83" s="27"/>
      <c r="L83" s="29">
        <v>1370</v>
      </c>
      <c r="M83" s="29">
        <f>GSBR8[[#This Row],[COD 
(mg L-1)]]*Information!$AK$43</f>
        <v>1096</v>
      </c>
      <c r="N83" s="29">
        <v>377</v>
      </c>
      <c r="O83" s="29">
        <v>7.6</v>
      </c>
      <c r="P83" s="29">
        <v>30</v>
      </c>
      <c r="R83" s="29">
        <v>7.07</v>
      </c>
      <c r="S83" s="29">
        <v>247</v>
      </c>
      <c r="T83" s="4">
        <f>GSBR8[[#This Row],[NH4-N 
(mg L-1)]]*1.288</f>
        <v>347.05160000000001</v>
      </c>
      <c r="U83" s="20">
        <f>GSBR8[[#This Row],[NO2-N 
(mg L-1)]]*3.284</f>
        <v>2.7487079999999997</v>
      </c>
      <c r="V83" s="6">
        <f>(GSBR8[[#This Row],[NO3-N 
(mg L-1)]])*4.426</f>
        <v>1089.5174380000001</v>
      </c>
      <c r="W83" s="6">
        <v>269.45</v>
      </c>
      <c r="X83" s="29">
        <v>0.83699999999999997</v>
      </c>
      <c r="Y83" s="6">
        <f>IF((GSBR8[[#This Row],[TON 
(mg L-1)]]-GSBR8[[#This Row],[NO2-N 
(mg L-1)]])&lt;0,0.2,(GSBR8[[#This Row],[TON 
(mg L-1)]]-GSBR8[[#This Row],[NO2-N 
(mg L-1)]]))</f>
        <v>246.16300000000001</v>
      </c>
      <c r="Z83" s="4">
        <f>SUM(GSBR8[[#This Row],[NO3-N 
(mg L-1)]],GSBR8[[#This Row],[NO2-N 
(mg L-1)]],GSBR8[[#This Row],[NH4-N 
(mg L-1)]])</f>
        <v>516.45000000000005</v>
      </c>
      <c r="AA83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0.20981291284892395</v>
      </c>
      <c r="AB83" s="48">
        <f>IF(IFERROR(GSBR8[[#This Row],[NO2-N 
(mg L-1)]]/GSBR8[[#This Row],[NH4-N 
(mg L-1)]],0)&lt;0,0,IFERROR(GSBR8[[#This Row],[NO2-N 
(mg L-1)]]/GSBR8[[#This Row],[NH4-N 
(mg L-1)]],0))</f>
        <v>3.1063277045834106E-3</v>
      </c>
      <c r="AC83" s="48">
        <f>GSBR8[[#This Row],[NO2-N 
(mg L-1)]]/(GSBR8[[#This Row],[NO2-N 
(mg L-1)]]+GSBR8[[#This Row],[NO3-N 
(mg L-1)]])</f>
        <v>3.3886639676113358E-3</v>
      </c>
      <c r="AD83" s="20">
        <f>46/14*GSBR8[[#This Row],[NO2-N 
(mg L-1)]]/(EXP(-2300/(GSBR8[[#This Row],[Temp. 
(°C)]]+273))*10^(GSBR8[[#This Row],[pHreactor]]))</f>
        <v>1.7700746612116594E-4</v>
      </c>
      <c r="AE83" s="19">
        <f>17/14*(GSBR8[[#This Row],[NH4+ (mg L-1)]]*10^GSBR8[[#This Row],[pHreactor]])/(EXP(6344/(273+GSBR8[[#This Row],[Temp. 
(°C)]]))+10^GSBR8[pHreactor])</f>
        <v>9.7382140890220992</v>
      </c>
      <c r="AF83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926.25</v>
      </c>
      <c r="AG83" s="19">
        <f>IFERROR(IF(Influent[[#This Row],[COD (mg L-1)]]-MEDIA[[#This Row],[COD 
(mg L-1)]]&lt;0,0,Influent[[#This Row],[COD (mg L-1)]]-MEDIA[[#This Row],[COD 
(mg L-1)]]),0)</f>
        <v>1665</v>
      </c>
      <c r="AH83" s="4">
        <f>IF(IFERROR(Influent[[#This Row],[Alkalinity (mg CaCO3 L-1) ]]-GSBR8[[#This Row],[Alkalinity 
(mg CaCO3 L-1) ]],0)&lt;0,0,IFERROR(Influent[[#This Row],[Alkalinity (mg CaCO3 L-1) ]]-GSBR8[[#This Row],[Alkalinity 
(mg CaCO3 L-1) ]],0))</f>
        <v>4476</v>
      </c>
      <c r="AI83" s="20">
        <f>Influent[[#This Row],[COD (mg L-1)]]/GSBR8[[#This Row],[HRT 
(h)]]*24/1000</f>
        <v>1.4652892561983473</v>
      </c>
      <c r="AJ83" s="6">
        <f>IFERROR(IF(((GSBR8[[#This Row],[ΔC (mg L-1)]])/GSBR8[[#This Row],[HRT 
(h)]]*24/1000) &lt;0,0, (GSBR8[[#This Row],[ΔC (mg L-1)]])/GSBR8[[#This Row],[HRT 
(h)]]*24/1000),0)</f>
        <v>0.82561983471074385</v>
      </c>
      <c r="AK83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0.58177685950413227</v>
      </c>
      <c r="AL83" s="6">
        <f>Influent[[#This Row],[TN (mg L-1)]]/GSBR8[[#This Row],[HRT 
(h)]]*24/1000</f>
        <v>0.7154876033057852</v>
      </c>
      <c r="AM83" s="6">
        <f>GSBR8[[#This Row],[NLR 
(kg N m-3 d-1)]]*GSBR8[[#This Row],[NRE 
(%)]]</f>
        <v>0.45939669421487611</v>
      </c>
      <c r="AN83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0.81323213419283291</v>
      </c>
      <c r="AO83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0.64207498787164741</v>
      </c>
      <c r="AP83" s="4"/>
      <c r="AQ83" s="4"/>
    </row>
    <row r="84" spans="1:43" x14ac:dyDescent="0.3">
      <c r="A84" s="128">
        <v>43407</v>
      </c>
      <c r="B84" s="29">
        <v>81</v>
      </c>
      <c r="C84" s="28">
        <f>Information!$R$54/GSBR8[[#This Row],[HRT 
(h)]]*24</f>
        <v>9.9378881987577647E-2</v>
      </c>
      <c r="D84" s="27">
        <v>48.3</v>
      </c>
      <c r="E84" s="42">
        <v>29.2</v>
      </c>
      <c r="F84" s="42">
        <v>7.5</v>
      </c>
      <c r="G84" s="42">
        <v>0.5</v>
      </c>
      <c r="H84" s="42">
        <v>2.5</v>
      </c>
      <c r="I84" s="42">
        <v>11.7</v>
      </c>
      <c r="J84" s="27"/>
      <c r="K84" s="27"/>
      <c r="L84" s="29">
        <v>1380</v>
      </c>
      <c r="M84" s="29">
        <f>GSBR8[[#This Row],[COD 
(mg L-1)]]*Information!$AK$43</f>
        <v>1104</v>
      </c>
      <c r="N84" s="29">
        <v>373</v>
      </c>
      <c r="O84" s="29">
        <v>7.6</v>
      </c>
      <c r="P84" s="29">
        <v>39</v>
      </c>
      <c r="R84" s="29">
        <v>7.14</v>
      </c>
      <c r="S84" s="29">
        <v>234.9</v>
      </c>
      <c r="T84" s="4">
        <f>GSBR8[[#This Row],[NH4-N 
(mg L-1)]]*1.288</f>
        <v>340.56008000000003</v>
      </c>
      <c r="U84" s="20">
        <f>GSBR8[[#This Row],[NO2-N 
(mg L-1)]]*3.284</f>
        <v>2.945748</v>
      </c>
      <c r="V84" s="6">
        <f>(GSBR8[[#This Row],[NO3-N 
(mg L-1)]])*4.426</f>
        <v>1035.6972780000001</v>
      </c>
      <c r="W84" s="6">
        <v>264.41000000000003</v>
      </c>
      <c r="X84" s="29">
        <v>0.89700000000000002</v>
      </c>
      <c r="Y84" s="6">
        <f>IF((GSBR8[[#This Row],[TON 
(mg L-1)]]-GSBR8[[#This Row],[NO2-N 
(mg L-1)]])&lt;0,0.2,(GSBR8[[#This Row],[TON 
(mg L-1)]]-GSBR8[[#This Row],[NO2-N 
(mg L-1)]]))</f>
        <v>234.00300000000001</v>
      </c>
      <c r="Z84" s="4">
        <f>SUM(GSBR8[[#This Row],[NO3-N 
(mg L-1)]],GSBR8[[#This Row],[NO2-N 
(mg L-1)]],GSBR8[[#This Row],[NH4-N 
(mg L-1)]])</f>
        <v>499.31000000000006</v>
      </c>
      <c r="AA84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0.20478257445151357</v>
      </c>
      <c r="AB84" s="48">
        <f>IF(IFERROR(GSBR8[[#This Row],[NO2-N 
(mg L-1)]]/GSBR8[[#This Row],[NH4-N 
(mg L-1)]],0)&lt;0,0,IFERROR(GSBR8[[#This Row],[NO2-N 
(mg L-1)]]/GSBR8[[#This Row],[NH4-N 
(mg L-1)]],0))</f>
        <v>3.3924586815929805E-3</v>
      </c>
      <c r="AC84" s="48">
        <f>GSBR8[[#This Row],[NO2-N 
(mg L-1)]]/(GSBR8[[#This Row],[NO2-N 
(mg L-1)]]+GSBR8[[#This Row],[NO3-N 
(mg L-1)]])</f>
        <v>3.8186462324393358E-3</v>
      </c>
      <c r="AD84" s="20">
        <f>46/14*GSBR8[[#This Row],[NO2-N 
(mg L-1)]]/(EXP(-2300/(GSBR8[[#This Row],[Temp. 
(°C)]]+273))*10^(GSBR8[[#This Row],[pHreactor]]))</f>
        <v>1.8826692123990224E-4</v>
      </c>
      <c r="AE84" s="19">
        <f>17/14*(GSBR8[[#This Row],[NH4+ (mg L-1)]]*10^GSBR8[[#This Row],[pHreactor]])/(EXP(6344/(273+GSBR8[[#This Row],[Temp. 
(°C)]]))+10^GSBR8[pHreactor])</f>
        <v>9.7527513619856787</v>
      </c>
      <c r="AF84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907.79</v>
      </c>
      <c r="AG84" s="19">
        <f>IFERROR(IF(Influent[[#This Row],[COD (mg L-1)]]-MEDIA[[#This Row],[COD 
(mg L-1)]]&lt;0,0,Influent[[#This Row],[COD (mg L-1)]]-MEDIA[[#This Row],[COD 
(mg L-1)]]),0)</f>
        <v>1515</v>
      </c>
      <c r="AH84" s="4">
        <f>IF(IFERROR(Influent[[#This Row],[Alkalinity (mg CaCO3 L-1) ]]-GSBR8[[#This Row],[Alkalinity 
(mg CaCO3 L-1) ]],0)&lt;0,0,IFERROR(Influent[[#This Row],[Alkalinity (mg CaCO3 L-1) ]]-GSBR8[[#This Row],[Alkalinity 
(mg CaCO3 L-1) ]],0))</f>
        <v>4502</v>
      </c>
      <c r="AI84" s="20">
        <f>Influent[[#This Row],[COD (mg L-1)]]/GSBR8[[#This Row],[HRT 
(h)]]*24/1000</f>
        <v>1.493167701863354</v>
      </c>
      <c r="AJ84" s="6">
        <f>IFERROR(IF(((GSBR8[[#This Row],[ΔC (mg L-1)]])/GSBR8[[#This Row],[HRT 
(h)]]*24/1000) &lt;0,0, (GSBR8[[#This Row],[ΔC (mg L-1)]])/GSBR8[[#This Row],[HRT 
(h)]]*24/1000),0)</f>
        <v>0.75279503105590073</v>
      </c>
      <c r="AK84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0.56779627329192539</v>
      </c>
      <c r="AL84" s="6">
        <f>Influent[[#This Row],[TN (mg L-1)]]/GSBR8[[#This Row],[HRT 
(h)]]*24/1000</f>
        <v>0.69927950310559006</v>
      </c>
      <c r="AM84" s="6">
        <f>GSBR8[[#This Row],[NLR 
(kg N m-3 d-1)]]*GSBR8[[#This Row],[NRE 
(%)]]</f>
        <v>0.45117515527950308</v>
      </c>
      <c r="AN84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0.81208869305664122</v>
      </c>
      <c r="AO84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0.64520002842322177</v>
      </c>
      <c r="AP84" s="4"/>
      <c r="AQ84" s="4"/>
    </row>
    <row r="85" spans="1:43" x14ac:dyDescent="0.3">
      <c r="A85" s="128">
        <v>43408</v>
      </c>
      <c r="B85" s="29">
        <v>82</v>
      </c>
      <c r="C85" s="28"/>
      <c r="D85" s="27"/>
      <c r="E85" s="42"/>
      <c r="F85" s="42"/>
      <c r="G85" s="42"/>
      <c r="H85" s="42"/>
      <c r="I85" s="42"/>
      <c r="J85" s="27"/>
      <c r="K85" s="27"/>
      <c r="T85" s="4"/>
      <c r="U85" s="20"/>
      <c r="V85" s="6"/>
      <c r="W85" s="6"/>
      <c r="Y85" s="6"/>
      <c r="Z85" s="4"/>
      <c r="AA85" s="23"/>
      <c r="AB85" s="48"/>
      <c r="AC85" s="48"/>
      <c r="AD85" s="20"/>
      <c r="AE85" s="19"/>
      <c r="AF85" s="129"/>
      <c r="AG85" s="19"/>
      <c r="AH85" s="4"/>
      <c r="AI85" s="20"/>
      <c r="AJ85" s="6"/>
      <c r="AK85" s="6"/>
      <c r="AL85" s="6"/>
      <c r="AM85" s="6"/>
      <c r="AN85" s="26"/>
      <c r="AO85" s="26"/>
      <c r="AP85" s="4"/>
      <c r="AQ85" s="4"/>
    </row>
    <row r="86" spans="1:43" x14ac:dyDescent="0.3">
      <c r="A86" s="128">
        <v>43409</v>
      </c>
      <c r="B86" s="29">
        <v>83</v>
      </c>
      <c r="C86" s="28"/>
      <c r="D86" s="27"/>
      <c r="E86" s="42"/>
      <c r="F86" s="42"/>
      <c r="G86" s="42"/>
      <c r="H86" s="42"/>
      <c r="I86" s="42"/>
      <c r="J86" s="27">
        <v>4880</v>
      </c>
      <c r="K86" s="27">
        <v>1710</v>
      </c>
      <c r="T86" s="4"/>
      <c r="U86" s="20"/>
      <c r="V86" s="6"/>
      <c r="W86" s="6"/>
      <c r="Y86" s="6"/>
      <c r="Z86" s="4"/>
      <c r="AA86" s="23"/>
      <c r="AB86" s="48"/>
      <c r="AC86" s="48"/>
      <c r="AD86" s="20"/>
      <c r="AE86" s="19"/>
      <c r="AF86" s="129"/>
      <c r="AG86" s="19"/>
      <c r="AH86" s="4"/>
      <c r="AI86" s="20"/>
      <c r="AJ86" s="6"/>
      <c r="AK86" s="6"/>
      <c r="AL86" s="6"/>
      <c r="AM86" s="6"/>
      <c r="AN86" s="26"/>
      <c r="AO86" s="26"/>
      <c r="AP86" s="4"/>
      <c r="AQ86" s="4"/>
    </row>
    <row r="87" spans="1:43" x14ac:dyDescent="0.3">
      <c r="A87" s="128">
        <v>43410</v>
      </c>
      <c r="B87" s="29">
        <v>84</v>
      </c>
      <c r="C87" s="28"/>
      <c r="D87" s="27"/>
      <c r="E87" s="42"/>
      <c r="F87" s="42"/>
      <c r="G87" s="42"/>
      <c r="H87" s="42"/>
      <c r="I87" s="42"/>
      <c r="J87" s="27"/>
      <c r="K87" s="27"/>
      <c r="T87" s="4"/>
      <c r="U87" s="20"/>
      <c r="V87" s="6"/>
      <c r="W87" s="6"/>
      <c r="Y87" s="6"/>
      <c r="Z87" s="4"/>
      <c r="AA87" s="23"/>
      <c r="AB87" s="48"/>
      <c r="AC87" s="48"/>
      <c r="AD87" s="20"/>
      <c r="AE87" s="19"/>
      <c r="AF87" s="129"/>
      <c r="AG87" s="19"/>
      <c r="AH87" s="4"/>
      <c r="AI87" s="20"/>
      <c r="AJ87" s="6"/>
      <c r="AK87" s="6"/>
      <c r="AL87" s="6"/>
      <c r="AM87" s="6"/>
      <c r="AN87" s="26"/>
      <c r="AO87" s="26"/>
      <c r="AP87" s="4"/>
      <c r="AQ87" s="4"/>
    </row>
    <row r="88" spans="1:43" x14ac:dyDescent="0.3">
      <c r="A88" s="128">
        <v>43411</v>
      </c>
      <c r="B88" s="29">
        <v>85</v>
      </c>
      <c r="C88" s="28"/>
      <c r="D88" s="27"/>
      <c r="E88" s="42"/>
      <c r="F88" s="42"/>
      <c r="G88" s="42"/>
      <c r="H88" s="42"/>
      <c r="I88" s="42"/>
      <c r="J88" s="27"/>
      <c r="K88" s="27"/>
      <c r="T88" s="4"/>
      <c r="U88" s="20"/>
      <c r="V88" s="6"/>
      <c r="W88" s="6"/>
      <c r="Y88" s="6"/>
      <c r="Z88" s="4"/>
      <c r="AA88" s="23"/>
      <c r="AB88" s="48"/>
      <c r="AC88" s="48"/>
      <c r="AD88" s="20"/>
      <c r="AE88" s="19"/>
      <c r="AF88" s="129"/>
      <c r="AG88" s="19"/>
      <c r="AH88" s="4"/>
      <c r="AI88" s="20"/>
      <c r="AJ88" s="6"/>
      <c r="AK88" s="6"/>
      <c r="AL88" s="6"/>
      <c r="AM88" s="6"/>
      <c r="AN88" s="26"/>
      <c r="AO88" s="26"/>
      <c r="AP88" s="4"/>
      <c r="AQ88" s="4"/>
    </row>
    <row r="89" spans="1:43" x14ac:dyDescent="0.3">
      <c r="A89" s="128">
        <v>43412</v>
      </c>
      <c r="B89" s="29">
        <v>86</v>
      </c>
      <c r="C89" s="28">
        <f>Information!$R$54/GSBR8[[#This Row],[HRT 
(h)]]*24</f>
        <v>0.15047021943573669</v>
      </c>
      <c r="D89" s="27">
        <v>31.9</v>
      </c>
      <c r="E89" s="42">
        <v>33.299999999999997</v>
      </c>
      <c r="F89" s="42">
        <v>7.5</v>
      </c>
      <c r="G89" s="42">
        <v>0.8</v>
      </c>
      <c r="H89" s="42">
        <v>1.6</v>
      </c>
      <c r="I89" s="42">
        <v>34.5</v>
      </c>
      <c r="J89" s="27">
        <v>4820</v>
      </c>
      <c r="K89" s="27">
        <v>1850</v>
      </c>
      <c r="L89" s="29">
        <v>1310</v>
      </c>
      <c r="M89" s="29">
        <f>GSBR8[[#This Row],[COD 
(mg L-1)]]*Information!$AK$43</f>
        <v>1048</v>
      </c>
      <c r="N89" s="29">
        <v>401</v>
      </c>
      <c r="O89" s="29">
        <v>7.5</v>
      </c>
      <c r="R89" s="29">
        <v>7.48</v>
      </c>
      <c r="S89" s="29">
        <v>31</v>
      </c>
      <c r="T89" s="4">
        <f>GSBR8[[#This Row],[NH4-N 
(mg L-1)]]*1.288</f>
        <v>138.67896000000002</v>
      </c>
      <c r="U89" s="20">
        <f>GSBR8[[#This Row],[NO2-N 
(mg L-1)]]*3.284</f>
        <v>14.177028</v>
      </c>
      <c r="V89" s="6">
        <f>(GSBR8[[#This Row],[NO3-N 
(mg L-1)]])*4.426</f>
        <v>118.09895800000001</v>
      </c>
      <c r="W89" s="6">
        <v>107.67</v>
      </c>
      <c r="X89" s="29">
        <v>4.3170000000000002</v>
      </c>
      <c r="Y89" s="6">
        <f>IF((GSBR8[[#This Row],[TON 
(mg L-1)]]-GSBR8[[#This Row],[NO2-N 
(mg L-1)]])&lt;0,0.2,(GSBR8[[#This Row],[TON 
(mg L-1)]]-GSBR8[[#This Row],[NO2-N 
(mg L-1)]]))</f>
        <v>26.683</v>
      </c>
      <c r="Z89" s="4">
        <f>SUM(GSBR8[[#This Row],[NO3-N 
(mg L-1)]],GSBR8[[#This Row],[NO2-N 
(mg L-1)]],GSBR8[[#This Row],[NH4-N 
(mg L-1)]])</f>
        <v>138.67000000000002</v>
      </c>
      <c r="AA89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2.5448008163810286E-2</v>
      </c>
      <c r="AB89" s="48">
        <f>IF(IFERROR(GSBR8[[#This Row],[NO2-N 
(mg L-1)]]/GSBR8[[#This Row],[NH4-N 
(mg L-1)]],0)&lt;0,0,IFERROR(GSBR8[[#This Row],[NO2-N 
(mg L-1)]]/GSBR8[[#This Row],[NH4-N 
(mg L-1)]],0))</f>
        <v>4.0094733909166902E-2</v>
      </c>
      <c r="AC89" s="48">
        <f>GSBR8[[#This Row],[NO2-N 
(mg L-1)]]/(GSBR8[[#This Row],[NO2-N 
(mg L-1)]]+GSBR8[[#This Row],[NO3-N 
(mg L-1)]])</f>
        <v>0.13925806451612904</v>
      </c>
      <c r="AD89" s="20">
        <f>46/14*GSBR8[[#This Row],[NO2-N 
(mg L-1)]]/(EXP(-2300/(GSBR8[[#This Row],[Temp. 
(°C)]]+273))*10^(GSBR8[[#This Row],[pHreactor]]))</f>
        <v>8.183132994821899E-4</v>
      </c>
      <c r="AE89" s="19">
        <f>17/14*(GSBR8[[#This Row],[NH4+ (mg L-1)]]*10^GSBR8[[#This Row],[pHreactor]])/(EXP(6344/(273+GSBR8[[#This Row],[Temp. 
(°C)]]))+10^GSBR8[pHreactor])</f>
        <v>5.2199944239962734</v>
      </c>
      <c r="AF89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1017.53</v>
      </c>
      <c r="AG89" s="19">
        <f>IFERROR(IF(Influent[[#This Row],[COD (mg L-1)]]-MEDIA[[#This Row],[COD 
(mg L-1)]]&lt;0,0,Influent[[#This Row],[COD (mg L-1)]]-MEDIA[[#This Row],[COD 
(mg L-1)]]),0)</f>
        <v>0</v>
      </c>
      <c r="AH89" s="4">
        <f>IF(IFERROR(Influent[[#This Row],[Alkalinity (mg CaCO3 L-1) ]]-GSBR8[[#This Row],[Alkalinity 
(mg CaCO3 L-1) ]],0)&lt;0,0,IFERROR(Influent[[#This Row],[Alkalinity (mg CaCO3 L-1) ]]-GSBR8[[#This Row],[Alkalinity 
(mg CaCO3 L-1) ]],0))</f>
        <v>4008</v>
      </c>
      <c r="AI89" s="20">
        <f>Influent[[#This Row],[COD (mg L-1)]]/GSBR8[[#This Row],[HRT 
(h)]]*24/1000</f>
        <v>1.5912225705329155</v>
      </c>
      <c r="AJ89" s="6"/>
      <c r="AK89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0.78886269592476488</v>
      </c>
      <c r="AL89" s="6">
        <f>Influent[[#This Row],[TN (mg L-1)]]/GSBR8[[#This Row],[HRT 
(h)]]*24/1000</f>
        <v>0.87129780564263326</v>
      </c>
      <c r="AM89" s="6">
        <f>GSBR8[[#This Row],[NLR 
(kg N m-3 d-1)]]*GSBR8[[#This Row],[NRE 
(%)]]</f>
        <v>0.76696927899686518</v>
      </c>
      <c r="AN89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0.90687597301504919</v>
      </c>
      <c r="AO89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0.8802607719540626</v>
      </c>
      <c r="AP89" s="4"/>
      <c r="AQ89" s="4"/>
    </row>
    <row r="90" spans="1:43" x14ac:dyDescent="0.3">
      <c r="A90" s="128">
        <v>43413</v>
      </c>
      <c r="B90" s="29">
        <v>87</v>
      </c>
      <c r="C90" s="28">
        <f>Information!$R$54/GSBR8[[#This Row],[HRT 
(h)]]*24</f>
        <v>0.16326530612244899</v>
      </c>
      <c r="D90" s="27">
        <v>29.4</v>
      </c>
      <c r="E90" s="42">
        <v>32.9</v>
      </c>
      <c r="F90" s="42">
        <v>7.5</v>
      </c>
      <c r="G90" s="42">
        <v>0.9</v>
      </c>
      <c r="H90" s="42">
        <v>1.8</v>
      </c>
      <c r="I90" s="42">
        <v>99.9</v>
      </c>
      <c r="J90" s="27"/>
      <c r="K90" s="27"/>
      <c r="L90" s="29">
        <v>1390</v>
      </c>
      <c r="M90" s="29">
        <f>GSBR8[[#This Row],[COD 
(mg L-1)]]*Information!$AK$43</f>
        <v>1112</v>
      </c>
      <c r="N90" s="29">
        <v>472</v>
      </c>
      <c r="O90" s="29">
        <v>7.5</v>
      </c>
      <c r="R90" s="29">
        <v>8.1300000000000008</v>
      </c>
      <c r="S90" s="29">
        <v>32.4</v>
      </c>
      <c r="T90" s="4">
        <f>GSBR8[[#This Row],[NH4-N 
(mg L-1)]]*1.288</f>
        <v>168.3416</v>
      </c>
      <c r="U90" s="20">
        <f>GSBR8[[#This Row],[NO2-N 
(mg L-1)]]*3.284</f>
        <v>16.945439999999998</v>
      </c>
      <c r="V90" s="6">
        <f>(GSBR8[[#This Row],[NO3-N 
(mg L-1)]])*4.426</f>
        <v>120.56424</v>
      </c>
      <c r="W90" s="6">
        <v>130.69999999999999</v>
      </c>
      <c r="X90" s="29">
        <v>5.16</v>
      </c>
      <c r="Y90" s="6">
        <f>IF((GSBR8[[#This Row],[TON 
(mg L-1)]]-GSBR8[[#This Row],[NO2-N 
(mg L-1)]])&lt;0,0.2,(GSBR8[[#This Row],[TON 
(mg L-1)]]-GSBR8[[#This Row],[NO2-N 
(mg L-1)]]))</f>
        <v>27.24</v>
      </c>
      <c r="Z90" s="4">
        <f>SUM(GSBR8[[#This Row],[NO3-N 
(mg L-1)]],GSBR8[[#This Row],[NO2-N 
(mg L-1)]],GSBR8[[#This Row],[NH4-N 
(mg L-1)]])</f>
        <v>163.1</v>
      </c>
      <c r="AA90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2.3511134127395132E-2</v>
      </c>
      <c r="AB90" s="48">
        <f>IF(IFERROR(GSBR8[[#This Row],[NO2-N 
(mg L-1)]]/GSBR8[[#This Row],[NH4-N 
(mg L-1)]],0)&lt;0,0,IFERROR(GSBR8[[#This Row],[NO2-N 
(mg L-1)]]/GSBR8[[#This Row],[NH4-N 
(mg L-1)]],0))</f>
        <v>3.9479724560061213E-2</v>
      </c>
      <c r="AC90" s="48">
        <f>GSBR8[[#This Row],[NO2-N 
(mg L-1)]]/(GSBR8[[#This Row],[NO2-N 
(mg L-1)]]+GSBR8[[#This Row],[NO3-N 
(mg L-1)]])</f>
        <v>0.15925925925925927</v>
      </c>
      <c r="AD90" s="20">
        <f>46/14*GSBR8[[#This Row],[NO2-N 
(mg L-1)]]/(EXP(-2300/(GSBR8[[#This Row],[Temp. 
(°C)]]+273))*10^(GSBR8[[#This Row],[pHreactor]]))</f>
        <v>9.8776024308574279E-4</v>
      </c>
      <c r="AE90" s="19">
        <f>17/14*(GSBR8[[#This Row],[NH4+ (mg L-1)]]*10^GSBR8[[#This Row],[pHreactor]])/(EXP(6344/(273+GSBR8[[#This Row],[Temp. 
(°C)]]))+10^GSBR8[pHreactor])</f>
        <v>6.172324875992512</v>
      </c>
      <c r="AF90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1126.2</v>
      </c>
      <c r="AG90" s="19">
        <f>IFERROR(IF(Influent[[#This Row],[COD (mg L-1)]]-MEDIA[[#This Row],[COD 
(mg L-1)]]&lt;0,0,Influent[[#This Row],[COD (mg L-1)]]-MEDIA[[#This Row],[COD 
(mg L-1)]]),0)</f>
        <v>0</v>
      </c>
      <c r="AH90" s="4">
        <f>IF(IFERROR(Influent[[#This Row],[Alkalinity (mg CaCO3 L-1) ]]-GSBR8[[#This Row],[Alkalinity 
(mg CaCO3 L-1) ]],0)&lt;0,0,IFERROR(Influent[[#This Row],[Alkalinity (mg CaCO3 L-1) ]]-GSBR8[[#This Row],[Alkalinity 
(mg CaCO3 L-1) ]],0))</f>
        <v>3827</v>
      </c>
      <c r="AI90" s="20">
        <f>Influent[[#This Row],[COD (mg L-1)]]/GSBR8[[#This Row],[HRT 
(h)]]*24/1000</f>
        <v>1.759183673469388</v>
      </c>
      <c r="AJ90" s="6"/>
      <c r="AK90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0.945795918367347</v>
      </c>
      <c r="AL90" s="6">
        <f>Influent[[#This Row],[TN (mg L-1)]]/GSBR8[[#This Row],[HRT 
(h)]]*24/1000</f>
        <v>1.0853061224489795</v>
      </c>
      <c r="AM90" s="6">
        <f>GSBR8[[#This Row],[NLR 
(kg N m-3 d-1)]]*GSBR8[[#This Row],[NRE 
(%)]]</f>
        <v>0.9521632653061225</v>
      </c>
      <c r="AN90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0.89862716202590553</v>
      </c>
      <c r="AO90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0.87732230161714941</v>
      </c>
      <c r="AP90" s="4"/>
      <c r="AQ90" s="4"/>
    </row>
    <row r="91" spans="1:43" x14ac:dyDescent="0.3">
      <c r="A91" s="128">
        <v>43414</v>
      </c>
      <c r="B91" s="29">
        <v>88</v>
      </c>
      <c r="C91" s="28">
        <f>Information!$R$54/GSBR8[[#This Row],[HRT 
(h)]]*24</f>
        <v>0.11162790697674418</v>
      </c>
      <c r="D91" s="27">
        <v>43</v>
      </c>
      <c r="E91" s="42">
        <v>28.1</v>
      </c>
      <c r="F91" s="42">
        <v>7.6</v>
      </c>
      <c r="G91" s="42">
        <v>1.3</v>
      </c>
      <c r="H91" s="42">
        <v>1.8</v>
      </c>
      <c r="I91" s="42">
        <v>159.30000000000001</v>
      </c>
      <c r="J91" s="27"/>
      <c r="K91" s="27"/>
      <c r="L91" s="29">
        <v>1325</v>
      </c>
      <c r="M91" s="29">
        <f>GSBR8[[#This Row],[COD 
(mg L-1)]]*Information!$AK$43</f>
        <v>1060</v>
      </c>
      <c r="N91" s="29">
        <v>299</v>
      </c>
      <c r="O91" s="29">
        <v>7.5</v>
      </c>
      <c r="R91" s="29">
        <v>8.7799999999999994</v>
      </c>
      <c r="S91" s="29">
        <v>38.799999999999997</v>
      </c>
      <c r="T91" s="4">
        <f>GSBR8[[#This Row],[NH4-N 
(mg L-1)]]*1.288</f>
        <v>146.87064000000001</v>
      </c>
      <c r="U91" s="20">
        <f>GSBR8[[#This Row],[NO2-N 
(mg L-1)]]*3.284</f>
        <v>22.974864</v>
      </c>
      <c r="V91" s="6">
        <f>(GSBR8[[#This Row],[NO3-N 
(mg L-1)]])*4.426</f>
        <v>140.76450399999999</v>
      </c>
      <c r="W91" s="6">
        <v>114.03</v>
      </c>
      <c r="X91" s="29">
        <v>6.9960000000000004</v>
      </c>
      <c r="Y91" s="6">
        <f>IF((GSBR8[[#This Row],[TON 
(mg L-1)]]-GSBR8[[#This Row],[NO2-N 
(mg L-1)]])&lt;0,0.2,(GSBR8[[#This Row],[TON 
(mg L-1)]]-GSBR8[[#This Row],[NO2-N 
(mg L-1)]]))</f>
        <v>31.803999999999995</v>
      </c>
      <c r="Z91" s="4">
        <f>SUM(GSBR8[[#This Row],[NO3-N 
(mg L-1)]],GSBR8[[#This Row],[NO2-N 
(mg L-1)]],GSBR8[[#This Row],[NH4-N 
(mg L-1)]])</f>
        <v>152.82999999999998</v>
      </c>
      <c r="AA91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2.7302617459458989E-2</v>
      </c>
      <c r="AB91" s="48">
        <f>IF(IFERROR(GSBR8[[#This Row],[NO2-N 
(mg L-1)]]/GSBR8[[#This Row],[NH4-N 
(mg L-1)]],0)&lt;0,0,IFERROR(GSBR8[[#This Row],[NO2-N 
(mg L-1)]]/GSBR8[[#This Row],[NH4-N 
(mg L-1)]],0))</f>
        <v>6.1352275716916607E-2</v>
      </c>
      <c r="AC91" s="48">
        <f>GSBR8[[#This Row],[NO2-N 
(mg L-1)]]/(GSBR8[[#This Row],[NO2-N 
(mg L-1)]]+GSBR8[[#This Row],[NO3-N 
(mg L-1)]])</f>
        <v>0.1803092783505155</v>
      </c>
      <c r="AD91" s="20">
        <f>46/14*GSBR8[[#This Row],[NO2-N 
(mg L-1)]]/(EXP(-2300/(GSBR8[[#This Row],[Temp. 
(°C)]]+273))*10^(GSBR8[[#This Row],[pHreactor]]))</f>
        <v>1.1992417107282356E-3</v>
      </c>
      <c r="AE91" s="19">
        <f>17/14*(GSBR8[[#This Row],[NH4+ (mg L-1)]]*10^GSBR8[[#This Row],[pHreactor]])/(EXP(6344/(273+GSBR8[[#This Row],[Temp. 
(°C)]]))+10^GSBR8[pHreactor])</f>
        <v>4.8850014242998521</v>
      </c>
      <c r="AF91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1126.0700000000002</v>
      </c>
      <c r="AG91" s="19">
        <f>IFERROR(IF(Influent[[#This Row],[COD (mg L-1)]]-MEDIA[[#This Row],[COD 
(mg L-1)]]&lt;0,0,Influent[[#This Row],[COD (mg L-1)]]-MEDIA[[#This Row],[COD 
(mg L-1)]]),0)</f>
        <v>0</v>
      </c>
      <c r="AH91" s="4">
        <f>IF(IFERROR(Influent[[#This Row],[Alkalinity (mg CaCO3 L-1) ]]-GSBR8[[#This Row],[Alkalinity 
(mg CaCO3 L-1) ]],0)&lt;0,0,IFERROR(Influent[[#This Row],[Alkalinity (mg CaCO3 L-1) ]]-GSBR8[[#This Row],[Alkalinity 
(mg CaCO3 L-1) ]],0))</f>
        <v>3916</v>
      </c>
      <c r="AI91" s="20">
        <f>Influent[[#This Row],[COD (mg L-1)]]/GSBR8[[#This Row],[HRT 
(h)]]*24/1000</f>
        <v>1.1246511627906977</v>
      </c>
      <c r="AJ91" s="6"/>
      <c r="AK91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0.65016000000000007</v>
      </c>
      <c r="AL91" s="6">
        <f>Influent[[#This Row],[TN (mg L-1)]]/GSBR8[[#This Row],[HRT 
(h)]]*24/1000</f>
        <v>0.71966511627906982</v>
      </c>
      <c r="AM91" s="6">
        <f>GSBR8[[#This Row],[NLR 
(kg N m-3 d-1)]]*GSBR8[[#This Row],[NRE 
(%)]]</f>
        <v>0.63436465116279073</v>
      </c>
      <c r="AN91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0.9108374384236454</v>
      </c>
      <c r="AO91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0.88147200248177449</v>
      </c>
      <c r="AP91" s="4"/>
      <c r="AQ91" s="4"/>
    </row>
    <row r="92" spans="1:43" x14ac:dyDescent="0.3">
      <c r="A92" s="128">
        <v>43415</v>
      </c>
      <c r="B92" s="29">
        <v>89</v>
      </c>
      <c r="C92" s="28">
        <f>Information!$R$54/GSBR8[[#This Row],[HRT 
(h)]]*24</f>
        <v>0.1142857142857143</v>
      </c>
      <c r="D92" s="27">
        <v>42</v>
      </c>
      <c r="E92" s="42">
        <v>25.7</v>
      </c>
      <c r="F92" s="42">
        <v>7.6</v>
      </c>
      <c r="G92" s="42">
        <v>1.3</v>
      </c>
      <c r="H92" s="42">
        <v>1.9</v>
      </c>
      <c r="I92" s="42">
        <v>179.2</v>
      </c>
      <c r="J92" s="27"/>
      <c r="K92" s="27"/>
      <c r="L92" s="29">
        <v>1405</v>
      </c>
      <c r="M92" s="29">
        <f>GSBR8[[#This Row],[COD 
(mg L-1)]]*Information!$AK$43</f>
        <v>1124</v>
      </c>
      <c r="N92" s="29">
        <v>274</v>
      </c>
      <c r="O92" s="29">
        <v>7.5</v>
      </c>
      <c r="R92" s="29">
        <v>9.44</v>
      </c>
      <c r="S92" s="29">
        <v>91.3</v>
      </c>
      <c r="T92" s="4">
        <f>GSBR8[[#This Row],[NH4-N 
(mg L-1)]]*1.288</f>
        <v>153.34927999999999</v>
      </c>
      <c r="U92" s="20">
        <f>GSBR8[[#This Row],[NO2-N 
(mg L-1)]]*3.284</f>
        <v>47.108980000000003</v>
      </c>
      <c r="V92" s="6">
        <f>(GSBR8[[#This Row],[NO3-N 
(mg L-1)]])*4.426</f>
        <v>340.60282999999998</v>
      </c>
      <c r="W92" s="6">
        <v>119.06</v>
      </c>
      <c r="X92" s="29">
        <v>14.345000000000001</v>
      </c>
      <c r="Y92" s="6">
        <f>IF((GSBR8[[#This Row],[TON 
(mg L-1)]]-GSBR8[[#This Row],[NO2-N 
(mg L-1)]])&lt;0,0.2,(GSBR8[[#This Row],[TON 
(mg L-1)]]-GSBR8[[#This Row],[NO2-N 
(mg L-1)]]))</f>
        <v>76.954999999999998</v>
      </c>
      <c r="Z92" s="4">
        <f>SUM(GSBR8[[#This Row],[NO3-N 
(mg L-1)]],GSBR8[[#This Row],[NO2-N 
(mg L-1)]],GSBR8[[#This Row],[NH4-N 
(mg L-1)]])</f>
        <v>210.36</v>
      </c>
      <c r="AA92" s="276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6.8153639052730391E-2</v>
      </c>
      <c r="AB92" s="48">
        <f>IF(IFERROR(GSBR8[[#This Row],[NO2-N 
(mg L-1)]]/GSBR8[[#This Row],[NH4-N 
(mg L-1)]],0)&lt;0,0,IFERROR(GSBR8[[#This Row],[NO2-N 
(mg L-1)]]/GSBR8[[#This Row],[NH4-N 
(mg L-1)]],0))</f>
        <v>0.12048546951117084</v>
      </c>
      <c r="AC92" s="48">
        <f>GSBR8[[#This Row],[NO2-N 
(mg L-1)]]/(GSBR8[[#This Row],[NO2-N 
(mg L-1)]]+GSBR8[[#This Row],[NO3-N 
(mg L-1)]])</f>
        <v>0.15711938663745895</v>
      </c>
      <c r="AD92" s="20">
        <f>46/14*GSBR8[[#This Row],[NO2-N 
(mg L-1)]]/(EXP(-2300/(GSBR8[[#This Row],[Temp. 
(°C)]]+273))*10^(GSBR8[[#This Row],[pHreactor]]))</f>
        <v>2.6146429969154785E-3</v>
      </c>
      <c r="AE92" s="19">
        <f>17/14*(GSBR8[[#This Row],[NH4+ (mg L-1)]]*10^GSBR8[[#This Row],[pHreactor]])/(EXP(6344/(273+GSBR8[[#This Row],[Temp. 
(°C)]]))+10^GSBR8[pHreactor])</f>
        <v>4.3246082671733159</v>
      </c>
      <c r="AF92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1037.8400000000001</v>
      </c>
      <c r="AG92" s="19">
        <f>IFERROR(IF(Influent[[#This Row],[COD (mg L-1)]]-MEDIA[[#This Row],[COD 
(mg L-1)]]&lt;0,0,Influent[[#This Row],[COD (mg L-1)]]-MEDIA[[#This Row],[COD 
(mg L-1)]]),0)</f>
        <v>0</v>
      </c>
      <c r="AH92" s="4">
        <f>IF(IFERROR(Influent[[#This Row],[Alkalinity (mg CaCO3 L-1) ]]-GSBR8[[#This Row],[Alkalinity 
(mg CaCO3 L-1) ]],0)&lt;0,0,IFERROR(Influent[[#This Row],[Alkalinity (mg CaCO3 L-1) ]]-GSBR8[[#This Row],[Alkalinity 
(mg CaCO3 L-1) ]],0))</f>
        <v>3874</v>
      </c>
      <c r="AI92" s="20">
        <f>Influent[[#This Row],[COD (mg L-1)]]/GSBR8[[#This Row],[HRT 
(h)]]*24/1000</f>
        <v>1.1685714285714284</v>
      </c>
      <c r="AJ92" s="6"/>
      <c r="AK92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0.64522285714285732</v>
      </c>
      <c r="AL92" s="6">
        <f>Influent[[#This Row],[TN (mg L-1)]]/GSBR8[[#This Row],[HRT 
(h)]]*24/1000</f>
        <v>0.72874285714285714</v>
      </c>
      <c r="AM92" s="6">
        <f>GSBR8[[#This Row],[NLR 
(kg N m-3 d-1)]]*GSBR8[[#This Row],[NRE 
(%)]]</f>
        <v>0.60853714285714289</v>
      </c>
      <c r="AN92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0.90461464508892808</v>
      </c>
      <c r="AO92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0.83505057633498003</v>
      </c>
      <c r="AP92" s="4"/>
      <c r="AQ92" s="4"/>
    </row>
    <row r="93" spans="1:43" x14ac:dyDescent="0.3">
      <c r="A93" s="128">
        <v>43416</v>
      </c>
      <c r="B93" s="29">
        <v>90</v>
      </c>
      <c r="C93" s="28">
        <f>Information!$R$54/GSBR8[[#This Row],[HRT 
(h)]]*24</f>
        <v>0.11162790697674418</v>
      </c>
      <c r="D93" s="27">
        <v>43</v>
      </c>
      <c r="E93" s="42">
        <v>24.4</v>
      </c>
      <c r="F93" s="42">
        <v>7.6</v>
      </c>
      <c r="G93" s="42">
        <v>1.3</v>
      </c>
      <c r="H93" s="42">
        <v>2</v>
      </c>
      <c r="I93" s="42">
        <v>182.3</v>
      </c>
      <c r="J93" s="27"/>
      <c r="K93" s="27"/>
      <c r="L93" s="29">
        <v>1410</v>
      </c>
      <c r="M93" s="29">
        <f>GSBR8[[#This Row],[COD 
(mg L-1)]]*Information!$AK$43</f>
        <v>1128</v>
      </c>
      <c r="N93" s="29">
        <v>264</v>
      </c>
      <c r="O93" s="29">
        <v>7.2</v>
      </c>
      <c r="R93" s="29">
        <v>9.98</v>
      </c>
      <c r="S93" s="29">
        <v>102.8</v>
      </c>
      <c r="T93" s="4">
        <f>GSBR8[[#This Row],[NH4-N 
(mg L-1)]]*1.288</f>
        <v>160.678</v>
      </c>
      <c r="U93" s="20">
        <f>GSBR8[[#This Row],[NO2-N 
(mg L-1)]]*3.284</f>
        <v>59.177679999999995</v>
      </c>
      <c r="V93" s="6">
        <f>(GSBR8[[#This Row],[NO3-N 
(mg L-1)]])*4.426</f>
        <v>375.23628000000002</v>
      </c>
      <c r="W93" s="6">
        <v>124.75</v>
      </c>
      <c r="X93" s="29">
        <v>18.02</v>
      </c>
      <c r="Y93" s="6">
        <f>IF((GSBR8[[#This Row],[TON 
(mg L-1)]]-GSBR8[[#This Row],[NO2-N 
(mg L-1)]])&lt;0,0.2,(GSBR8[[#This Row],[TON 
(mg L-1)]]-GSBR8[[#This Row],[NO2-N 
(mg L-1)]]))</f>
        <v>84.78</v>
      </c>
      <c r="Z93" s="4">
        <f>SUM(GSBR8[[#This Row],[NO3-N 
(mg L-1)]],GSBR8[[#This Row],[NO2-N 
(mg L-1)]],GSBR8[[#This Row],[NH4-N 
(mg L-1)]])</f>
        <v>227.55</v>
      </c>
      <c r="AA93" s="23">
        <f>IF(IFERROR(GSBR8[[#This Row],[NO3-N 
(mg L-1)]]/(Influent[[#This Row],[NH4-N (mg L-1)]]-GSBR8[[#This Row],[NH4-N 
(mg L-1)]]), 0)&lt;0,0,IFERROR(GSBR8[[#This Row],[NO3-N 
(mg L-1)]]/(Influent[[#This Row],[NH4-N (mg L-1)]]-GSBR8[[#This Row],[NH4-N 
(mg L-1)]]), 0))</f>
        <v>8.0754393484783554E-2</v>
      </c>
      <c r="AB93" s="48">
        <f>IF(IFERROR(GSBR8[[#This Row],[NO2-N 
(mg L-1)]]/GSBR8[[#This Row],[NH4-N 
(mg L-1)]],0)&lt;0,0,IFERROR(GSBR8[[#This Row],[NO2-N 
(mg L-1)]]/GSBR8[[#This Row],[NH4-N 
(mg L-1)]],0))</f>
        <v>0.14444889779559117</v>
      </c>
      <c r="AC93" s="48">
        <f>GSBR8[[#This Row],[NO2-N 
(mg L-1)]]/(GSBR8[[#This Row],[NO2-N 
(mg L-1)]]+GSBR8[[#This Row],[NO3-N 
(mg L-1)]])</f>
        <v>0.17529182879377431</v>
      </c>
      <c r="AD93" s="20">
        <f>46/14*GSBR8[[#This Row],[NO2-N 
(mg L-1)]]/(EXP(-2300/(GSBR8[[#This Row],[Temp. 
(°C)]]+273))*10^(GSBR8[[#This Row],[pHreactor]]))</f>
        <v>3.3969123565365579E-3</v>
      </c>
      <c r="AE93" s="19">
        <f>17/14*(GSBR8[[#This Row],[NH4+ (mg L-1)]]*10^GSBR8[[#This Row],[pHreactor]])/(EXP(6344/(273+GSBR8[[#This Row],[Temp. 
(°C)]]))+10^GSBR8[pHreactor])</f>
        <v>4.1380635812837365</v>
      </c>
      <c r="AF93" s="129">
        <f>IF(IFERROR(Influent[[#This Row],[NH4-N (mg L-1)]]-(GSBR8[[#This Row],[NH4-N 
(mg L-1)]]+GSBR8[[#This Row],[NO3-N 
(mg L-1)]]+GSBR8[[#This Row],[NO2-N 
(mg L-1)]]),0)&lt;0,0,IFERROR(Influent[[#This Row],[NH4-N (mg L-1)]]-(GSBR8[[#This Row],[NH4-N 
(mg L-1)]]+GSBR8[[#This Row],[NO3-N 
(mg L-1)]]+GSBR8[[#This Row],[NO2-N 
(mg L-1)]]),0))</f>
        <v>947.05</v>
      </c>
      <c r="AG93" s="19">
        <f>IFERROR(IF(Influent[[#This Row],[COD (mg L-1)]]-MEDIA[[#This Row],[COD 
(mg L-1)]]&lt;0,0,Influent[[#This Row],[COD (mg L-1)]]-MEDIA[[#This Row],[COD 
(mg L-1)]]),0)</f>
        <v>0</v>
      </c>
      <c r="AH93" s="4">
        <f>IF(IFERROR(Influent[[#This Row],[Alkalinity (mg CaCO3 L-1) ]]-GSBR8[[#This Row],[Alkalinity 
(mg CaCO3 L-1) ]],0)&lt;0,0,IFERROR(Influent[[#This Row],[Alkalinity (mg CaCO3 L-1) ]]-GSBR8[[#This Row],[Alkalinity 
(mg CaCO3 L-1) ]],0))</f>
        <v>3910</v>
      </c>
      <c r="AI93" s="20">
        <f>Influent[[#This Row],[COD (mg L-1)]]/GSBR8[[#This Row],[HRT 
(h)]]*24/1000</f>
        <v>1.1274418604651162</v>
      </c>
      <c r="AJ93" s="6"/>
      <c r="AK93" s="6">
        <f>IF(IFERROR((Influent[[#This Row],[NH4-N (mg L-1)]])*GSBR8[[#This Row],[ARE 
(%)]]/GSBR8[[#This Row],[HRT 
(h)]]*24/1000,0)&lt;0,0,IFERROR((Influent[[#This Row],[NH4-N (mg L-1)]])*GSBR8[[#This Row],[ARE 
(%)]]/GSBR8[[#This Row],[HRT 
(h)]]*24/1000,0))</f>
        <v>0.58596279069767432</v>
      </c>
      <c r="AL93" s="6">
        <f>Influent[[#This Row],[TN (mg L-1)]]/GSBR8[[#This Row],[HRT 
(h)]]*24/1000</f>
        <v>0.67222325581395337</v>
      </c>
      <c r="AM93" s="6">
        <f>GSBR8[[#This Row],[NLR 
(kg N m-3 d-1)]]*GSBR8[[#This Row],[NRE 
(%)]]</f>
        <v>0.54521860465116267</v>
      </c>
      <c r="AN93" s="26">
        <f>IFERROR(IF((Influent[[#This Row],[NH4-N (mg L-1)]]-GSBR8[[#This Row],[NH4-N 
(mg L-1)]])/Influent[[#This Row],[NH4-N (mg L-1)]]&lt;0,0,IF((Influent[[#This Row],[NH4-N (mg L-1)]]-GSBR8[[#This Row],[NH4-N 
(mg L-1)]])/Influent[[#This Row],[NH4-N (mg L-1)]]&gt;1,0.999,(Influent[[#This Row],[NH4-N (mg L-1)]]-GSBR8[[#This Row],[NH4-N 
(mg L-1)]])/Influent[[#This Row],[NH4-N (mg L-1)]])),0)</f>
        <v>0.89379363187468075</v>
      </c>
      <c r="AO93" s="26">
        <f>IFERROR(IF((Influent[[#This Row],[TN (mg L-1)]]-GSBR8[[#This Row],[TN 
(mg L-1)]])/Influent[[#This Row],[TN (mg L-1)]]&lt;0,0,IF((Influent[[#This Row],[TN (mg L-1)]]-GSBR8[[#This Row],[TN 
(mg L-1)]])/Influent[[#This Row],[TN (mg L-1)]]&gt;1,0.999,(Influent[[#This Row],[TN (mg L-1)]]-GSBR8[[#This Row],[TN 
(mg L-1)]])/Influent[[#This Row],[TN (mg L-1)]])),0)</f>
        <v>0.81106775157754896</v>
      </c>
      <c r="AP93" s="4"/>
      <c r="AQ93" s="4"/>
    </row>
    <row r="99" spans="23:31" x14ac:dyDescent="0.3">
      <c r="AD99" s="29" t="s">
        <v>629</v>
      </c>
    </row>
    <row r="100" spans="23:31" x14ac:dyDescent="0.3">
      <c r="W100" s="291"/>
      <c r="X100" s="291"/>
      <c r="Y100" s="291"/>
      <c r="Z100" s="291"/>
      <c r="AA100" s="291"/>
      <c r="AB100" s="291"/>
      <c r="AC100" s="291"/>
      <c r="AD100" s="291">
        <f>AVERAGE(AD58,AD57,AD41,AD40,AD39,AD38,AD37,AD36,AD35,AD31,AD19,AD18)</f>
        <v>3.6104517327868582E-2</v>
      </c>
      <c r="AE100" s="292">
        <f>AVERAGE(AE61,AE60,AE59,AE36,AE33,)</f>
        <v>267.17619988050666</v>
      </c>
    </row>
  </sheetData>
  <mergeCells count="2">
    <mergeCell ref="C2:I2"/>
    <mergeCell ref="L2:Z2"/>
  </mergeCells>
  <conditionalFormatting sqref="L4:AO93 A4:I93">
    <cfRule type="cellIs" dxfId="398" priority="12" operator="lessThanOrEqual">
      <formula>0</formula>
    </cfRule>
  </conditionalFormatting>
  <conditionalFormatting sqref="AP75:AP93">
    <cfRule type="cellIs" dxfId="397" priority="11" operator="lessThanOrEqual">
      <formula>0</formula>
    </cfRule>
  </conditionalFormatting>
  <conditionalFormatting sqref="AP4:AP34 AP36:AP74">
    <cfRule type="cellIs" dxfId="396" priority="10" operator="lessThanOrEqual">
      <formula>0</formula>
    </cfRule>
  </conditionalFormatting>
  <conditionalFormatting sqref="J4:K93">
    <cfRule type="cellIs" dxfId="395" priority="9" operator="lessThanOrEqual">
      <formula>0</formula>
    </cfRule>
  </conditionalFormatting>
  <conditionalFormatting sqref="AA4:AA93">
    <cfRule type="cellIs" dxfId="394" priority="8" operator="greaterThanOrEqual">
      <formula>0.075</formula>
    </cfRule>
  </conditionalFormatting>
  <conditionalFormatting sqref="AB4:AB93">
    <cfRule type="cellIs" dxfId="393" priority="7" operator="greaterThanOrEqual">
      <formula>0.53</formula>
    </cfRule>
  </conditionalFormatting>
  <conditionalFormatting sqref="G4:G93">
    <cfRule type="cellIs" dxfId="392" priority="6" operator="greaterThan">
      <formula>1.2</formula>
    </cfRule>
  </conditionalFormatting>
  <conditionalFormatting sqref="F4:F93">
    <cfRule type="cellIs" dxfId="391" priority="5" operator="greaterThan">
      <formula>7.5</formula>
    </cfRule>
  </conditionalFormatting>
  <conditionalFormatting sqref="AD4:AD93">
    <cfRule type="cellIs" dxfId="390" priority="4" operator="greaterThanOrEqual">
      <formula>0.01</formula>
    </cfRule>
  </conditionalFormatting>
  <conditionalFormatting sqref="AE4:AE93">
    <cfRule type="cellIs" dxfId="389" priority="3" operator="greaterThanOrEqual">
      <formula>50</formula>
    </cfRule>
  </conditionalFormatting>
  <conditionalFormatting sqref="W4:W93">
    <cfRule type="cellIs" dxfId="388" priority="2" operator="greaterThan">
      <formula>200</formula>
    </cfRule>
  </conditionalFormatting>
  <conditionalFormatting sqref="X4:X93">
    <cfRule type="cellIs" dxfId="387" priority="1" operator="greaterThan">
      <formula>50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9" tint="0.79998168889431442"/>
  </sheetPr>
  <dimension ref="A1:AM93"/>
  <sheetViews>
    <sheetView zoomScale="70" zoomScaleNormal="70" workbookViewId="0">
      <pane xSplit="2" ySplit="3" topLeftCell="P22" activePane="bottomRight" state="frozen"/>
      <selection activeCell="W91" sqref="W91"/>
      <selection pane="topRight" activeCell="W91" sqref="W91"/>
      <selection pane="bottomLeft" activeCell="W91" sqref="W91"/>
      <selection pane="bottomRight" activeCell="AA4" sqref="AA4"/>
    </sheetView>
  </sheetViews>
  <sheetFormatPr defaultRowHeight="14.4" x14ac:dyDescent="0.3"/>
  <cols>
    <col min="1" max="1" width="14.5546875" customWidth="1"/>
    <col min="2" max="2" width="8.6640625" customWidth="1"/>
    <col min="3" max="4" width="9.109375" style="29" customWidth="1"/>
    <col min="5" max="5" width="9.5546875" style="29" customWidth="1"/>
    <col min="6" max="6" width="9.44140625" customWidth="1"/>
    <col min="7" max="7" width="11.88671875" customWidth="1"/>
    <col min="8" max="8" width="11.5546875" customWidth="1"/>
    <col min="9" max="9" width="13.33203125" customWidth="1"/>
    <col min="10" max="10" width="12.77734375" customWidth="1"/>
    <col min="11" max="12" width="8.6640625" style="29" customWidth="1"/>
    <col min="13" max="13" width="11" customWidth="1"/>
    <col min="14" max="14" width="11" style="29" customWidth="1"/>
    <col min="15" max="15" width="14.5546875" customWidth="1"/>
    <col min="16" max="17" width="9.88671875" customWidth="1"/>
    <col min="18" max="18" width="8.88671875" customWidth="1"/>
    <col min="19" max="19" width="9.33203125" customWidth="1"/>
    <col min="20" max="20" width="9.5546875" customWidth="1"/>
    <col min="21" max="21" width="9.33203125" hidden="1" customWidth="1"/>
    <col min="22" max="23" width="9.44140625" hidden="1" customWidth="1"/>
    <col min="24" max="24" width="9.109375" customWidth="1"/>
    <col min="25" max="25" width="7.6640625" customWidth="1"/>
    <col min="26" max="26" width="10.109375" customWidth="1"/>
    <col min="27" max="27" width="9.6640625" customWidth="1"/>
    <col min="30" max="30" width="14.109375" style="29" bestFit="1" customWidth="1"/>
    <col min="31" max="31" width="10.44140625" customWidth="1"/>
    <col min="32" max="32" width="14.5546875" customWidth="1"/>
    <col min="33" max="33" width="15.109375" customWidth="1"/>
    <col min="34" max="34" width="19.5546875" style="29" customWidth="1"/>
    <col min="35" max="35" width="12.5546875" customWidth="1"/>
    <col min="36" max="36" width="13.33203125" customWidth="1"/>
    <col min="39" max="39" width="40.88671875" customWidth="1"/>
  </cols>
  <sheetData>
    <row r="1" spans="1:39" ht="20.399999999999999" thickBot="1" x14ac:dyDescent="0.45">
      <c r="A1" s="1" t="s">
        <v>229</v>
      </c>
      <c r="B1" s="1"/>
      <c r="C1" s="1"/>
      <c r="D1" s="1"/>
      <c r="E1" s="1"/>
      <c r="F1" s="1"/>
      <c r="G1" s="1"/>
      <c r="H1" s="5"/>
      <c r="I1" s="5"/>
      <c r="J1" s="5"/>
      <c r="K1" s="5"/>
      <c r="L1" s="5"/>
      <c r="M1" s="5"/>
      <c r="N1" s="5"/>
      <c r="O1" s="29"/>
      <c r="P1" s="5"/>
      <c r="Q1" s="5"/>
      <c r="R1" s="46"/>
      <c r="S1" s="29"/>
      <c r="T1" s="29"/>
      <c r="U1" s="46"/>
      <c r="V1" s="46"/>
      <c r="W1" s="46"/>
      <c r="X1" s="144"/>
      <c r="Y1" s="144"/>
      <c r="Z1" s="144"/>
      <c r="AA1" s="29"/>
    </row>
    <row r="2" spans="1:39" ht="15" thickTop="1" x14ac:dyDescent="0.3">
      <c r="A2" s="29"/>
      <c r="B2" s="29"/>
      <c r="C2" s="333"/>
      <c r="D2" s="333"/>
      <c r="E2" s="333"/>
      <c r="F2" s="333"/>
      <c r="G2" s="333"/>
      <c r="H2" s="336"/>
      <c r="I2" s="336"/>
      <c r="J2" s="336"/>
      <c r="K2" s="336"/>
      <c r="L2" s="205"/>
      <c r="M2" s="296" t="s">
        <v>145</v>
      </c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</row>
    <row r="3" spans="1:39" ht="90.6" customHeight="1" x14ac:dyDescent="0.3">
      <c r="A3" s="2" t="s">
        <v>1</v>
      </c>
      <c r="B3" s="2" t="s">
        <v>2</v>
      </c>
      <c r="C3" s="24" t="s">
        <v>351</v>
      </c>
      <c r="D3" s="24" t="s">
        <v>230</v>
      </c>
      <c r="E3" s="24" t="s">
        <v>382</v>
      </c>
      <c r="F3" s="25" t="s">
        <v>354</v>
      </c>
      <c r="G3" s="25" t="s">
        <v>356</v>
      </c>
      <c r="H3" s="25" t="s">
        <v>158</v>
      </c>
      <c r="I3" s="25" t="s">
        <v>371</v>
      </c>
      <c r="J3" s="25" t="s">
        <v>383</v>
      </c>
      <c r="K3" s="25" t="s">
        <v>384</v>
      </c>
      <c r="L3" s="25" t="s">
        <v>381</v>
      </c>
      <c r="M3" s="78" t="s">
        <v>359</v>
      </c>
      <c r="N3" s="78" t="s">
        <v>342</v>
      </c>
      <c r="O3" s="78" t="s">
        <v>374</v>
      </c>
      <c r="P3" s="78" t="s">
        <v>152</v>
      </c>
      <c r="Q3" s="78" t="s">
        <v>375</v>
      </c>
      <c r="R3" s="78" t="s">
        <v>350</v>
      </c>
      <c r="S3" s="78" t="s">
        <v>360</v>
      </c>
      <c r="T3" s="78" t="s">
        <v>361</v>
      </c>
      <c r="U3" s="78" t="s">
        <v>140</v>
      </c>
      <c r="V3" s="78" t="s">
        <v>128</v>
      </c>
      <c r="W3" s="78" t="s">
        <v>159</v>
      </c>
      <c r="X3" s="78" t="s">
        <v>362</v>
      </c>
      <c r="Y3" s="78" t="s">
        <v>377</v>
      </c>
      <c r="Z3" s="78" t="s">
        <v>364</v>
      </c>
      <c r="AA3" s="78" t="s">
        <v>365</v>
      </c>
      <c r="AB3" s="125" t="s">
        <v>150</v>
      </c>
      <c r="AC3" s="125" t="s">
        <v>164</v>
      </c>
      <c r="AD3" s="125" t="s">
        <v>367</v>
      </c>
      <c r="AE3" s="125" t="s">
        <v>368</v>
      </c>
      <c r="AF3" s="125" t="s">
        <v>378</v>
      </c>
      <c r="AG3" s="125" t="s">
        <v>344</v>
      </c>
      <c r="AH3" s="125" t="s">
        <v>345</v>
      </c>
      <c r="AI3" s="125" t="s">
        <v>346</v>
      </c>
      <c r="AJ3" s="125" t="s">
        <v>347</v>
      </c>
      <c r="AK3" s="125" t="s">
        <v>369</v>
      </c>
      <c r="AL3" s="125" t="s">
        <v>370</v>
      </c>
      <c r="AM3" s="78" t="s">
        <v>30</v>
      </c>
    </row>
    <row r="4" spans="1:39" x14ac:dyDescent="0.3">
      <c r="A4" s="128">
        <v>43327</v>
      </c>
      <c r="B4" s="29">
        <v>1</v>
      </c>
      <c r="C4" s="134">
        <v>674.3</v>
      </c>
      <c r="D4" s="134">
        <f>24/(LTP[[#This Row],[Cycle duration 
(h)]]+2)</f>
        <v>4</v>
      </c>
      <c r="E4" s="137">
        <v>4</v>
      </c>
      <c r="F4" s="180">
        <f>Information!$R$61/(LTP[Flow 
(m3 d-1)]/24*LTP[[#This Row],[Cycles per day]]*LTP[[#This Row],[Cycle duration 
(h)]])*24</f>
        <v>78.936259825003717</v>
      </c>
      <c r="G4" s="133">
        <v>34.19</v>
      </c>
      <c r="H4" s="29">
        <v>7.88</v>
      </c>
      <c r="I4" s="133">
        <v>3.5</v>
      </c>
      <c r="J4" s="133">
        <v>59.13</v>
      </c>
      <c r="K4" s="27">
        <f>LTP[[#This Row],[TSS  
(mg L-1)]]</f>
        <v>9820</v>
      </c>
      <c r="L4" s="133">
        <f>LTP[[#This Row],[VSS 
(mg L-1)]]</f>
        <v>4390</v>
      </c>
      <c r="M4" s="29">
        <v>11425</v>
      </c>
      <c r="N4" s="29">
        <f>LTP[[#This Row],[COD 
(mg L-1)]]*Information!$AK$44</f>
        <v>3084.75</v>
      </c>
      <c r="O4" s="29">
        <v>1303</v>
      </c>
      <c r="P4" s="29">
        <v>9.4</v>
      </c>
      <c r="Q4" s="29">
        <v>9820</v>
      </c>
      <c r="R4" s="29">
        <v>4390</v>
      </c>
      <c r="S4" s="29">
        <v>3.44</v>
      </c>
      <c r="T4" s="29">
        <v>52.6</v>
      </c>
      <c r="U4" s="6"/>
      <c r="V4" s="20"/>
      <c r="W4" s="6"/>
      <c r="X4" s="29">
        <v>22.5</v>
      </c>
      <c r="Y4" s="29">
        <v>96.245000000000005</v>
      </c>
      <c r="Z4" s="6">
        <f>IF(LTP[[#This Row],[TON 
(mg L-1)]]-LTP[[#This Row],[NO2-N 
(mg L-1)]]&lt;0,0.2,LTP[[#This Row],[TON 
(mg L-1)]]-LTP[[#This Row],[NO2-N 
(mg L-1)]])</f>
        <v>0.2</v>
      </c>
      <c r="AA4" s="6">
        <f>SUM(LTP[[#This Row],[NH4-N 
(mg L-1)]:[NO3-N 
(mg L-1)]])</f>
        <v>118.94500000000001</v>
      </c>
      <c r="AB4" s="21">
        <f>LTP[[#This Row],[NO3-N 
(mg L-1)]]/(Influent[[#This Row],[NH4-N (mg L-1)]]-LTP[[#This Row],[NH4-N 
(mg L-1)]])</f>
        <v>2.3850979082691348E-4</v>
      </c>
      <c r="AC4" s="6">
        <f>LTP[[#This Row],[NO2-N 
(mg L-1)]]/(Influent[[#This Row],[NH4-N (mg L-1)]]-LTP[[#This Row],[NH4-N 
(mg L-1)]])</f>
        <v>0.11477687409068144</v>
      </c>
      <c r="AD4" s="20">
        <f>46/14*LTP[[#This Row],[NO2-N 
(mg L-1)]]/(EXP(-2300/(273+LTP[[#This Row],[Temp. 
(°C)]]))*10^LTP[[#This Row],[pHreactor]])</f>
        <v>7.4416211990050831E-3</v>
      </c>
      <c r="AE4" s="19">
        <f>17/14*(LTP[[#This Row],[NH4-N 
(mg L-1)]]*10^LTP[[#This Row],[pHeff]])/(EXP(6344/(273+LTP[[#This Row],[Temp. 
(°C)]]))+10^LTP[[#This Row],[pHreactor]])</f>
        <v>68.16441881646206</v>
      </c>
      <c r="AF4" s="20"/>
      <c r="AG4" s="6"/>
      <c r="AH4" s="6">
        <f>(Influent[[#This Row],[NH4-N (mg L-1)]]*LTP[ARE 
(%)])*24/LTP[[#This Row],[HRT 
(h)]]/1000</f>
        <v>0.25495203401599797</v>
      </c>
      <c r="AI4" s="6">
        <f>Influent[[#This Row],[TN (mg L-1)]]/LTP[[#This Row],[HRT 
(h)]]*24/1000</f>
        <v>0.26239165683701721</v>
      </c>
      <c r="AJ4" s="6">
        <f>(Influent[[#This Row],[NH4-N (mg L-1)]])*LTP[NRE 
(%)]/LTP[[#This Row],[HRT 
(h)]]*24/1000</f>
        <v>0.22571113884366678</v>
      </c>
      <c r="AK4" s="33">
        <f>1-(LTP[[#This Row],[NH4-N 
(mg L-1)]]/Influent[[#This Row],[NH4-N (mg L-1)]])</f>
        <v>0.9738688098113909</v>
      </c>
      <c r="AL4" s="21">
        <f>1-(LTP[[#This Row],[TN 
(mg L-1)]]/Influent[[#This Row],[TN (mg L-1)]])</f>
        <v>0.86217409088433605</v>
      </c>
    </row>
    <row r="5" spans="1:39" x14ac:dyDescent="0.3">
      <c r="A5" s="128">
        <v>43328</v>
      </c>
      <c r="B5" s="29">
        <v>2</v>
      </c>
      <c r="C5" s="28">
        <v>617</v>
      </c>
      <c r="D5" s="28">
        <f>24/(LTP[[#This Row],[Cycle duration 
(h)]]+2)</f>
        <v>4</v>
      </c>
      <c r="E5" s="137">
        <v>4</v>
      </c>
      <c r="F5" s="42">
        <f>Information!$R$61/(LTP[Flow 
(m3 d-1)]/24*LTP[[#This Row],[Cycles per day]]*LTP[[#This Row],[Cycle duration 
(h)]])*24</f>
        <v>86.266969205834698</v>
      </c>
      <c r="G5" s="27">
        <v>35.270000000000003</v>
      </c>
      <c r="H5" s="29">
        <v>7.82</v>
      </c>
      <c r="I5" s="133">
        <v>3.5</v>
      </c>
      <c r="J5" s="27">
        <v>55.17</v>
      </c>
      <c r="K5" s="27">
        <f>LTP[[#This Row],[TSS  
(mg L-1)]]</f>
        <v>10520</v>
      </c>
      <c r="L5" s="27">
        <f>LTP[[#This Row],[VSS 
(mg L-1)]]</f>
        <v>5190</v>
      </c>
      <c r="M5" s="29">
        <v>9625</v>
      </c>
      <c r="N5" s="29">
        <f>LTP[[#This Row],[COD 
(mg L-1)]]*Information!$AK$44</f>
        <v>2598.75</v>
      </c>
      <c r="O5" s="29">
        <v>1271</v>
      </c>
      <c r="P5" s="29">
        <v>9.4</v>
      </c>
      <c r="Q5" s="29">
        <v>10520</v>
      </c>
      <c r="R5" s="29">
        <v>5190</v>
      </c>
      <c r="S5" s="29">
        <v>4.76</v>
      </c>
      <c r="T5" s="29">
        <v>123.4</v>
      </c>
      <c r="U5" s="6"/>
      <c r="V5" s="20"/>
      <c r="W5" s="6"/>
      <c r="X5" s="29">
        <v>29.76</v>
      </c>
      <c r="Y5" s="29">
        <v>164.08</v>
      </c>
      <c r="Z5" s="6">
        <f>IF(LTP[[#This Row],[TON 
(mg L-1)]]-LTP[[#This Row],[NO2-N 
(mg L-1)]]&lt;0,0.2,LTP[[#This Row],[TON 
(mg L-1)]]-LTP[[#This Row],[NO2-N 
(mg L-1)]])</f>
        <v>0.2</v>
      </c>
      <c r="AA5" s="4">
        <f>SUM(LTP[[#This Row],[NH4-N 
(mg L-1)]:[NO3-N 
(mg L-1)]])</f>
        <v>194.04</v>
      </c>
      <c r="AB5" s="21">
        <f>LTP[[#This Row],[NO3-N 
(mg L-1)]]/(Influent[[#This Row],[NH4-N (mg L-1)]]-LTP[[#This Row],[NH4-N 
(mg L-1)]])</f>
        <v>2.0382373323549796E-4</v>
      </c>
      <c r="AC5" s="6">
        <f>LTP[[#This Row],[NO2-N 
(mg L-1)]]/(Influent[[#This Row],[NH4-N (mg L-1)]]-LTP[[#This Row],[NH4-N 
(mg L-1)]])</f>
        <v>0.16721699074640253</v>
      </c>
      <c r="AD5" s="20">
        <f>46/14*LTP[[#This Row],[NO2-N 
(mg L-1)]]/(EXP(-2300/(273+LTP[[#This Row],[Temp. 
(°C)]]))*10^LTP[[#This Row],[pHreactor]])</f>
        <v>1.4189042615659463E-2</v>
      </c>
      <c r="AE5" s="19">
        <f>17/14*(LTP[[#This Row],[NH4-N 
(mg L-1)]]*10^LTP[[#This Row],[pHeff]])/(EXP(6344/(273+LTP[[#This Row],[Temp. 
(°C)]]))+10^LTP[[#This Row],[pHreactor]])</f>
        <v>97.391037480421161</v>
      </c>
      <c r="AF5" s="20"/>
      <c r="AG5" s="6"/>
      <c r="AH5" s="6">
        <f>(Influent[[#This Row],[NH4-N (mg L-1)]]*LTP[ARE 
(%)])*24/LTP[[#This Row],[HRT 
(h)]]/1000</f>
        <v>0.27298698698698692</v>
      </c>
      <c r="AI5" s="6">
        <f>Influent[[#This Row],[TN (mg L-1)]]/LTP[[#This Row],[HRT 
(h)]]*24/1000</f>
        <v>0.28132204276348421</v>
      </c>
      <c r="AJ5" s="6">
        <f>(Influent[[#This Row],[NH4-N (mg L-1)]])*LTP[NRE 
(%)]/LTP[[#This Row],[HRT 
(h)]]*24/1000</f>
        <v>0.227293960324077</v>
      </c>
      <c r="AK5" s="26">
        <f>1-(LTP[[#This Row],[NH4-N 
(mg L-1)]]/Influent[[#This Row],[NH4-N (mg L-1)]])</f>
        <v>0.97056379821958461</v>
      </c>
      <c r="AL5" s="26">
        <f>1-(LTP[[#This Row],[TN 
(mg L-1)]]/Influent[[#This Row],[TN (mg L-1)]])</f>
        <v>0.80810917721518982</v>
      </c>
    </row>
    <row r="6" spans="1:39" x14ac:dyDescent="0.3">
      <c r="A6" s="128">
        <v>43329</v>
      </c>
      <c r="B6" s="29">
        <v>3</v>
      </c>
      <c r="C6" s="28"/>
      <c r="D6" s="28"/>
      <c r="E6" s="137"/>
      <c r="F6" s="42"/>
      <c r="G6" s="27"/>
      <c r="H6" s="29"/>
      <c r="I6" s="27"/>
      <c r="J6" s="27"/>
      <c r="K6" s="27"/>
      <c r="L6" s="27"/>
      <c r="U6" s="6"/>
      <c r="V6" s="20"/>
      <c r="W6" s="6"/>
      <c r="Z6" s="6"/>
      <c r="AA6" s="4"/>
      <c r="AB6" s="21"/>
      <c r="AC6" s="6"/>
      <c r="AD6" s="20"/>
      <c r="AE6" s="19"/>
      <c r="AF6" s="20"/>
      <c r="AG6" s="6"/>
      <c r="AH6" s="6"/>
      <c r="AI6" s="6"/>
      <c r="AJ6" s="6"/>
      <c r="AK6" s="26"/>
      <c r="AL6" s="26"/>
    </row>
    <row r="7" spans="1:39" x14ac:dyDescent="0.3">
      <c r="A7" s="128">
        <v>43330</v>
      </c>
      <c r="B7" s="29">
        <v>4</v>
      </c>
      <c r="C7" s="28"/>
      <c r="D7" s="28"/>
      <c r="E7" s="137"/>
      <c r="F7" s="42"/>
      <c r="G7" s="27"/>
      <c r="H7" s="29"/>
      <c r="I7" s="27"/>
      <c r="J7" s="27"/>
      <c r="K7" s="27"/>
      <c r="L7" s="27"/>
      <c r="U7" s="6"/>
      <c r="V7" s="20"/>
      <c r="W7" s="6"/>
      <c r="Z7" s="6"/>
      <c r="AA7" s="4"/>
      <c r="AB7" s="21"/>
      <c r="AC7" s="6"/>
      <c r="AD7" s="20"/>
      <c r="AE7" s="19"/>
      <c r="AF7" s="20"/>
      <c r="AG7" s="6"/>
      <c r="AH7" s="6"/>
      <c r="AI7" s="6"/>
      <c r="AJ7" s="6"/>
      <c r="AK7" s="26"/>
      <c r="AL7" s="26"/>
    </row>
    <row r="8" spans="1:39" x14ac:dyDescent="0.3">
      <c r="A8" s="128">
        <v>43331</v>
      </c>
      <c r="B8" s="29">
        <v>5</v>
      </c>
      <c r="C8" s="28"/>
      <c r="D8" s="28"/>
      <c r="E8" s="137"/>
      <c r="F8" s="42"/>
      <c r="G8" s="27"/>
      <c r="H8" s="29"/>
      <c r="I8" s="27"/>
      <c r="J8" s="27"/>
      <c r="K8" s="27"/>
      <c r="L8" s="27"/>
      <c r="U8" s="6"/>
      <c r="V8" s="20"/>
      <c r="W8" s="6"/>
      <c r="Z8" s="6"/>
      <c r="AA8" s="4"/>
      <c r="AB8" s="21"/>
      <c r="AC8" s="6"/>
      <c r="AD8" s="20"/>
      <c r="AE8" s="19"/>
      <c r="AF8" s="20"/>
      <c r="AG8" s="6"/>
      <c r="AH8" s="6"/>
      <c r="AI8" s="6"/>
      <c r="AJ8" s="6"/>
      <c r="AK8" s="26"/>
      <c r="AL8" s="26"/>
    </row>
    <row r="9" spans="1:39" x14ac:dyDescent="0.3">
      <c r="A9" s="128">
        <v>43332</v>
      </c>
      <c r="B9" s="29">
        <v>6</v>
      </c>
      <c r="C9" s="28"/>
      <c r="D9" s="28"/>
      <c r="E9" s="137"/>
      <c r="F9" s="42"/>
      <c r="G9" s="27"/>
      <c r="H9" s="29"/>
      <c r="I9" s="27"/>
      <c r="J9" s="27"/>
      <c r="K9" s="27"/>
      <c r="L9" s="27"/>
      <c r="U9" s="6"/>
      <c r="V9" s="20"/>
      <c r="W9" s="6"/>
      <c r="Z9" s="6"/>
      <c r="AA9" s="4"/>
      <c r="AB9" s="21"/>
      <c r="AC9" s="6"/>
      <c r="AD9" s="20"/>
      <c r="AE9" s="19"/>
      <c r="AF9" s="20"/>
      <c r="AG9" s="6"/>
      <c r="AH9" s="6"/>
      <c r="AI9" s="6"/>
      <c r="AJ9" s="6"/>
      <c r="AK9" s="26"/>
      <c r="AL9" s="26"/>
    </row>
    <row r="10" spans="1:39" x14ac:dyDescent="0.3">
      <c r="A10" s="128">
        <v>43333</v>
      </c>
      <c r="B10" s="29">
        <v>7</v>
      </c>
      <c r="C10" s="28"/>
      <c r="D10" s="28"/>
      <c r="E10" s="137"/>
      <c r="F10" s="42"/>
      <c r="G10" s="27"/>
      <c r="H10" s="29"/>
      <c r="I10" s="27"/>
      <c r="J10" s="27"/>
      <c r="K10" s="27"/>
      <c r="L10" s="27"/>
      <c r="M10" s="29"/>
      <c r="O10" s="29"/>
      <c r="P10" s="29"/>
      <c r="Q10" s="29"/>
      <c r="R10" s="29"/>
      <c r="S10" s="29"/>
      <c r="T10" s="29"/>
      <c r="U10" s="6"/>
      <c r="V10" s="20"/>
      <c r="W10" s="6"/>
      <c r="X10" s="29"/>
      <c r="Y10" s="29"/>
      <c r="Z10" s="6"/>
      <c r="AA10" s="4"/>
      <c r="AB10" s="21"/>
      <c r="AC10" s="6"/>
      <c r="AD10" s="20"/>
      <c r="AE10" s="19"/>
      <c r="AF10" s="20"/>
      <c r="AG10" s="6"/>
      <c r="AH10" s="6"/>
      <c r="AI10" s="6"/>
      <c r="AJ10" s="6"/>
      <c r="AK10" s="26"/>
      <c r="AL10" s="26"/>
    </row>
    <row r="11" spans="1:39" x14ac:dyDescent="0.3">
      <c r="A11" s="128">
        <v>43334</v>
      </c>
      <c r="B11" s="29">
        <v>8</v>
      </c>
      <c r="C11" s="28"/>
      <c r="D11" s="28"/>
      <c r="E11" s="137"/>
      <c r="F11" s="42"/>
      <c r="G11" s="27"/>
      <c r="H11" s="29"/>
      <c r="I11" s="27"/>
      <c r="J11" s="27"/>
      <c r="K11" s="27"/>
      <c r="L11" s="27"/>
      <c r="M11" s="29"/>
      <c r="O11" s="29"/>
      <c r="P11" s="29"/>
      <c r="Q11" s="29"/>
      <c r="R11" s="29"/>
      <c r="S11" s="29"/>
      <c r="T11" s="29"/>
      <c r="U11" s="6"/>
      <c r="V11" s="20"/>
      <c r="W11" s="6"/>
      <c r="X11" s="29"/>
      <c r="Y11" s="29"/>
      <c r="Z11" s="6"/>
      <c r="AA11" s="4"/>
      <c r="AB11" s="21"/>
      <c r="AC11" s="6"/>
      <c r="AD11" s="20"/>
      <c r="AE11" s="19"/>
      <c r="AF11" s="20"/>
      <c r="AG11" s="6"/>
      <c r="AH11" s="6"/>
      <c r="AI11" s="6"/>
      <c r="AJ11" s="6"/>
      <c r="AK11" s="26"/>
      <c r="AL11" s="26"/>
    </row>
    <row r="12" spans="1:39" x14ac:dyDescent="0.3">
      <c r="A12" s="128">
        <v>43335</v>
      </c>
      <c r="B12" s="29">
        <v>9</v>
      </c>
      <c r="C12" s="28"/>
      <c r="D12" s="28"/>
      <c r="E12" s="137"/>
      <c r="F12" s="42"/>
      <c r="G12" s="27"/>
      <c r="H12" s="29"/>
      <c r="I12" s="27"/>
      <c r="J12" s="27"/>
      <c r="K12" s="27"/>
      <c r="L12" s="27"/>
      <c r="M12" s="29"/>
      <c r="O12" s="29"/>
      <c r="P12" s="29"/>
      <c r="Q12" s="29"/>
      <c r="R12" s="29"/>
      <c r="S12" s="29"/>
      <c r="T12" s="29"/>
      <c r="U12" s="6"/>
      <c r="V12" s="20"/>
      <c r="W12" s="6"/>
      <c r="X12" s="29"/>
      <c r="Y12" s="29"/>
      <c r="Z12" s="6"/>
      <c r="AA12" s="4"/>
      <c r="AB12" s="21"/>
      <c r="AC12" s="6"/>
      <c r="AD12" s="20"/>
      <c r="AE12" s="19"/>
      <c r="AF12" s="20"/>
      <c r="AG12" s="6"/>
      <c r="AH12" s="6"/>
      <c r="AI12" s="6"/>
      <c r="AJ12" s="6"/>
      <c r="AK12" s="26"/>
      <c r="AL12" s="26"/>
    </row>
    <row r="13" spans="1:39" x14ac:dyDescent="0.3">
      <c r="A13" s="128">
        <v>43336</v>
      </c>
      <c r="B13" s="29">
        <v>10</v>
      </c>
      <c r="C13" s="28"/>
      <c r="D13" s="28"/>
      <c r="E13" s="137"/>
      <c r="F13" s="42"/>
      <c r="G13" s="27"/>
      <c r="H13" s="29"/>
      <c r="I13" s="27"/>
      <c r="J13" s="27"/>
      <c r="K13" s="27"/>
      <c r="L13" s="27"/>
      <c r="M13" s="29"/>
      <c r="O13" s="29"/>
      <c r="P13" s="29"/>
      <c r="Q13" s="29"/>
      <c r="R13" s="29"/>
      <c r="S13" s="29"/>
      <c r="T13" s="29"/>
      <c r="U13" s="6"/>
      <c r="V13" s="20"/>
      <c r="W13" s="6"/>
      <c r="X13" s="29"/>
      <c r="Y13" s="29"/>
      <c r="Z13" s="6"/>
      <c r="AA13" s="4"/>
      <c r="AB13" s="21"/>
      <c r="AC13" s="6"/>
      <c r="AD13" s="20"/>
      <c r="AE13" s="19"/>
      <c r="AF13" s="20"/>
      <c r="AG13" s="6"/>
      <c r="AH13" s="6"/>
      <c r="AI13" s="6"/>
      <c r="AJ13" s="6"/>
      <c r="AK13" s="26"/>
      <c r="AL13" s="26"/>
    </row>
    <row r="14" spans="1:39" x14ac:dyDescent="0.3">
      <c r="A14" s="128">
        <v>43337</v>
      </c>
      <c r="B14" s="29">
        <v>11</v>
      </c>
      <c r="C14" s="28"/>
      <c r="D14" s="28"/>
      <c r="E14" s="137"/>
      <c r="F14" s="42"/>
      <c r="G14" s="27"/>
      <c r="H14" s="29"/>
      <c r="I14" s="27"/>
      <c r="J14" s="27"/>
      <c r="K14" s="27"/>
      <c r="L14" s="27"/>
      <c r="M14" s="29"/>
      <c r="O14" s="29"/>
      <c r="P14" s="29"/>
      <c r="Q14" s="29"/>
      <c r="R14" s="29"/>
      <c r="S14" s="29"/>
      <c r="T14" s="29"/>
      <c r="U14" s="6"/>
      <c r="V14" s="20"/>
      <c r="W14" s="6"/>
      <c r="X14" s="29"/>
      <c r="Y14" s="29"/>
      <c r="Z14" s="6"/>
      <c r="AA14" s="4"/>
      <c r="AB14" s="21"/>
      <c r="AC14" s="6"/>
      <c r="AD14" s="20"/>
      <c r="AE14" s="19"/>
      <c r="AF14" s="20"/>
      <c r="AG14" s="6"/>
      <c r="AH14" s="6"/>
      <c r="AI14" s="6"/>
      <c r="AJ14" s="6"/>
      <c r="AK14" s="26"/>
      <c r="AL14" s="26"/>
    </row>
    <row r="15" spans="1:39" x14ac:dyDescent="0.3">
      <c r="A15" s="128">
        <v>43338</v>
      </c>
      <c r="B15" s="29">
        <v>12</v>
      </c>
      <c r="C15" s="28"/>
      <c r="D15" s="28"/>
      <c r="E15" s="137"/>
      <c r="F15" s="42"/>
      <c r="G15" s="27"/>
      <c r="H15" s="29"/>
      <c r="I15" s="27"/>
      <c r="J15" s="27"/>
      <c r="K15" s="27"/>
      <c r="L15" s="27"/>
      <c r="M15" s="29"/>
      <c r="O15" s="29"/>
      <c r="P15" s="29"/>
      <c r="Q15" s="29"/>
      <c r="R15" s="29"/>
      <c r="S15" s="29"/>
      <c r="T15" s="29"/>
      <c r="U15" s="6"/>
      <c r="V15" s="20"/>
      <c r="W15" s="6"/>
      <c r="X15" s="29"/>
      <c r="Y15" s="29"/>
      <c r="Z15" s="6"/>
      <c r="AA15" s="4"/>
      <c r="AB15" s="21"/>
      <c r="AC15" s="6"/>
      <c r="AD15" s="20"/>
      <c r="AE15" s="19"/>
      <c r="AF15" s="20"/>
      <c r="AG15" s="6"/>
      <c r="AH15" s="6"/>
      <c r="AI15" s="6"/>
      <c r="AJ15" s="6"/>
      <c r="AK15" s="26"/>
      <c r="AL15" s="26"/>
    </row>
    <row r="16" spans="1:39" x14ac:dyDescent="0.3">
      <c r="A16" s="128">
        <v>43339</v>
      </c>
      <c r="B16" s="29">
        <v>13</v>
      </c>
      <c r="C16" s="28">
        <v>739</v>
      </c>
      <c r="D16" s="28">
        <f>24/(LTP[[#This Row],[Cycle duration 
(h)]]+2)</f>
        <v>4</v>
      </c>
      <c r="E16" s="137">
        <v>4</v>
      </c>
      <c r="F16" s="42">
        <f>Information!$R$61/(LTP[Flow 
(m3 d-1)]/24*LTP[[#This Row],[Cycles per day]]*LTP[[#This Row],[Cycle duration 
(h)]])*24</f>
        <v>72.025331529093364</v>
      </c>
      <c r="G16" s="27">
        <v>32.4</v>
      </c>
      <c r="H16" s="29">
        <v>7.31</v>
      </c>
      <c r="I16" s="27">
        <v>3.5</v>
      </c>
      <c r="J16" s="27">
        <v>46.34</v>
      </c>
      <c r="K16" s="27">
        <f>LTP[[#This Row],[TSS  
(mg L-1)]]</f>
        <v>10300</v>
      </c>
      <c r="L16" s="27">
        <f>LTP[[#This Row],[VSS 
(mg L-1)]]</f>
        <v>4250</v>
      </c>
      <c r="M16" s="29">
        <v>14050</v>
      </c>
      <c r="N16" s="29">
        <f>LTP[[#This Row],[COD 
(mg L-1)]]*Information!$AK$44</f>
        <v>3793.5000000000005</v>
      </c>
      <c r="O16" s="29">
        <v>1690</v>
      </c>
      <c r="P16" s="29">
        <v>9.1</v>
      </c>
      <c r="Q16" s="29">
        <v>10300</v>
      </c>
      <c r="R16" s="29">
        <v>4250</v>
      </c>
      <c r="S16" s="29">
        <v>15.39</v>
      </c>
      <c r="T16" s="29">
        <v>807.2</v>
      </c>
      <c r="U16" s="6"/>
      <c r="V16" s="20"/>
      <c r="W16" s="6"/>
      <c r="X16" s="29">
        <v>172.04</v>
      </c>
      <c r="Y16" s="29">
        <v>719.11</v>
      </c>
      <c r="Z16" s="6">
        <f>IF(LTP[[#This Row],[TON 
(mg L-1)]]-LTP[[#This Row],[NO2-N 
(mg L-1)]]&lt;0,0.2,LTP[[#This Row],[TON 
(mg L-1)]]-LTP[[#This Row],[NO2-N 
(mg L-1)]])</f>
        <v>88.090000000000032</v>
      </c>
      <c r="AA16" s="4">
        <f>SUM(LTP[[#This Row],[NH4-N 
(mg L-1)]:[NO3-N 
(mg L-1)]])</f>
        <v>979.24</v>
      </c>
      <c r="AB16" s="21">
        <f>LTP[[#This Row],[NO3-N 
(mg L-1)]]/(Influent[[#This Row],[NH4-N (mg L-1)]]-LTP[[#This Row],[NH4-N 
(mg L-1)]])</f>
        <v>7.2308045901531726E-2</v>
      </c>
      <c r="AC16" s="6">
        <f>LTP[[#This Row],[NO2-N 
(mg L-1)]]/(Influent[[#This Row],[NH4-N (mg L-1)]]-LTP[[#This Row],[NH4-N 
(mg L-1)]])</f>
        <v>0.59027629570042517</v>
      </c>
      <c r="AD16" s="20">
        <f>46/14*LTP[[#This Row],[NO2-N 
(mg L-1)]]/(EXP(-2300/(273+LTP[[#This Row],[Temp. 
(°C)]]))*10^LTP[[#This Row],[pHreactor]])</f>
        <v>0.21584561302362415</v>
      </c>
      <c r="AE16" s="19">
        <f>17/14*(LTP[[#This Row],[NH4-N 
(mg L-1)]]*10^LTP[[#This Row],[pHeff]])/(EXP(6344/(273+LTP[[#This Row],[Temp. 
(°C)]]))+10^LTP[[#This Row],[pHreactor]])</f>
        <v>245.52658076637886</v>
      </c>
      <c r="AF16" s="20">
        <f>Influent[[#This Row],[sCOD (mg L-1)]]/LTP[[#This Row],[HRT 
(h)]]*24/1000</f>
        <v>0.98965181397613833</v>
      </c>
      <c r="AG16" s="6"/>
      <c r="AH16" s="6">
        <f>(Influent[[#This Row],[NH4-N (mg L-1)]]*LTP[ARE 
(%)])*24/LTP[[#This Row],[HRT 
(h)]]/1000</f>
        <v>0.4059438447456466</v>
      </c>
      <c r="AI16" s="6">
        <f>Influent[[#This Row],[TN (mg L-1)]]/LTP[[#This Row],[HRT 
(h)]]*24/1000</f>
        <v>0.46333698563428294</v>
      </c>
      <c r="AJ16" s="6">
        <f>(Influent[[#This Row],[NH4-N (mg L-1)]])*LTP[NRE 
(%)]/LTP[[#This Row],[HRT 
(h)]]*24/1000</f>
        <v>0.13701874219444932</v>
      </c>
      <c r="AK16" s="26">
        <f>1-(LTP[[#This Row],[NH4-N 
(mg L-1)]]/Influent[[#This Row],[NH4-N (mg L-1)]])</f>
        <v>0.87625692296626623</v>
      </c>
      <c r="AL16" s="26">
        <f>1-(LTP[[#This Row],[TN 
(mg L-1)]]/Influent[[#This Row],[TN (mg L-1)]])</f>
        <v>0.29576411362819133</v>
      </c>
    </row>
    <row r="17" spans="1:38" x14ac:dyDescent="0.3">
      <c r="A17" s="128">
        <v>43340</v>
      </c>
      <c r="B17" s="29">
        <v>14</v>
      </c>
      <c r="C17" s="28">
        <v>264</v>
      </c>
      <c r="D17" s="28">
        <f>24/(LTP[[#This Row],[Cycle duration 
(h)]]+2)</f>
        <v>4</v>
      </c>
      <c r="E17" s="137">
        <v>4</v>
      </c>
      <c r="F17" s="42">
        <f>Information!$R$61/(LTP[Flow 
(m3 d-1)]/24*LTP[[#This Row],[Cycles per day]]*LTP[[#This Row],[Cycle duration 
(h)]])*24</f>
        <v>201.61636363636364</v>
      </c>
      <c r="G17" s="27">
        <v>33.090000000000003</v>
      </c>
      <c r="H17" s="29">
        <v>6.96</v>
      </c>
      <c r="I17" s="27">
        <v>3.5</v>
      </c>
      <c r="J17" s="27">
        <v>44.04</v>
      </c>
      <c r="K17" s="27">
        <f>LTP[[#This Row],[TSS  
(mg L-1)]]</f>
        <v>9300</v>
      </c>
      <c r="L17" s="27">
        <f>LTP[[#This Row],[VSS 
(mg L-1)]]</f>
        <v>3510</v>
      </c>
      <c r="M17" s="29">
        <v>13625</v>
      </c>
      <c r="N17" s="29">
        <f>LTP[[#This Row],[COD 
(mg L-1)]]*Information!$AK$44</f>
        <v>3678.7500000000005</v>
      </c>
      <c r="O17" s="29">
        <v>1489</v>
      </c>
      <c r="P17" s="29">
        <v>9</v>
      </c>
      <c r="Q17" s="29">
        <v>9300</v>
      </c>
      <c r="R17" s="29">
        <v>3510</v>
      </c>
      <c r="S17" s="29">
        <v>13.32</v>
      </c>
      <c r="T17" s="29">
        <v>841.8</v>
      </c>
      <c r="U17" s="6"/>
      <c r="V17" s="20"/>
      <c r="W17" s="6"/>
      <c r="X17" s="29">
        <v>187.18</v>
      </c>
      <c r="Y17" s="29">
        <v>712.54</v>
      </c>
      <c r="Z17" s="6">
        <f>IF(LTP[[#This Row],[TON 
(mg L-1)]]-LTP[[#This Row],[NO2-N 
(mg L-1)]]&lt;0,0.2,LTP[[#This Row],[TON 
(mg L-1)]]-LTP[[#This Row],[NO2-N 
(mg L-1)]])</f>
        <v>129.26</v>
      </c>
      <c r="AA17" s="4">
        <f>SUM(LTP[[#This Row],[NH4-N 
(mg L-1)]:[NO3-N 
(mg L-1)]])</f>
        <v>1028.98</v>
      </c>
      <c r="AB17" s="21">
        <f>LTP[[#This Row],[NO3-N 
(mg L-1)]]/(Influent[[#This Row],[NH4-N (mg L-1)]]-LTP[[#This Row],[NH4-N 
(mg L-1)]])</f>
        <v>0.10548220202053174</v>
      </c>
      <c r="AC17" s="6">
        <f>LTP[[#This Row],[NO2-N 
(mg L-1)]]/(Influent[[#This Row],[NH4-N (mg L-1)]]-LTP[[#This Row],[NH4-N 
(mg L-1)]])</f>
        <v>0.58146594636940807</v>
      </c>
      <c r="AD17" s="20">
        <f>46/14*LTP[[#This Row],[NO2-N 
(mg L-1)]]/(EXP(-2300/(273+LTP[[#This Row],[Temp. 
(°C)]]))*10^LTP[[#This Row],[pHreactor]])</f>
        <v>0.47074332156111648</v>
      </c>
      <c r="AE17" s="19">
        <f>17/14*(LTP[[#This Row],[NH4-N 
(mg L-1)]]*10^LTP[[#This Row],[pHeff]])/(EXP(6344/(273+LTP[[#This Row],[Temp. 
(°C)]]))+10^LTP[[#This Row],[pHreactor]])</f>
        <v>224.64189746056417</v>
      </c>
      <c r="AF17" s="20">
        <f>Influent[[#This Row],[sCOD (mg L-1)]]/LTP[[#This Row],[HRT 
(h)]]*24/1000</f>
        <v>0.4108595081568055</v>
      </c>
      <c r="AG17" s="6"/>
      <c r="AH17" s="6">
        <f>(Influent[[#This Row],[NH4-N (mg L-1)]]*LTP[ARE 
(%)])*24/LTP[[#This Row],[HRT 
(h)]]/1000</f>
        <v>0.14587149311473635</v>
      </c>
      <c r="AI17" s="6">
        <f>Influent[[#This Row],[TN (mg L-1)]]/LTP[[#This Row],[HRT 
(h)]]*24/1000</f>
        <v>0.16817682547412277</v>
      </c>
      <c r="AJ17" s="6">
        <f>(Influent[[#This Row],[NH4-N (mg L-1)]])*LTP[NRE 
(%)]/LTP[[#This Row],[HRT 
(h)]]*24/1000</f>
        <v>4.5682680721797972E-2</v>
      </c>
      <c r="AK17" s="26">
        <f>1-(LTP[[#This Row],[NH4-N 
(mg L-1)]]/Influent[[#This Row],[NH4-N (mg L-1)]])</f>
        <v>0.86749256689791876</v>
      </c>
      <c r="AL17" s="26">
        <f>1-(LTP[[#This Row],[TN 
(mg L-1)]]/Influent[[#This Row],[TN (mg L-1)]])</f>
        <v>0.27167327293318233</v>
      </c>
    </row>
    <row r="18" spans="1:38" x14ac:dyDescent="0.3">
      <c r="A18" s="128">
        <v>43341</v>
      </c>
      <c r="B18" s="29">
        <v>15</v>
      </c>
      <c r="C18" s="28">
        <v>444.4</v>
      </c>
      <c r="D18" s="28">
        <f>24/(LTP[[#This Row],[Cycle duration 
(h)]]+2)</f>
        <v>4</v>
      </c>
      <c r="E18" s="137">
        <v>4</v>
      </c>
      <c r="F18" s="42">
        <f>Information!$R$61/(LTP[Flow 
(m3 d-1)]/24*LTP[[#This Row],[Cycles per day]]*LTP[[#This Row],[Cycle duration 
(h)]])*24</f>
        <v>119.77209720972098</v>
      </c>
      <c r="G18" s="27">
        <v>32</v>
      </c>
      <c r="H18" s="29">
        <v>7.51</v>
      </c>
      <c r="I18" s="27">
        <v>3.5</v>
      </c>
      <c r="J18" s="27">
        <v>61.26</v>
      </c>
      <c r="K18" s="27"/>
      <c r="L18" s="27"/>
      <c r="O18" s="29">
        <v>1305</v>
      </c>
      <c r="P18" s="29">
        <v>9.1999999999999993</v>
      </c>
      <c r="Q18" s="29">
        <v>11140</v>
      </c>
      <c r="R18" s="29"/>
      <c r="S18" s="29">
        <v>9.14</v>
      </c>
      <c r="T18" s="29"/>
      <c r="U18" s="6"/>
      <c r="V18" s="20"/>
      <c r="W18" s="6"/>
      <c r="X18" s="29">
        <v>105.44</v>
      </c>
      <c r="Y18" s="29"/>
      <c r="Z18" s="6"/>
      <c r="AA18" s="4"/>
      <c r="AB18" s="21"/>
      <c r="AC18" s="6"/>
      <c r="AD18" s="20"/>
      <c r="AF18" s="20"/>
      <c r="AG18" s="6"/>
      <c r="AH18" s="6">
        <f>(Influent[[#This Row],[NH4-N (mg L-1)]]*LTP[ARE 
(%)])*24/LTP[[#This Row],[HRT 
(h)]]/1000</f>
        <v>0.22668251314377438</v>
      </c>
      <c r="AI18" s="6">
        <f>Influent[[#This Row],[TN (mg L-1)]]/LTP[[#This Row],[HRT 
(h)]]*24/1000</f>
        <v>0.2478507155804453</v>
      </c>
      <c r="AJ18" s="6"/>
      <c r="AK18" s="26">
        <f>1-(LTP[[#This Row],[NH4-N 
(mg L-1)]]/Influent[[#This Row],[NH4-N (mg L-1)]])</f>
        <v>0.91474084256489041</v>
      </c>
      <c r="AL18" s="26"/>
    </row>
    <row r="19" spans="1:38" x14ac:dyDescent="0.3">
      <c r="A19" s="128">
        <v>43342</v>
      </c>
      <c r="B19" s="29">
        <v>16</v>
      </c>
      <c r="C19" s="28">
        <v>411.8</v>
      </c>
      <c r="D19" s="28">
        <f>24/(LTP[[#This Row],[Cycle duration 
(h)]]+2)</f>
        <v>4</v>
      </c>
      <c r="E19" s="137">
        <v>4</v>
      </c>
      <c r="F19" s="42">
        <f>Information!$R$61/(LTP[Flow 
(m3 d-1)]/24*LTP[[#This Row],[Cycles per day]]*LTP[[#This Row],[Cycle duration 
(h)]])*24</f>
        <v>129.25381253035454</v>
      </c>
      <c r="G19" s="27">
        <v>32.85</v>
      </c>
      <c r="H19" s="29">
        <v>753</v>
      </c>
      <c r="I19" s="27">
        <v>3.5</v>
      </c>
      <c r="J19" s="27">
        <v>57.53</v>
      </c>
      <c r="K19" s="27"/>
      <c r="L19" s="27"/>
      <c r="O19" s="29">
        <v>1251</v>
      </c>
      <c r="P19" s="29">
        <v>8.9</v>
      </c>
      <c r="Q19" s="29">
        <v>9880</v>
      </c>
      <c r="R19" s="29"/>
      <c r="S19" s="29">
        <v>10.3</v>
      </c>
      <c r="T19" s="29"/>
      <c r="U19" s="6"/>
      <c r="V19" s="20"/>
      <c r="W19" s="6"/>
      <c r="X19" s="29">
        <v>59.28</v>
      </c>
      <c r="Y19" s="29"/>
      <c r="Z19" s="6"/>
      <c r="AA19" s="4"/>
      <c r="AB19" s="21"/>
      <c r="AC19" s="6"/>
      <c r="AD19" s="20"/>
      <c r="AF19" s="20">
        <f>Influent[[#This Row],[sCOD (mg L-1)]]/LTP[[#This Row],[HRT 
(h)]]*24/1000</f>
        <v>0.55982874766658552</v>
      </c>
      <c r="AG19" s="6">
        <f>IFERROR(IF(((Influent[[#This Row],[COD (mg L-1)]]-LTP[[#This Row],[sCOD]])/LTP[[#This Row],[HRT 
(h)]]*24/1000) &lt;0,0, (Influent[[#This Row],[sCOD (mg L-1)]]-LTP[[#This Row],[sCOD]])/LTP[[#This Row],[HRT 
(h)]]*24/1000),0)</f>
        <v>0.55982874766658552</v>
      </c>
      <c r="AH19" s="6">
        <f>(Influent[[#This Row],[NH4-N (mg L-1)]]*LTP[ARE 
(%)])*24/LTP[[#This Row],[HRT 
(h)]]/1000</f>
        <v>0.23661723705687671</v>
      </c>
      <c r="AI19" s="6">
        <f>Influent[[#This Row],[TN (mg L-1)]]/LTP[[#This Row],[HRT 
(h)]]*24/1000</f>
        <v>0.24766155344533725</v>
      </c>
      <c r="AJ19" s="6"/>
      <c r="AK19" s="26">
        <f>1-(LTP[[#This Row],[NH4-N 
(mg L-1)]]/Influent[[#This Row],[NH4-N (mg L-1)]])</f>
        <v>0.95554889022195555</v>
      </c>
      <c r="AL19" s="26"/>
    </row>
    <row r="20" spans="1:38" x14ac:dyDescent="0.3">
      <c r="A20" s="128">
        <v>43343</v>
      </c>
      <c r="B20" s="29">
        <v>17</v>
      </c>
      <c r="C20" s="28"/>
      <c r="D20" s="28"/>
      <c r="E20" s="137"/>
      <c r="F20" s="42"/>
      <c r="G20" s="27"/>
      <c r="H20" s="29"/>
      <c r="I20" s="27"/>
      <c r="J20" s="27"/>
      <c r="K20" s="27"/>
      <c r="L20" s="27"/>
      <c r="U20" s="6"/>
      <c r="V20" s="20"/>
      <c r="W20" s="6"/>
      <c r="Z20" s="6"/>
      <c r="AA20" s="4"/>
      <c r="AB20" s="21"/>
      <c r="AC20" s="6"/>
      <c r="AD20" s="20"/>
      <c r="AF20" s="20"/>
      <c r="AG20" s="6"/>
      <c r="AH20" s="6"/>
      <c r="AI20" s="6"/>
      <c r="AJ20" s="6"/>
      <c r="AK20" s="26"/>
      <c r="AL20" s="26"/>
    </row>
    <row r="21" spans="1:38" x14ac:dyDescent="0.3">
      <c r="A21" s="128">
        <v>43344</v>
      </c>
      <c r="B21" s="29">
        <v>18</v>
      </c>
      <c r="C21" s="28"/>
      <c r="D21" s="28"/>
      <c r="E21" s="137"/>
      <c r="F21" s="42"/>
      <c r="G21" s="27"/>
      <c r="H21" s="29"/>
      <c r="I21" s="27"/>
      <c r="J21" s="27"/>
      <c r="K21" s="27"/>
      <c r="L21" s="27"/>
      <c r="U21" s="6"/>
      <c r="V21" s="20"/>
      <c r="W21" s="6"/>
      <c r="Z21" s="6"/>
      <c r="AA21" s="4"/>
      <c r="AB21" s="21"/>
      <c r="AC21" s="6"/>
      <c r="AD21" s="20"/>
      <c r="AF21" s="20"/>
      <c r="AG21" s="6"/>
      <c r="AH21" s="6"/>
      <c r="AI21" s="6"/>
      <c r="AJ21" s="6"/>
      <c r="AK21" s="26"/>
      <c r="AL21" s="26"/>
    </row>
    <row r="22" spans="1:38" x14ac:dyDescent="0.3">
      <c r="A22" s="128">
        <v>43345</v>
      </c>
      <c r="B22" s="29">
        <v>19</v>
      </c>
      <c r="C22" s="28"/>
      <c r="D22" s="28"/>
      <c r="E22" s="137"/>
      <c r="F22" s="42"/>
      <c r="G22" s="27"/>
      <c r="H22" s="29"/>
      <c r="I22" s="27"/>
      <c r="J22" s="27"/>
      <c r="K22" s="27"/>
      <c r="L22" s="27"/>
      <c r="U22" s="6"/>
      <c r="V22" s="20"/>
      <c r="W22" s="6"/>
      <c r="Z22" s="6"/>
      <c r="AA22" s="4"/>
      <c r="AB22" s="21"/>
      <c r="AC22" s="6"/>
      <c r="AD22" s="20"/>
      <c r="AF22" s="20"/>
      <c r="AG22" s="6"/>
      <c r="AH22" s="6"/>
      <c r="AI22" s="6"/>
      <c r="AJ22" s="6"/>
      <c r="AK22" s="26"/>
      <c r="AL22" s="26"/>
    </row>
    <row r="23" spans="1:38" x14ac:dyDescent="0.3">
      <c r="A23" s="128">
        <v>43346</v>
      </c>
      <c r="B23" s="29">
        <v>20</v>
      </c>
      <c r="C23" s="28"/>
      <c r="D23" s="28"/>
      <c r="E23" s="137"/>
      <c r="F23" s="42"/>
      <c r="G23" s="27"/>
      <c r="H23" s="29"/>
      <c r="I23" s="27"/>
      <c r="J23" s="27"/>
      <c r="K23" s="27"/>
      <c r="L23" s="27"/>
      <c r="U23" s="6"/>
      <c r="V23" s="20"/>
      <c r="W23" s="6"/>
      <c r="Z23" s="6"/>
      <c r="AA23" s="4"/>
      <c r="AB23" s="21"/>
      <c r="AC23" s="6"/>
      <c r="AD23" s="20"/>
      <c r="AF23" s="20"/>
      <c r="AG23" s="6"/>
      <c r="AH23" s="6"/>
      <c r="AI23" s="6"/>
      <c r="AJ23" s="6"/>
      <c r="AK23" s="26"/>
      <c r="AL23" s="26"/>
    </row>
    <row r="24" spans="1:38" x14ac:dyDescent="0.3">
      <c r="A24" s="128">
        <v>43347</v>
      </c>
      <c r="B24" s="29">
        <v>21</v>
      </c>
      <c r="C24" s="28"/>
      <c r="D24" s="28"/>
      <c r="E24" s="137"/>
      <c r="F24" s="42"/>
      <c r="G24" s="27"/>
      <c r="H24" s="29"/>
      <c r="I24" s="27"/>
      <c r="J24" s="27"/>
      <c r="K24" s="27"/>
      <c r="L24" s="27"/>
      <c r="U24" s="6"/>
      <c r="V24" s="20"/>
      <c r="W24" s="6"/>
      <c r="Z24" s="6"/>
      <c r="AA24" s="4"/>
      <c r="AB24" s="21"/>
      <c r="AC24" s="6"/>
      <c r="AD24" s="20"/>
      <c r="AF24" s="20"/>
      <c r="AG24" s="6"/>
      <c r="AH24" s="6"/>
      <c r="AI24" s="6"/>
      <c r="AJ24" s="6"/>
      <c r="AK24" s="26"/>
      <c r="AL24" s="26"/>
    </row>
    <row r="25" spans="1:38" x14ac:dyDescent="0.3">
      <c r="A25" s="128">
        <v>43348</v>
      </c>
      <c r="B25" s="29">
        <v>22</v>
      </c>
      <c r="C25" s="28"/>
      <c r="D25" s="28"/>
      <c r="E25" s="137"/>
      <c r="F25" s="42"/>
      <c r="G25" s="27"/>
      <c r="H25" s="29"/>
      <c r="I25" s="27"/>
      <c r="J25" s="27"/>
      <c r="K25" s="27"/>
      <c r="L25" s="27"/>
      <c r="U25" s="6"/>
      <c r="V25" s="20"/>
      <c r="W25" s="6"/>
      <c r="Z25" s="6"/>
      <c r="AA25" s="4"/>
      <c r="AB25" s="21"/>
      <c r="AC25" s="6"/>
      <c r="AD25" s="20"/>
      <c r="AF25" s="20"/>
      <c r="AG25" s="6"/>
      <c r="AH25" s="6"/>
      <c r="AI25" s="6"/>
      <c r="AJ25" s="6"/>
      <c r="AK25" s="26"/>
      <c r="AL25" s="26"/>
    </row>
    <row r="26" spans="1:38" x14ac:dyDescent="0.3">
      <c r="A26" s="128">
        <v>43349</v>
      </c>
      <c r="B26" s="29">
        <v>23</v>
      </c>
      <c r="C26" s="28"/>
      <c r="D26" s="28"/>
      <c r="E26" s="137"/>
      <c r="F26" s="42"/>
      <c r="G26" s="27"/>
      <c r="H26" s="29"/>
      <c r="I26" s="27"/>
      <c r="J26" s="27"/>
      <c r="K26" s="27"/>
      <c r="L26" s="27"/>
      <c r="U26" s="6"/>
      <c r="V26" s="20"/>
      <c r="W26" s="6"/>
      <c r="Z26" s="6"/>
      <c r="AA26" s="4"/>
      <c r="AB26" s="21"/>
      <c r="AC26" s="6"/>
      <c r="AD26" s="20"/>
      <c r="AF26" s="20"/>
      <c r="AG26" s="6"/>
      <c r="AH26" s="6"/>
      <c r="AI26" s="6"/>
      <c r="AJ26" s="6"/>
      <c r="AK26" s="26"/>
      <c r="AL26" s="26"/>
    </row>
    <row r="27" spans="1:38" x14ac:dyDescent="0.3">
      <c r="A27" s="128">
        <v>43350</v>
      </c>
      <c r="B27" s="29">
        <v>24</v>
      </c>
      <c r="C27" s="28"/>
      <c r="D27" s="28"/>
      <c r="E27" s="137"/>
      <c r="F27" s="42"/>
      <c r="G27" s="27"/>
      <c r="H27" s="29"/>
      <c r="I27" s="27"/>
      <c r="J27" s="27"/>
      <c r="K27" s="27"/>
      <c r="L27" s="27"/>
      <c r="U27" s="6"/>
      <c r="V27" s="20"/>
      <c r="W27" s="6"/>
      <c r="Z27" s="6"/>
      <c r="AA27" s="4"/>
      <c r="AB27" s="21"/>
      <c r="AC27" s="6"/>
      <c r="AD27" s="20"/>
      <c r="AF27" s="20"/>
      <c r="AG27" s="6"/>
      <c r="AH27" s="6"/>
      <c r="AI27" s="6"/>
      <c r="AJ27" s="6"/>
      <c r="AK27" s="26"/>
      <c r="AL27" s="26"/>
    </row>
    <row r="28" spans="1:38" x14ac:dyDescent="0.3">
      <c r="A28" s="128">
        <v>43351</v>
      </c>
      <c r="B28" s="29">
        <v>25</v>
      </c>
      <c r="C28" s="28"/>
      <c r="D28" s="28"/>
      <c r="E28" s="137"/>
      <c r="F28" s="42"/>
      <c r="G28" s="27"/>
      <c r="H28" s="29"/>
      <c r="I28" s="27"/>
      <c r="J28" s="27"/>
      <c r="K28" s="27"/>
      <c r="L28" s="27"/>
      <c r="U28" s="6"/>
      <c r="V28" s="20"/>
      <c r="W28" s="6"/>
      <c r="Z28" s="6"/>
      <c r="AA28" s="4"/>
      <c r="AB28" s="21"/>
      <c r="AC28" s="6"/>
      <c r="AD28" s="20"/>
      <c r="AF28" s="20"/>
      <c r="AG28" s="6"/>
      <c r="AH28" s="6"/>
      <c r="AI28" s="6"/>
      <c r="AJ28" s="6"/>
      <c r="AK28" s="26"/>
      <c r="AL28" s="26"/>
    </row>
    <row r="29" spans="1:38" x14ac:dyDescent="0.3">
      <c r="A29" s="128">
        <v>43352</v>
      </c>
      <c r="B29" s="29">
        <v>26</v>
      </c>
      <c r="C29" s="28"/>
      <c r="D29" s="28"/>
      <c r="E29" s="137"/>
      <c r="F29" s="42"/>
      <c r="G29" s="27"/>
      <c r="H29" s="29"/>
      <c r="I29" s="27"/>
      <c r="J29" s="27"/>
      <c r="K29" s="27"/>
      <c r="L29" s="27"/>
      <c r="U29" s="6"/>
      <c r="V29" s="20"/>
      <c r="W29" s="6"/>
      <c r="Z29" s="6"/>
      <c r="AA29" s="4"/>
      <c r="AB29" s="21"/>
      <c r="AC29" s="6"/>
      <c r="AD29" s="20"/>
      <c r="AF29" s="20"/>
      <c r="AG29" s="6"/>
      <c r="AH29" s="6"/>
      <c r="AI29" s="6"/>
      <c r="AJ29" s="6"/>
      <c r="AK29" s="26"/>
      <c r="AL29" s="26"/>
    </row>
    <row r="30" spans="1:38" x14ac:dyDescent="0.3">
      <c r="A30" s="128">
        <v>43353</v>
      </c>
      <c r="B30" s="29">
        <v>27</v>
      </c>
      <c r="C30" s="28"/>
      <c r="D30" s="28"/>
      <c r="E30" s="137"/>
      <c r="F30" s="42"/>
      <c r="G30" s="27"/>
      <c r="H30" s="29"/>
      <c r="I30" s="27"/>
      <c r="J30" s="27"/>
      <c r="K30" s="27"/>
      <c r="L30" s="27"/>
      <c r="U30" s="6"/>
      <c r="V30" s="20"/>
      <c r="W30" s="6"/>
      <c r="Z30" s="6"/>
      <c r="AA30" s="4"/>
      <c r="AB30" s="21"/>
      <c r="AC30" s="6"/>
      <c r="AD30" s="20"/>
      <c r="AF30" s="20"/>
      <c r="AG30" s="6"/>
      <c r="AH30" s="6"/>
      <c r="AI30" s="6"/>
      <c r="AJ30" s="6"/>
      <c r="AK30" s="26"/>
      <c r="AL30" s="26"/>
    </row>
    <row r="31" spans="1:38" x14ac:dyDescent="0.3">
      <c r="A31" s="128">
        <v>43354</v>
      </c>
      <c r="B31" s="29">
        <v>28</v>
      </c>
      <c r="C31" s="28">
        <v>142.69999999999999</v>
      </c>
      <c r="D31" s="28">
        <f>24/(LTP[[#This Row],[Cycle duration 
(h)]]+2)</f>
        <v>4</v>
      </c>
      <c r="E31" s="137">
        <v>4</v>
      </c>
      <c r="F31" s="42">
        <f>Information!$R$61/(LTP[Flow 
(m3 d-1)]/24*LTP[[#This Row],[Cycles per day]]*LTP[[#This Row],[Cycle duration 
(h)]])*24</f>
        <v>372.99733707077786</v>
      </c>
      <c r="G31" s="27">
        <v>32.24</v>
      </c>
      <c r="H31" s="29">
        <v>7.71</v>
      </c>
      <c r="I31" s="27">
        <v>3.5</v>
      </c>
      <c r="J31" s="27">
        <v>57.08</v>
      </c>
      <c r="K31" s="27"/>
      <c r="L31" s="27"/>
      <c r="M31" s="29">
        <v>12800</v>
      </c>
      <c r="N31" s="29">
        <f>LTP[[#This Row],[COD 
(mg L-1)]]*Information!$AK$44</f>
        <v>3456</v>
      </c>
      <c r="O31" s="29">
        <v>1698</v>
      </c>
      <c r="P31" s="29">
        <v>8.8000000000000007</v>
      </c>
      <c r="Q31" s="29">
        <v>9160</v>
      </c>
      <c r="S31" s="29">
        <v>73.569999999999993</v>
      </c>
      <c r="T31" s="29">
        <v>23.6</v>
      </c>
      <c r="U31" s="6"/>
      <c r="V31" s="20"/>
      <c r="W31" s="6"/>
      <c r="X31" s="29">
        <v>28.77</v>
      </c>
      <c r="Y31" s="29">
        <v>1100</v>
      </c>
      <c r="Z31" s="6">
        <f>IF(LTP[[#This Row],[TON 
(mg L-1)]]-LTP[[#This Row],[NO2-N 
(mg L-1)]]&lt;0,0.2,LTP[[#This Row],[TON 
(mg L-1)]]-LTP[[#This Row],[NO2-N 
(mg L-1)]])</f>
        <v>0.2</v>
      </c>
      <c r="AA31" s="4">
        <f>SUM(LTP[[#This Row],[NH4-N 
(mg L-1)]:[NO3-N 
(mg L-1)]])</f>
        <v>1128.97</v>
      </c>
      <c r="AB31" s="21">
        <f>LTP[[#This Row],[NO3-N 
(mg L-1)]]/(Influent[[#This Row],[NH4-N (mg L-1)]]-LTP[[#This Row],[NH4-N 
(mg L-1)]])</f>
        <v>1.7651783271404995E-4</v>
      </c>
      <c r="AC31" s="6">
        <f>LTP[[#This Row],[NO2-N 
(mg L-1)]]/(Influent[[#This Row],[NH4-N (mg L-1)]]-LTP[[#This Row],[NH4-N 
(mg L-1)]])</f>
        <v>0.97084807992727462</v>
      </c>
      <c r="AD31" s="20">
        <f>46/14*LTP[[#This Row],[NO2-N 
(mg L-1)]]/(EXP(-2300/(273+LTP[[#This Row],[Temp. 
(°C)]]))*10^LTP[[#This Row],[pHreactor]])</f>
        <v>0.13196386315043762</v>
      </c>
      <c r="AE31" s="19">
        <f>17/14*(LTP[[#This Row],[NH4-N 
(mg L-1)]]*10^LTP[[#This Row],[pHeff]])/(EXP(6344/(273+LTP[[#This Row],[Temp. 
(°C)]]))+10^LTP[[#This Row],[pHreactor]])</f>
        <v>19.79522121604391</v>
      </c>
      <c r="AF31" s="20">
        <f>Influent[[#This Row],[sCOD (mg L-1)]]/LTP[[#This Row],[HRT 
(h)]]*24/1000</f>
        <v>0.16359366122879634</v>
      </c>
      <c r="AG31" s="6"/>
      <c r="AH31" s="6">
        <f>(Influent[[#This Row],[NH4-N (mg L-1)]]*LTP[ARE 
(%)])*24/LTP[[#This Row],[HRT 
(h)]]/1000</f>
        <v>7.2903255056858671E-2</v>
      </c>
      <c r="AI31" s="6">
        <f>Influent[[#This Row],[TN (mg L-1)]]/LTP[[#This Row],[HRT 
(h)]]*24/1000</f>
        <v>7.6254914373833291E-2</v>
      </c>
      <c r="AJ31" s="6">
        <f>(Influent[[#This Row],[NH4-N (mg L-1)]])*LTP[NRE 
(%)]/LTP[[#This Row],[HRT 
(h)]]*24/1000</f>
        <v>3.5418023019419135E-3</v>
      </c>
      <c r="AK31" s="26">
        <f>1-(LTP[[#This Row],[NH4-N 
(mg L-1)]]/Influent[[#This Row],[NH4-N (mg L-1)]])</f>
        <v>0.97523670166982268</v>
      </c>
      <c r="AL31" s="26">
        <f>1-(LTP[[#This Row],[TN 
(mg L-1)]]/Influent[[#This Row],[TN (mg L-1)]])</f>
        <v>4.7379168354259371E-2</v>
      </c>
    </row>
    <row r="32" spans="1:38" x14ac:dyDescent="0.3">
      <c r="A32" s="128">
        <v>43355</v>
      </c>
      <c r="B32" s="29">
        <v>29</v>
      </c>
      <c r="C32" s="28">
        <v>313.3</v>
      </c>
      <c r="D32" s="28">
        <f>24/(LTP[[#This Row],[Cycle duration 
(h)]]+2)</f>
        <v>4</v>
      </c>
      <c r="E32" s="137">
        <v>4</v>
      </c>
      <c r="F32" s="42">
        <f>Information!$R$61/(LTP[Flow 
(m3 d-1)]/24*LTP[[#This Row],[Cycles per day]]*LTP[[#This Row],[Cycle duration 
(h)]])*24</f>
        <v>169.89058410469198</v>
      </c>
      <c r="G32" s="27">
        <v>30.77</v>
      </c>
      <c r="H32" s="29">
        <v>7.29</v>
      </c>
      <c r="I32" s="27">
        <v>3.5</v>
      </c>
      <c r="J32" s="27">
        <v>79.16</v>
      </c>
      <c r="K32" s="27"/>
      <c r="L32" s="27"/>
      <c r="M32" s="29">
        <v>10350</v>
      </c>
      <c r="N32" s="29">
        <f>LTP[[#This Row],[COD 
(mg L-1)]]*Information!$AK$44</f>
        <v>2794.5</v>
      </c>
      <c r="O32" s="29">
        <v>1407</v>
      </c>
      <c r="P32" s="29">
        <v>8.5</v>
      </c>
      <c r="Q32" s="29">
        <v>8620</v>
      </c>
      <c r="S32" s="29">
        <v>108.04</v>
      </c>
      <c r="T32" s="29">
        <v>23.4</v>
      </c>
      <c r="U32" s="6"/>
      <c r="V32" s="20"/>
      <c r="W32" s="6"/>
      <c r="X32" s="29">
        <v>27.39</v>
      </c>
      <c r="Y32" s="29">
        <v>1201.5</v>
      </c>
      <c r="Z32" s="6">
        <f>IF(LTP[[#This Row],[TON 
(mg L-1)]]-LTP[[#This Row],[NO2-N 
(mg L-1)]]&lt;0,0.2,LTP[[#This Row],[TON 
(mg L-1)]]-LTP[[#This Row],[NO2-N 
(mg L-1)]])</f>
        <v>0.2</v>
      </c>
      <c r="AA32" s="4">
        <f>SUM(LTP[[#This Row],[NH4-N 
(mg L-1)]:[NO3-N 
(mg L-1)]])</f>
        <v>1229.0900000000001</v>
      </c>
      <c r="AB32" s="21">
        <f>LTP[[#This Row],[NO3-N 
(mg L-1)]]/(Influent[[#This Row],[NH4-N (mg L-1)]]-LTP[[#This Row],[NH4-N 
(mg L-1)]])</f>
        <v>1.739115312040765E-4</v>
      </c>
      <c r="AC32" s="6">
        <f>LTP[[#This Row],[NO2-N 
(mg L-1)]]/(Influent[[#This Row],[NH4-N (mg L-1)]]-LTP[[#This Row],[NH4-N 
(mg L-1)]])</f>
        <v>1.0447735237084894</v>
      </c>
      <c r="AD32" s="20">
        <f>46/14*LTP[[#This Row],[NO2-N 
(mg L-1)]]/(EXP(-2300/(273+LTP[[#This Row],[Temp. 
(°C)]]))*10^LTP[[#This Row],[pHreactor]])</f>
        <v>0.39320771056190074</v>
      </c>
      <c r="AE32" s="19">
        <f>17/14*(LTP[[#This Row],[NH4-N 
(mg L-1)]]*10^LTP[[#This Row],[pHeff]])/(EXP(6344/(273+LTP[[#This Row],[Temp. 
(°C)]]))+10^LTP[[#This Row],[pHreactor]])</f>
        <v>8.8076647274386222</v>
      </c>
      <c r="AF32" s="20">
        <f>Influent[[#This Row],[sCOD (mg L-1)]]/LTP[[#This Row],[HRT 
(h)]]*24/1000</f>
        <v>0.33437992046100157</v>
      </c>
      <c r="AG32" s="6"/>
      <c r="AH32" s="6">
        <f>(Influent[[#This Row],[NH4-N (mg L-1)]]*LTP[ARE 
(%)])*24/LTP[[#This Row],[HRT 
(h)]]/1000</f>
        <v>0.16245891522152783</v>
      </c>
      <c r="AI32" s="6">
        <f>Influent[[#This Row],[TN (mg L-1)]]/LTP[[#This Row],[HRT 
(h)]]*24/1000</f>
        <v>0.1663564826087349</v>
      </c>
      <c r="AJ32" s="6"/>
      <c r="AK32" s="26">
        <f>1-(LTP[[#This Row],[NH4-N 
(mg L-1)]]/Influent[[#This Row],[NH4-N (mg L-1)]])</f>
        <v>0.97673687786648544</v>
      </c>
      <c r="AL32" s="26"/>
    </row>
    <row r="33" spans="1:38" x14ac:dyDescent="0.3">
      <c r="A33" s="128">
        <v>43356</v>
      </c>
      <c r="B33" s="29">
        <v>30</v>
      </c>
      <c r="C33" s="28">
        <v>444.5</v>
      </c>
      <c r="D33" s="28">
        <f>24/(LTP[[#This Row],[Cycle duration 
(h)]]+2)</f>
        <v>4</v>
      </c>
      <c r="E33" s="137">
        <v>4</v>
      </c>
      <c r="F33" s="42">
        <f>Information!$R$61/(LTP[Flow 
(m3 d-1)]/24*LTP[[#This Row],[Cycles per day]]*LTP[[#This Row],[Cycle duration 
(h)]])*24</f>
        <v>119.745151856018</v>
      </c>
      <c r="G33" s="27">
        <v>29.65</v>
      </c>
      <c r="H33" s="29">
        <v>7.2</v>
      </c>
      <c r="I33" s="27">
        <v>3.5</v>
      </c>
      <c r="J33" s="27">
        <v>77.63</v>
      </c>
      <c r="K33" s="27"/>
      <c r="L33" s="27"/>
      <c r="M33" s="29">
        <v>9790</v>
      </c>
      <c r="N33" s="29">
        <f>LTP[[#This Row],[COD 
(mg L-1)]]*Information!$AK$44</f>
        <v>2643.3</v>
      </c>
      <c r="O33" s="29">
        <v>1808</v>
      </c>
      <c r="P33" s="29">
        <v>8</v>
      </c>
      <c r="Q33" s="29">
        <v>8740</v>
      </c>
      <c r="S33" s="29">
        <v>91.94</v>
      </c>
      <c r="T33" s="29">
        <v>27.4</v>
      </c>
      <c r="U33" s="6"/>
      <c r="V33" s="20"/>
      <c r="W33" s="6"/>
      <c r="X33" s="29">
        <v>159.86000000000001</v>
      </c>
      <c r="Y33" s="29">
        <v>1097.8</v>
      </c>
      <c r="Z33" s="6">
        <f>IF(LTP[[#This Row],[TON 
(mg L-1)]]-LTP[[#This Row],[NO2-N 
(mg L-1)]]&lt;0,0.2,LTP[[#This Row],[TON 
(mg L-1)]]-LTP[[#This Row],[NO2-N 
(mg L-1)]])</f>
        <v>0.2</v>
      </c>
      <c r="AA33" s="4">
        <f>SUM(LTP[[#This Row],[NH4-N 
(mg L-1)]:[NO3-N 
(mg L-1)]])</f>
        <v>1257.8599999999999</v>
      </c>
      <c r="AB33" s="21">
        <f>LTP[[#This Row],[NO3-N 
(mg L-1)]]/(Influent[[#This Row],[NH4-N (mg L-1)]]-LTP[[#This Row],[NH4-N 
(mg L-1)]])</f>
        <v>1.6894174888498444E-4</v>
      </c>
      <c r="AC33" s="6">
        <f>LTP[[#This Row],[NO2-N 
(mg L-1)]]/(Influent[[#This Row],[NH4-N (mg L-1)]]-LTP[[#This Row],[NH4-N 
(mg L-1)]])</f>
        <v>0.92732125962967948</v>
      </c>
      <c r="AD33" s="20">
        <f>46/14*LTP[[#This Row],[NO2-N 
(mg L-1)]]/(EXP(-2300/(273+LTP[[#This Row],[Temp. 
(°C)]]))*10^LTP[[#This Row],[pHreactor]])</f>
        <v>0.45455892440784451</v>
      </c>
      <c r="AE33" s="19">
        <f>17/14*(LTP[[#This Row],[NH4-N 
(mg L-1)]]*10^LTP[[#This Row],[pHeff]])/(EXP(6344/(273+LTP[[#This Row],[Temp. 
(°C)]]))+10^LTP[[#This Row],[pHreactor]])</f>
        <v>15.107883347611107</v>
      </c>
      <c r="AF33" s="20">
        <f>Influent[[#This Row],[sCOD (mg L-1)]]/LTP[[#This Row],[HRT 
(h)]]*24/1000</f>
        <v>0.50687647106566025</v>
      </c>
      <c r="AG33" s="6"/>
      <c r="AH33" s="6">
        <f>(Influent[[#This Row],[NH4-N (mg L-1)]]*LTP[ARE 
(%)])*24/LTP[[#This Row],[HRT 
(h)]]/1000</f>
        <v>0.23727190253316377</v>
      </c>
      <c r="AI33" s="6">
        <f>Influent[[#This Row],[TN (mg L-1)]]/LTP[[#This Row],[HRT 
(h)]]*24/1000</f>
        <v>0.27059106358610863</v>
      </c>
      <c r="AJ33" s="6">
        <f>(Influent[[#This Row],[NH4-N (mg L-1)]])*LTP[NRE 
(%)]/LTP[[#This Row],[HRT 
(h)]]*24/1000</f>
        <v>1.8396279917676343E-2</v>
      </c>
      <c r="AK33" s="26">
        <f>1-(LTP[[#This Row],[NH4-N 
(mg L-1)]]/Influent[[#This Row],[NH4-N (mg L-1)]])</f>
        <v>0.88102999181364883</v>
      </c>
      <c r="AL33" s="26">
        <f>1-(LTP[[#This Row],[TN 
(mg L-1)]]/Influent[[#This Row],[TN (mg L-1)]])</f>
        <v>6.8308443487136494E-2</v>
      </c>
    </row>
    <row r="34" spans="1:38" x14ac:dyDescent="0.3">
      <c r="A34" s="128">
        <v>43357</v>
      </c>
      <c r="B34" s="29">
        <v>31</v>
      </c>
      <c r="C34" s="28"/>
      <c r="D34" s="28"/>
      <c r="E34" s="137"/>
      <c r="F34" s="42"/>
      <c r="G34" s="27"/>
      <c r="H34" s="29"/>
      <c r="I34" s="27"/>
      <c r="J34" s="27"/>
      <c r="K34" s="27"/>
      <c r="L34" s="27"/>
      <c r="M34" s="29"/>
      <c r="P34" s="29"/>
      <c r="Q34" s="29"/>
      <c r="S34" s="29"/>
      <c r="T34" s="29"/>
      <c r="U34" s="6"/>
      <c r="V34" s="20"/>
      <c r="W34" s="6"/>
      <c r="X34" s="29"/>
      <c r="Y34" s="29"/>
      <c r="Z34" s="6"/>
      <c r="AA34" s="4"/>
      <c r="AB34" s="21"/>
      <c r="AC34" s="6"/>
      <c r="AD34" s="20"/>
      <c r="AE34" s="19"/>
      <c r="AF34" s="20"/>
      <c r="AG34" s="6"/>
      <c r="AH34" s="6"/>
      <c r="AI34" s="6"/>
      <c r="AJ34" s="6"/>
      <c r="AK34" s="26"/>
      <c r="AL34" s="26"/>
    </row>
    <row r="35" spans="1:38" x14ac:dyDescent="0.3">
      <c r="A35" s="128">
        <v>43358</v>
      </c>
      <c r="B35" s="29">
        <v>32</v>
      </c>
      <c r="C35" s="28"/>
      <c r="D35" s="28"/>
      <c r="E35" s="137"/>
      <c r="F35" s="42"/>
      <c r="G35" s="27"/>
      <c r="H35" s="29"/>
      <c r="I35" s="27"/>
      <c r="J35" s="27"/>
      <c r="K35" s="27"/>
      <c r="L35" s="27"/>
      <c r="M35" s="29"/>
      <c r="P35" s="29"/>
      <c r="Q35" s="29"/>
      <c r="S35" s="29"/>
      <c r="T35" s="29"/>
      <c r="U35" s="6"/>
      <c r="V35" s="20"/>
      <c r="W35" s="6"/>
      <c r="X35" s="29"/>
      <c r="Y35" s="29"/>
      <c r="Z35" s="6"/>
      <c r="AA35" s="4"/>
      <c r="AB35" s="21"/>
      <c r="AC35" s="6"/>
      <c r="AD35" s="20"/>
      <c r="AE35" s="19"/>
      <c r="AF35" s="20"/>
      <c r="AG35" s="6"/>
      <c r="AH35" s="6"/>
      <c r="AI35" s="6"/>
      <c r="AJ35" s="6"/>
      <c r="AK35" s="26"/>
      <c r="AL35" s="26"/>
    </row>
    <row r="36" spans="1:38" x14ac:dyDescent="0.3">
      <c r="A36" s="128">
        <v>43359</v>
      </c>
      <c r="B36" s="29">
        <v>33</v>
      </c>
      <c r="C36" s="28"/>
      <c r="D36" s="28"/>
      <c r="E36" s="137"/>
      <c r="F36" s="42"/>
      <c r="G36" s="27"/>
      <c r="H36" s="29"/>
      <c r="I36" s="27"/>
      <c r="J36" s="27"/>
      <c r="K36" s="27"/>
      <c r="L36" s="27"/>
      <c r="M36" s="29"/>
      <c r="P36" s="29"/>
      <c r="Q36" s="29"/>
      <c r="S36" s="29"/>
      <c r="T36" s="29"/>
      <c r="U36" s="6"/>
      <c r="V36" s="20"/>
      <c r="W36" s="6"/>
      <c r="X36" s="29"/>
      <c r="Y36" s="29"/>
      <c r="Z36" s="6"/>
      <c r="AA36" s="4"/>
      <c r="AB36" s="21"/>
      <c r="AC36" s="6"/>
      <c r="AD36" s="20"/>
      <c r="AE36" s="19"/>
      <c r="AF36" s="20"/>
      <c r="AG36" s="6"/>
      <c r="AH36" s="6"/>
      <c r="AI36" s="6"/>
      <c r="AJ36" s="6"/>
      <c r="AK36" s="26"/>
      <c r="AL36" s="26"/>
    </row>
    <row r="37" spans="1:38" x14ac:dyDescent="0.3">
      <c r="A37" s="128">
        <v>43360</v>
      </c>
      <c r="B37" s="29">
        <v>34</v>
      </c>
      <c r="C37" s="28">
        <v>314.60000000000002</v>
      </c>
      <c r="D37" s="28">
        <f>24/(LTP[[#This Row],[Cycle duration 
(h)]]+2)</f>
        <v>4</v>
      </c>
      <c r="E37" s="137">
        <v>4</v>
      </c>
      <c r="F37" s="42">
        <f>Information!$R$61/(LTP[Flow 
(m3 d-1)]/24*LTP[[#This Row],[Cycles per day]]*LTP[[#This Row],[Cycle duration 
(h)]])*24</f>
        <v>169.1885568976478</v>
      </c>
      <c r="G37" s="27">
        <v>32.03</v>
      </c>
      <c r="H37" s="29">
        <v>7.23</v>
      </c>
      <c r="I37" s="27">
        <v>3.5</v>
      </c>
      <c r="J37" s="27">
        <v>61.07</v>
      </c>
      <c r="K37" s="27">
        <f>LTP[[#This Row],[TSS  
(mg L-1)]]</f>
        <v>8160</v>
      </c>
      <c r="L37" s="27">
        <f>LTP[[#This Row],[VSS 
(mg L-1)]]</f>
        <v>5700</v>
      </c>
      <c r="M37" s="29">
        <v>9175</v>
      </c>
      <c r="N37" s="29">
        <f>LTP[[#This Row],[COD 
(mg L-1)]]*Information!$AK$44</f>
        <v>2477.25</v>
      </c>
      <c r="O37" s="29">
        <v>1294</v>
      </c>
      <c r="P37" s="29">
        <v>8</v>
      </c>
      <c r="Q37" s="29">
        <v>8160</v>
      </c>
      <c r="R37" s="29">
        <v>5700</v>
      </c>
      <c r="S37" s="29">
        <v>14.98</v>
      </c>
      <c r="T37" s="29">
        <v>29.8</v>
      </c>
      <c r="U37" s="6"/>
      <c r="V37" s="20"/>
      <c r="W37" s="6"/>
      <c r="X37" s="29">
        <v>67.45</v>
      </c>
      <c r="Y37" s="29">
        <v>1218</v>
      </c>
      <c r="Z37" s="6">
        <f>IF(LTP[[#This Row],[TON 
(mg L-1)]]-LTP[[#This Row],[NO2-N 
(mg L-1)]]&lt;0,0.2,LTP[[#This Row],[TON 
(mg L-1)]]-LTP[[#This Row],[NO2-N 
(mg L-1)]])</f>
        <v>0.2</v>
      </c>
      <c r="AA37" s="4">
        <f>SUM(LTP[[#This Row],[NH4-N 
(mg L-1)]:[NO3-N 
(mg L-1)]])</f>
        <v>1285.6500000000001</v>
      </c>
      <c r="AB37" s="21">
        <f>LTP[[#This Row],[NO3-N 
(mg L-1)]]/(Influent[[#This Row],[NH4-N (mg L-1)]]-LTP[[#This Row],[NH4-N 
(mg L-1)]])</f>
        <v>1.3947487708776456E-4</v>
      </c>
      <c r="AC37" s="6">
        <f>LTP[[#This Row],[NO2-N 
(mg L-1)]]/(Influent[[#This Row],[NH4-N (mg L-1)]]-LTP[[#This Row],[NH4-N 
(mg L-1)]])</f>
        <v>0.84940200146448619</v>
      </c>
      <c r="AD37" s="20">
        <f>46/14*LTP[[#This Row],[NO2-N 
(mg L-1)]]/(EXP(-2300/(273+LTP[[#This Row],[Temp. 
(°C)]]))*10^LTP[[#This Row],[pHreactor]])</f>
        <v>0.44357039499886292</v>
      </c>
      <c r="AE37" s="19">
        <f>17/14*(LTP[[#This Row],[NH4-N 
(mg L-1)]]*10^LTP[[#This Row],[pHeff]])/(EXP(6344/(273+LTP[[#This Row],[Temp. 
(°C)]]))+10^LTP[[#This Row],[pHreactor]])</f>
        <v>7.4829843569729366</v>
      </c>
      <c r="AF37" s="20">
        <f>Influent[[#This Row],[sCOD (mg L-1)]]/LTP[[#This Row],[HRT 
(h)]]*24/1000</f>
        <v>0.36449273597922244</v>
      </c>
      <c r="AG37" s="6">
        <f>IFERROR(IF(((Influent[[#This Row],[COD (mg L-1)]]-LTP[[#This Row],[sCOD]])/LTP[[#This Row],[HRT 
(h)]]*24/1000) &lt;0,0, (Influent[[#This Row],[sCOD (mg L-1)]]-LTP[[#This Row],[sCOD]])/LTP[[#This Row],[HRT 
(h)]]*24/1000),0)</f>
        <v>1.3085991396802209E-2</v>
      </c>
      <c r="AH37" s="6">
        <f>(Influent[[#This Row],[NH4-N (mg L-1)]]*LTP[ARE 
(%)])*24/LTP[[#This Row],[HRT 
(h)]]/1000</f>
        <v>0.20341091992893798</v>
      </c>
      <c r="AI37" s="6">
        <f>Influent[[#This Row],[TN (mg L-1)]]/LTP[[#This Row],[HRT 
(h)]]*24/1000</f>
        <v>0.21300731361992625</v>
      </c>
      <c r="AJ37" s="6">
        <f>(Influent[[#This Row],[NH4-N (mg L-1)]])*LTP[NRE 
(%)]/LTP[[#This Row],[HRT 
(h)]]*24/1000</f>
        <v>3.0629197336666737E-2</v>
      </c>
      <c r="AK37" s="26">
        <f>1-(LTP[[#This Row],[NH4-N 
(mg L-1)]]/Influent[[#This Row],[NH4-N (mg L-1)]])</f>
        <v>0.95507526308778479</v>
      </c>
      <c r="AL37" s="26">
        <f>1-(LTP[[#This Row],[TN 
(mg L-1)]]/Influent[[#This Row],[TN (mg L-1)]])</f>
        <v>0.14381326584976029</v>
      </c>
    </row>
    <row r="38" spans="1:38" x14ac:dyDescent="0.3">
      <c r="A38" s="128">
        <v>43361</v>
      </c>
      <c r="B38" s="29">
        <v>35</v>
      </c>
      <c r="C38" s="28">
        <v>107.7</v>
      </c>
      <c r="D38" s="28">
        <f>24/(LTP[[#This Row],[Cycle duration 
(h)]]+2)</f>
        <v>4</v>
      </c>
      <c r="E38" s="137">
        <v>4</v>
      </c>
      <c r="F38" s="42">
        <f>Information!$R$61/(LTP[Flow 
(m3 d-1)]/24*LTP[[#This Row],[Cycles per day]]*LTP[[#This Row],[Cycle duration 
(h)]])*24</f>
        <v>494.21281337047355</v>
      </c>
      <c r="G38" s="27">
        <v>31.69</v>
      </c>
      <c r="H38" s="29">
        <v>8.02</v>
      </c>
      <c r="I38" s="27">
        <v>3.5</v>
      </c>
      <c r="J38" s="27">
        <v>59.13</v>
      </c>
      <c r="K38" s="27">
        <f>LTP[[#This Row],[TSS  
(mg L-1)]]</f>
        <v>13320</v>
      </c>
      <c r="L38" s="27">
        <f>LTP[[#This Row],[VSS 
(mg L-1)]]</f>
        <v>6600</v>
      </c>
      <c r="M38" s="29">
        <v>13450</v>
      </c>
      <c r="N38" s="29">
        <f>LTP[[#This Row],[COD 
(mg L-1)]]*Information!$AK$44</f>
        <v>3631.5000000000005</v>
      </c>
      <c r="O38" s="29">
        <v>1472</v>
      </c>
      <c r="P38" s="29">
        <v>9.1999999999999993</v>
      </c>
      <c r="Q38" s="29">
        <v>13320</v>
      </c>
      <c r="R38" s="29">
        <v>6600</v>
      </c>
      <c r="S38" s="29">
        <v>19.02</v>
      </c>
      <c r="T38" s="29">
        <v>24.9</v>
      </c>
      <c r="U38" s="6"/>
      <c r="V38" s="20"/>
      <c r="W38" s="6"/>
      <c r="X38" s="29">
        <v>15.11</v>
      </c>
      <c r="Y38" s="29">
        <v>1197.0999999999999</v>
      </c>
      <c r="Z38" s="6">
        <f>IF(LTP[[#This Row],[TON 
(mg L-1)]]-LTP[[#This Row],[NO2-N 
(mg L-1)]]&lt;0,0.2,LTP[[#This Row],[TON 
(mg L-1)]]-LTP[[#This Row],[NO2-N 
(mg L-1)]])</f>
        <v>0.2</v>
      </c>
      <c r="AA38" s="4">
        <f>SUM(LTP[[#This Row],[NH4-N 
(mg L-1)]:[NO3-N 
(mg L-1)]])</f>
        <v>1212.4099999999999</v>
      </c>
      <c r="AB38" s="21">
        <f>LTP[[#This Row],[NO3-N 
(mg L-1)]]/(Influent[[#This Row],[NH4-N (mg L-1)]]-LTP[[#This Row],[NH4-N 
(mg L-1)]])</f>
        <v>1.592369365998137E-4</v>
      </c>
      <c r="AC38" s="6">
        <f>LTP[[#This Row],[NO2-N 
(mg L-1)]]/(Influent[[#This Row],[NH4-N (mg L-1)]]-LTP[[#This Row],[NH4-N 
(mg L-1)]])</f>
        <v>0.95311268401818483</v>
      </c>
      <c r="AD38" s="20">
        <f>46/14*LTP[[#This Row],[NO2-N 
(mg L-1)]]/(EXP(-2300/(273+LTP[[#This Row],[Temp. 
(°C)]]))*10^LTP[[#This Row],[pHreactor]])</f>
        <v>7.1301698950110168E-2</v>
      </c>
      <c r="AE38" s="19">
        <f>17/14*(LTP[[#This Row],[NH4-N 
(mg L-1)]]*10^LTP[[#This Row],[pHeff]])/(EXP(6344/(273+LTP[[#This Row],[Temp. 
(°C)]]))+10^LTP[[#This Row],[pHreactor]])</f>
        <v>24.081084067001175</v>
      </c>
      <c r="AF38" s="20">
        <f>Influent[[#This Row],[sCOD (mg L-1)]]/LTP[[#This Row],[HRT 
(h)]]*24/1000</f>
        <v>0.12215790114438764</v>
      </c>
      <c r="AG38" s="6"/>
      <c r="AH38" s="6">
        <f>(Influent[[#This Row],[NH4-N (mg L-1)]]*LTP[ARE 
(%)])*24/LTP[[#This Row],[HRT 
(h)]]/1000</f>
        <v>6.0993481319156988E-2</v>
      </c>
      <c r="AI38" s="6">
        <f>Influent[[#This Row],[TN (mg L-1)]]/LTP[[#This Row],[HRT 
(h)]]*24/1000</f>
        <v>6.2052328815301781E-2</v>
      </c>
      <c r="AJ38" s="6">
        <f>(Influent[[#This Row],[NH4-N (mg L-1)]])*LTP[NRE 
(%)]/LTP[[#This Row],[HRT 
(h)]]*24/1000</f>
        <v>3.1585488693240578E-3</v>
      </c>
      <c r="AK38" s="26">
        <f>1-(LTP[[#This Row],[NH4-N 
(mg L-1)]]/Influent[[#This Row],[NH4-N (mg L-1)]])</f>
        <v>0.98811265832743289</v>
      </c>
      <c r="AL38" s="26">
        <f>1-(LTP[[#This Row],[TN 
(mg L-1)]]/Influent[[#This Row],[TN (mg L-1)]])</f>
        <v>5.1169437327143519E-2</v>
      </c>
    </row>
    <row r="39" spans="1:38" x14ac:dyDescent="0.3">
      <c r="A39" s="128">
        <v>43362</v>
      </c>
      <c r="B39" s="29">
        <v>36</v>
      </c>
      <c r="C39" s="28">
        <v>465.2</v>
      </c>
      <c r="D39" s="28">
        <f>24/(LTP[[#This Row],[Cycle duration 
(h)]]+2)</f>
        <v>4</v>
      </c>
      <c r="E39" s="137">
        <v>4</v>
      </c>
      <c r="F39" s="42">
        <f>Information!$R$61/(LTP[Flow 
(m3 d-1)]/24*LTP[[#This Row],[Cycles per day]]*LTP[[#This Row],[Cycle duration 
(h)]])*24</f>
        <v>114.41685296646602</v>
      </c>
      <c r="G39" s="27">
        <v>29.9</v>
      </c>
      <c r="H39" s="29">
        <v>7.13</v>
      </c>
      <c r="I39" s="27">
        <v>3.5</v>
      </c>
      <c r="J39" s="27">
        <v>59.14</v>
      </c>
      <c r="K39" s="27">
        <f>LTP[[#This Row],[TSS  
(mg L-1)]]</f>
        <v>16440</v>
      </c>
      <c r="L39" s="27">
        <f>LTP[[#This Row],[VSS 
(mg L-1)]]</f>
        <v>3420</v>
      </c>
      <c r="M39" s="29">
        <v>16175</v>
      </c>
      <c r="N39" s="29">
        <f>LTP[[#This Row],[COD 
(mg L-1)]]*Information!$AK$44</f>
        <v>4367.25</v>
      </c>
      <c r="O39" s="29">
        <v>1756</v>
      </c>
      <c r="P39" s="29">
        <v>9</v>
      </c>
      <c r="Q39" s="29">
        <v>16440</v>
      </c>
      <c r="R39" s="29">
        <v>3420</v>
      </c>
      <c r="S39" s="29">
        <v>19.7</v>
      </c>
      <c r="T39" s="29">
        <v>28</v>
      </c>
      <c r="U39" s="6"/>
      <c r="V39" s="20"/>
      <c r="W39" s="6"/>
      <c r="X39" s="29">
        <v>111.62</v>
      </c>
      <c r="Y39" s="29">
        <v>1141.4000000000001</v>
      </c>
      <c r="Z39" s="6">
        <f>IF(LTP[[#This Row],[TON 
(mg L-1)]]-LTP[[#This Row],[NO2-N 
(mg L-1)]]&lt;0,0.2,LTP[[#This Row],[TON 
(mg L-1)]]-LTP[[#This Row],[NO2-N 
(mg L-1)]])</f>
        <v>0.2</v>
      </c>
      <c r="AA39" s="4">
        <f>SUM(LTP[[#This Row],[NH4-N 
(mg L-1)]:[NO3-N 
(mg L-1)]])</f>
        <v>1253.22</v>
      </c>
      <c r="AB39" s="21">
        <f>LTP[[#This Row],[NO3-N 
(mg L-1)]]/(Influent[[#This Row],[NH4-N (mg L-1)]]-LTP[[#This Row],[NH4-N 
(mg L-1)]])</f>
        <v>1.7607493749339717E-4</v>
      </c>
      <c r="AC39" s="6">
        <f>LTP[[#This Row],[NO2-N 
(mg L-1)]]/(Influent[[#This Row],[NH4-N (mg L-1)]]-LTP[[#This Row],[NH4-N 
(mg L-1)]])</f>
        <v>1.0048596682748177</v>
      </c>
      <c r="AD39" s="20">
        <f>46/14*LTP[[#This Row],[NO2-N 
(mg L-1)]]/(EXP(-2300/(273+LTP[[#This Row],[Temp. 
(°C)]]))*10^LTP[[#This Row],[pHreactor]])</f>
        <v>0.55179885949821006</v>
      </c>
      <c r="AE39" s="19">
        <f>17/14*(LTP[[#This Row],[NH4-N 
(mg L-1)]]*10^LTP[[#This Row],[pHeff]])/(EXP(6344/(273+LTP[[#This Row],[Temp. 
(°C)]]))+10^LTP[[#This Row],[pHreactor]])</f>
        <v>107.507289002749</v>
      </c>
      <c r="AF39" s="20">
        <f>Influent[[#This Row],[sCOD (mg L-1)]]/LTP[[#This Row],[HRT 
(h)]]*24/1000</f>
        <v>0.52859345832318805</v>
      </c>
      <c r="AG39" s="6"/>
      <c r="AH39" s="6">
        <f>(Influent[[#This Row],[NH4-N (mg L-1)]]*LTP[ARE 
(%)])*24/LTP[[#This Row],[HRT 
(h)]]/1000</f>
        <v>0.2382614037460884</v>
      </c>
      <c r="AI39" s="6">
        <f>Influent[[#This Row],[TN (mg L-1)]]/LTP[[#This Row],[HRT 
(h)]]*24/1000</f>
        <v>0.26171668966263567</v>
      </c>
      <c r="AJ39" s="6"/>
      <c r="AK39" s="26">
        <f>1-(LTP[[#This Row],[NH4-N 
(mg L-1)]]/Influent[[#This Row],[NH4-N (mg L-1)]])</f>
        <v>0.91052505010020035</v>
      </c>
      <c r="AL39" s="26"/>
    </row>
    <row r="40" spans="1:38" x14ac:dyDescent="0.3">
      <c r="A40" s="128">
        <v>43363</v>
      </c>
      <c r="B40" s="29">
        <v>37</v>
      </c>
      <c r="C40" s="28">
        <v>747.4</v>
      </c>
      <c r="D40" s="28">
        <f>24/(LTP[[#This Row],[Cycle duration 
(h)]]+2)</f>
        <v>4</v>
      </c>
      <c r="E40" s="137">
        <v>4</v>
      </c>
      <c r="F40" s="42">
        <f>Information!$R$61/(LTP[Flow 
(m3 d-1)]/24*LTP[[#This Row],[Cycles per day]]*LTP[[#This Row],[Cycle duration 
(h)]])*24</f>
        <v>71.215841584158412</v>
      </c>
      <c r="G40" s="27">
        <v>30.25</v>
      </c>
      <c r="H40" s="29">
        <v>7.43</v>
      </c>
      <c r="I40" s="27">
        <v>3.5</v>
      </c>
      <c r="J40" s="27">
        <v>57.03</v>
      </c>
      <c r="K40" s="27">
        <f>LTP[[#This Row],[TSS  
(mg L-1)]]</f>
        <v>8240</v>
      </c>
      <c r="L40" s="27">
        <f>LTP[[#This Row],[VSS 
(mg L-1)]]</f>
        <v>4050</v>
      </c>
      <c r="M40" s="29">
        <v>10225</v>
      </c>
      <c r="N40" s="29">
        <f>LTP[[#This Row],[COD 
(mg L-1)]]*Information!$AK$44</f>
        <v>2760.75</v>
      </c>
      <c r="O40" s="29">
        <v>2439</v>
      </c>
      <c r="P40" s="29">
        <v>8.5</v>
      </c>
      <c r="Q40" s="29">
        <v>8240</v>
      </c>
      <c r="R40">
        <v>4050</v>
      </c>
      <c r="S40" s="29">
        <v>15.08</v>
      </c>
      <c r="T40" s="29">
        <v>27.7</v>
      </c>
      <c r="U40" s="6"/>
      <c r="V40" s="20"/>
      <c r="W40" s="6"/>
      <c r="X40" s="29">
        <v>196.96</v>
      </c>
      <c r="Y40" s="29">
        <v>1155.8</v>
      </c>
      <c r="Z40" s="6">
        <f>IF(LTP[[#This Row],[TON 
(mg L-1)]]-LTP[[#This Row],[NO2-N 
(mg L-1)]]&lt;0,0.2,LTP[[#This Row],[TON 
(mg L-1)]]-LTP[[#This Row],[NO2-N 
(mg L-1)]])</f>
        <v>0.2</v>
      </c>
      <c r="AA40" s="4">
        <f>SUM(LTP[[#This Row],[NH4-N 
(mg L-1)]:[NO3-N 
(mg L-1)]])</f>
        <v>1352.96</v>
      </c>
      <c r="AB40" s="21">
        <f>LTP[[#This Row],[NO3-N 
(mg L-1)]]/(Influent[[#This Row],[NH4-N (mg L-1)]]-LTP[[#This Row],[NH4-N 
(mg L-1)]])</f>
        <v>1.5461446882199237E-4</v>
      </c>
      <c r="AC40" s="6">
        <f>LTP[[#This Row],[NO2-N 
(mg L-1)]]/(Influent[[#This Row],[NH4-N (mg L-1)]]-LTP[[#This Row],[NH4-N 
(mg L-1)]])</f>
        <v>0.89351701532229388</v>
      </c>
      <c r="AD40" s="20">
        <f>46/14*LTP[[#This Row],[NO2-N 
(mg L-1)]]/(EXP(-2300/(273+LTP[[#This Row],[Temp. 
(°C)]]))*10^LTP[[#This Row],[pHreactor]])</f>
        <v>0.27760003796588456</v>
      </c>
      <c r="AE40" s="19">
        <f>17/14*(LTP[[#This Row],[NH4-N 
(mg L-1)]]*10^LTP[[#This Row],[pHeff]])/(EXP(6344/(273+LTP[[#This Row],[Temp. 
(°C)]]))+10^LTP[[#This Row],[pHreactor]])</f>
        <v>60.77813155938361</v>
      </c>
      <c r="AF40" s="20">
        <f>Influent[[#This Row],[sCOD (mg L-1)]]/LTP[[#This Row],[HRT 
(h)]]*24/1000</f>
        <v>0.88716216216216226</v>
      </c>
      <c r="AG40" s="6"/>
      <c r="AH40" s="6">
        <f>(Influent[[#This Row],[NH4-N (mg L-1)]]*LTP[ARE 
(%)])*24/LTP[[#This Row],[HRT 
(h)]]/1000</f>
        <v>0.43592772772772775</v>
      </c>
      <c r="AI40" s="6">
        <f>Influent[[#This Row],[TN (mg L-1)]]/LTP[[#This Row],[HRT 
(h)]]*24/1000</f>
        <v>0.51109639639639637</v>
      </c>
      <c r="AJ40" s="6">
        <f>(Influent[[#This Row],[NH4-N (mg L-1)]])*LTP[NRE 
(%)]/LTP[[#This Row],[HRT 
(h)]]*24/1000</f>
        <v>5.4195266166453669E-2</v>
      </c>
      <c r="AK40" s="26">
        <f>1-(LTP[[#This Row],[NH4-N 
(mg L-1)]]/Influent[[#This Row],[NH4-N (mg L-1)]])</f>
        <v>0.8678564240187856</v>
      </c>
      <c r="AL40" s="26">
        <f>1-(LTP[[#This Row],[TN 
(mg L-1)]]/Influent[[#This Row],[TN (mg L-1)]])</f>
        <v>0.10789336603828314</v>
      </c>
    </row>
    <row r="41" spans="1:38" x14ac:dyDescent="0.3">
      <c r="A41" s="128">
        <v>43364</v>
      </c>
      <c r="B41" s="29">
        <v>38</v>
      </c>
      <c r="C41" s="28">
        <v>719.4</v>
      </c>
      <c r="D41" s="28">
        <f>24/(LTP[[#This Row],[Cycle duration 
(h)]]+2)</f>
        <v>4</v>
      </c>
      <c r="E41" s="137">
        <v>4</v>
      </c>
      <c r="F41" s="42">
        <f>Information!$R$61/(LTP[Flow 
(m3 d-1)]/24*LTP[[#This Row],[Cycles per day]]*LTP[[#This Row],[Cycle duration 
(h)]])*24</f>
        <v>73.987656380316935</v>
      </c>
      <c r="G41" s="27">
        <v>30.67</v>
      </c>
      <c r="H41" s="29">
        <v>7.44</v>
      </c>
      <c r="I41" s="27">
        <v>3.5</v>
      </c>
      <c r="J41" s="27">
        <v>52.31</v>
      </c>
      <c r="K41" s="27">
        <f>LTP[[#This Row],[TSS  
(mg L-1)]]</f>
        <v>12420</v>
      </c>
      <c r="L41" s="27">
        <f>LTP[[#This Row],[VSS 
(mg L-1)]]</f>
        <v>4430</v>
      </c>
      <c r="M41" s="29">
        <v>15475</v>
      </c>
      <c r="N41" s="29">
        <f>LTP[[#This Row],[COD 
(mg L-1)]]*Information!$AK$44</f>
        <v>4178.25</v>
      </c>
      <c r="O41" s="29">
        <v>2425</v>
      </c>
      <c r="P41" s="29">
        <v>9.1</v>
      </c>
      <c r="Q41" s="29">
        <v>12420</v>
      </c>
      <c r="R41">
        <v>4430</v>
      </c>
      <c r="S41" s="29">
        <v>15.26</v>
      </c>
      <c r="T41" s="29">
        <v>36.200000000000003</v>
      </c>
      <c r="U41" s="6"/>
      <c r="V41" s="20"/>
      <c r="W41" s="6"/>
      <c r="X41" s="29">
        <v>105.07</v>
      </c>
      <c r="Y41" s="29">
        <v>1058.2</v>
      </c>
      <c r="Z41" s="6">
        <f>IF(LTP[[#This Row],[TON 
(mg L-1)]]-LTP[[#This Row],[NO2-N 
(mg L-1)]]&lt;0,0.2,LTP[[#This Row],[TON 
(mg L-1)]]-LTP[[#This Row],[NO2-N 
(mg L-1)]])</f>
        <v>0.2</v>
      </c>
      <c r="AA41" s="4">
        <f>SUM(LTP[[#This Row],[NH4-N 
(mg L-1)]:[NO3-N 
(mg L-1)]])</f>
        <v>1163.47</v>
      </c>
      <c r="AB41" s="21">
        <f>LTP[[#This Row],[NO3-N 
(mg L-1)]]/(Influent[[#This Row],[NH4-N (mg L-1)]]-LTP[[#This Row],[NH4-N 
(mg L-1)]])</f>
        <v>1.6032963773518353E-4</v>
      </c>
      <c r="AC41" s="6">
        <f>LTP[[#This Row],[NO2-N 
(mg L-1)]]/(Influent[[#This Row],[NH4-N (mg L-1)]]-LTP[[#This Row],[NH4-N 
(mg L-1)]])</f>
        <v>0.84830411325685606</v>
      </c>
      <c r="AD41" s="20">
        <f>46/14*LTP[[#This Row],[NO2-N 
(mg L-1)]]/(EXP(-2300/(273+LTP[[#This Row],[Temp. 
(°C)]]))*10^LTP[[#This Row],[pHreactor]])</f>
        <v>0.2457813075086635</v>
      </c>
      <c r="AE41" s="19">
        <f>17/14*(LTP[[#This Row],[NH4-N 
(mg L-1)]]*10^LTP[[#This Row],[pHeff]])/(EXP(6344/(273+LTP[[#This Row],[Temp. 
(°C)]]))+10^LTP[[#This Row],[pHreactor]])</f>
        <v>132.71293362634799</v>
      </c>
      <c r="AF41" s="20">
        <f>Influent[[#This Row],[sCOD (mg L-1)]]/LTP[[#This Row],[HRT 
(h)]]*24/1000</f>
        <v>0.84078889700511317</v>
      </c>
      <c r="AG41" s="6"/>
      <c r="AH41" s="6">
        <f>(Influent[[#This Row],[NH4-N (mg L-1)]]*LTP[ARE 
(%)])*24/LTP[[#This Row],[HRT 
(h)]]/1000</f>
        <v>0.40463938803668531</v>
      </c>
      <c r="AI41" s="6">
        <f>Influent[[#This Row],[TN (mg L-1)]]/LTP[[#This Row],[HRT 
(h)]]*24/1000</f>
        <v>0.45150104266428587</v>
      </c>
      <c r="AJ41" s="6">
        <f>(Influent[[#This Row],[NH4-N (mg L-1)]])*LTP[NRE 
(%)]/LTP[[#This Row],[HRT 
(h)]]*24/1000</f>
        <v>7.1999253338919045E-2</v>
      </c>
      <c r="AK41" s="26">
        <f>1-(LTP[[#This Row],[NH4-N 
(mg L-1)]]/Influent[[#This Row],[NH4-N (mg L-1)]])</f>
        <v>0.92231423290203329</v>
      </c>
      <c r="AL41" s="26">
        <f>1-(LTP[[#This Row],[TN 
(mg L-1)]]/Influent[[#This Row],[TN (mg L-1)]])</f>
        <v>0.16411139912752093</v>
      </c>
    </row>
    <row r="42" spans="1:38" x14ac:dyDescent="0.3">
      <c r="A42" s="128">
        <v>43365</v>
      </c>
      <c r="B42" s="29">
        <v>39</v>
      </c>
      <c r="C42" s="28">
        <v>601.4</v>
      </c>
      <c r="D42" s="28">
        <f>24/(LTP[[#This Row],[Cycle duration 
(h)]]+2)</f>
        <v>4</v>
      </c>
      <c r="E42" s="137">
        <v>4</v>
      </c>
      <c r="F42" s="42">
        <f>Information!$R$61/(LTP[Flow 
(m3 d-1)]/24*LTP[[#This Row],[Cycles per day]]*LTP[[#This Row],[Cycle duration 
(h)]])*24</f>
        <v>88.504689058862652</v>
      </c>
      <c r="G42" s="27">
        <v>30.73</v>
      </c>
      <c r="H42" s="29">
        <v>7.25</v>
      </c>
      <c r="I42" s="27">
        <v>3.5</v>
      </c>
      <c r="J42" s="27">
        <v>47.24</v>
      </c>
      <c r="K42" s="27">
        <f>LTP[[#This Row],[TSS  
(mg L-1)]]</f>
        <v>14800</v>
      </c>
      <c r="L42" s="27">
        <f>LTP[[#This Row],[VSS 
(mg L-1)]]</f>
        <v>4690</v>
      </c>
      <c r="M42" s="29">
        <v>12475</v>
      </c>
      <c r="N42" s="29">
        <f>LTP[[#This Row],[COD 
(mg L-1)]]*Information!$AK$44</f>
        <v>3368.25</v>
      </c>
      <c r="O42" s="29">
        <v>2098</v>
      </c>
      <c r="P42" s="29">
        <v>9</v>
      </c>
      <c r="Q42" s="29">
        <v>14800</v>
      </c>
      <c r="R42">
        <v>4690</v>
      </c>
      <c r="S42" s="29">
        <v>11.5</v>
      </c>
      <c r="T42" s="29">
        <v>32.9</v>
      </c>
      <c r="U42" s="6"/>
      <c r="V42" s="20"/>
      <c r="W42" s="6"/>
      <c r="X42" s="29">
        <v>117.79</v>
      </c>
      <c r="Y42" s="29">
        <v>1115.7</v>
      </c>
      <c r="Z42" s="6">
        <f>IF(LTP[[#This Row],[TON 
(mg L-1)]]-LTP[[#This Row],[NO2-N 
(mg L-1)]]&lt;0,0.2,LTP[[#This Row],[TON 
(mg L-1)]]-LTP[[#This Row],[NO2-N 
(mg L-1)]])</f>
        <v>0.2</v>
      </c>
      <c r="AA42" s="4">
        <f>SUM(LTP[[#This Row],[NH4-N 
(mg L-1)]:[NO3-N 
(mg L-1)]])</f>
        <v>1233.69</v>
      </c>
      <c r="AB42" s="21">
        <f>LTP[[#This Row],[NO3-N 
(mg L-1)]]/(Influent[[#This Row],[NH4-N (mg L-1)]]-LTP[[#This Row],[NH4-N 
(mg L-1)]])</f>
        <v>1.5741710021959686E-4</v>
      </c>
      <c r="AC42" s="6">
        <f>LTP[[#This Row],[NO2-N 
(mg L-1)]]/(Influent[[#This Row],[NH4-N (mg L-1)]]-LTP[[#This Row],[NH4-N 
(mg L-1)]])</f>
        <v>0.87815129357502109</v>
      </c>
      <c r="AD42" s="20">
        <f>46/14*LTP[[#This Row],[NO2-N 
(mg L-1)]]/(EXP(-2300/(273+LTP[[#This Row],[Temp. 
(°C)]]))*10^LTP[[#This Row],[pHreactor]])</f>
        <v>0.40075480200714525</v>
      </c>
      <c r="AE42" s="19">
        <f>17/14*(LTP[[#This Row],[NH4-N 
(mg L-1)]]*10^LTP[[#This Row],[pHeff]])/(EXP(6344/(273+LTP[[#This Row],[Temp. 
(°C)]]))+10^LTP[[#This Row],[pHreactor]])</f>
        <v>119.62581220640729</v>
      </c>
      <c r="AF42" s="20">
        <f>Influent[[#This Row],[sCOD (mg L-1)]]/LTP[[#This Row],[HRT 
(h)]]*24/1000</f>
        <v>0.70043746449151856</v>
      </c>
      <c r="AG42" s="6"/>
      <c r="AH42" s="6">
        <f>(Influent[[#This Row],[NH4-N (mg L-1)]]*LTP[ARE 
(%)])*24/LTP[[#This Row],[HRT 
(h)]]/1000</f>
        <v>0.34452683043403759</v>
      </c>
      <c r="AI42" s="6">
        <f>Influent[[#This Row],[TN (mg L-1)]]/LTP[[#This Row],[HRT 
(h)]]*24/1000</f>
        <v>0.38481893289686081</v>
      </c>
      <c r="AJ42" s="6">
        <f>(Influent[[#This Row],[NH4-N (mg L-1)]])*LTP[NRE 
(%)]/LTP[[#This Row],[HRT 
(h)]]*24/1000</f>
        <v>4.9185632085794101E-2</v>
      </c>
      <c r="AK42" s="26">
        <f>1-(LTP[[#This Row],[NH4-N 
(mg L-1)]]/Influent[[#This Row],[NH4-N (mg L-1)]])</f>
        <v>0.91515522581574582</v>
      </c>
      <c r="AL42" s="26">
        <f>1-(LTP[[#This Row],[TN 
(mg L-1)]]/Influent[[#This Row],[TN (mg L-1)]])</f>
        <v>0.13065016788868955</v>
      </c>
    </row>
    <row r="43" spans="1:38" x14ac:dyDescent="0.3">
      <c r="A43" s="128">
        <v>43366</v>
      </c>
      <c r="B43" s="29">
        <v>40</v>
      </c>
      <c r="C43" s="28">
        <v>785.7</v>
      </c>
      <c r="D43" s="28">
        <f>24/(LTP[[#This Row],[Cycle duration 
(h)]]+2)</f>
        <v>4</v>
      </c>
      <c r="E43" s="137">
        <v>4</v>
      </c>
      <c r="F43" s="42">
        <f>Information!$R$61/(LTP[Flow 
(m3 d-1)]/24*LTP[[#This Row],[Cycles per day]]*LTP[[#This Row],[Cycle duration 
(h)]])*24</f>
        <v>67.744329896907203</v>
      </c>
      <c r="G43" s="27">
        <v>30.6</v>
      </c>
      <c r="H43" s="29">
        <v>7.26</v>
      </c>
      <c r="I43" s="27">
        <v>3.5</v>
      </c>
      <c r="J43" s="27">
        <v>42.3</v>
      </c>
      <c r="K43" s="27">
        <f>LTP[[#This Row],[TSS  
(mg L-1)]]</f>
        <v>14980</v>
      </c>
      <c r="L43" s="27">
        <f>LTP[[#This Row],[VSS 
(mg L-1)]]</f>
        <v>5010</v>
      </c>
      <c r="M43" s="29">
        <v>17000</v>
      </c>
      <c r="N43" s="29">
        <f>LTP[[#This Row],[COD 
(mg L-1)]]*Information!$AK$44</f>
        <v>4590</v>
      </c>
      <c r="O43" s="29">
        <v>1203</v>
      </c>
      <c r="P43" s="29">
        <v>8.9</v>
      </c>
      <c r="Q43" s="29">
        <v>14980</v>
      </c>
      <c r="R43">
        <v>5010</v>
      </c>
      <c r="S43" s="29">
        <v>11.97</v>
      </c>
      <c r="T43" s="29">
        <v>31.4</v>
      </c>
      <c r="U43" s="6"/>
      <c r="V43" s="20"/>
      <c r="W43" s="6"/>
      <c r="X43" s="29">
        <v>90.63</v>
      </c>
      <c r="Y43" s="29">
        <v>1181.9000000000001</v>
      </c>
      <c r="Z43" s="6">
        <f>IF(LTP[[#This Row],[TON 
(mg L-1)]]-LTP[[#This Row],[NO2-N 
(mg L-1)]]&lt;0,0.2,LTP[[#This Row],[TON 
(mg L-1)]]-LTP[[#This Row],[NO2-N 
(mg L-1)]])</f>
        <v>0.2</v>
      </c>
      <c r="AA43" s="4">
        <f>SUM(LTP[[#This Row],[NH4-N 
(mg L-1)]:[NO3-N 
(mg L-1)]])</f>
        <v>1272.7300000000002</v>
      </c>
      <c r="AB43" s="21">
        <f>LTP[[#This Row],[NO3-N 
(mg L-1)]]/(Influent[[#This Row],[NH4-N (mg L-1)]]-LTP[[#This Row],[NH4-N 
(mg L-1)]])</f>
        <v>1.5070795059793379E-4</v>
      </c>
      <c r="AC43" s="6">
        <f>LTP[[#This Row],[NO2-N 
(mg L-1)]]/(Influent[[#This Row],[NH4-N (mg L-1)]]-LTP[[#This Row],[NH4-N 
(mg L-1)]])</f>
        <v>0.89060863405848967</v>
      </c>
      <c r="AD43" s="20">
        <f>46/14*LTP[[#This Row],[NO2-N 
(mg L-1)]]/(EXP(-2300/(273+LTP[[#This Row],[Temp. 
(°C)]]))*10^LTP[[#This Row],[pHreactor]])</f>
        <v>0.41621740773568117</v>
      </c>
      <c r="AE43" s="19">
        <f>17/14*(LTP[[#This Row],[NH4-N 
(mg L-1)]]*10^LTP[[#This Row],[pHeff]])/(EXP(6344/(273+LTP[[#This Row],[Temp. 
(°C)]]))+10^LTP[[#This Row],[pHreactor]])</f>
        <v>72.445708820159396</v>
      </c>
      <c r="AF43" s="20">
        <f>Influent[[#This Row],[sCOD (mg L-1)]]/LTP[[#This Row],[HRT 
(h)]]*24/1000</f>
        <v>0.90073959094229372</v>
      </c>
      <c r="AG43" s="6"/>
      <c r="AH43" s="6">
        <f>(Influent[[#This Row],[NH4-N (mg L-1)]]*LTP[ARE 
(%)])*24/LTP[[#This Row],[HRT 
(h)]]/1000</f>
        <v>0.47014532505478462</v>
      </c>
      <c r="AI43" s="6">
        <f>Influent[[#This Row],[TN (mg L-1)]]/LTP[[#This Row],[HRT 
(h)]]*24/1000</f>
        <v>0.50232395909422956</v>
      </c>
      <c r="AJ43" s="6">
        <f>(Influent[[#This Row],[NH4-N (mg L-1)]])*LTP[NRE 
(%)]/LTP[[#This Row],[HRT 
(h)]]*24/1000</f>
        <v>5.1422584931130173E-2</v>
      </c>
      <c r="AK43" s="26">
        <f>1-(LTP[[#This Row],[NH4-N 
(mg L-1)]]/Influent[[#This Row],[NH4-N (mg L-1)]])</f>
        <v>0.93607251181491147</v>
      </c>
      <c r="AL43" s="26">
        <f>1-(LTP[[#This Row],[TN 
(mg L-1)]]/Influent[[#This Row],[TN (mg L-1)]])</f>
        <v>0.10238380703857808</v>
      </c>
    </row>
    <row r="44" spans="1:38" x14ac:dyDescent="0.3">
      <c r="A44" s="128">
        <v>43367</v>
      </c>
      <c r="B44" s="29">
        <v>41</v>
      </c>
      <c r="C44" s="28">
        <v>208.2</v>
      </c>
      <c r="D44" s="28">
        <f>24/(LTP[[#This Row],[Cycle duration 
(h)]]+2)</f>
        <v>4</v>
      </c>
      <c r="E44" s="137">
        <v>4</v>
      </c>
      <c r="F44" s="42">
        <f>Information!$R$61/(LTP[Flow 
(m3 d-1)]/24*LTP[[#This Row],[Cycles per day]]*LTP[[#This Row],[Cycle duration 
(h)]])*24</f>
        <v>255.65187319884728</v>
      </c>
      <c r="G44" s="27">
        <v>30.26</v>
      </c>
      <c r="H44" s="29">
        <v>7.3</v>
      </c>
      <c r="I44" s="27">
        <v>3.5</v>
      </c>
      <c r="J44" s="27">
        <v>67</v>
      </c>
      <c r="K44" s="27">
        <f>LTP[[#This Row],[TSS  
(mg L-1)]]</f>
        <v>17960</v>
      </c>
      <c r="L44" s="27">
        <f>LTP[[#This Row],[VSS 
(mg L-1)]]</f>
        <v>4830</v>
      </c>
      <c r="M44" s="29">
        <v>16950</v>
      </c>
      <c r="N44" s="29">
        <f>LTP[[#This Row],[COD 
(mg L-1)]]*Information!$AK$44</f>
        <v>4576.5</v>
      </c>
      <c r="O44" s="29">
        <v>1135</v>
      </c>
      <c r="P44" s="29">
        <v>8.4</v>
      </c>
      <c r="Q44" s="29">
        <v>17960</v>
      </c>
      <c r="R44">
        <v>4830</v>
      </c>
      <c r="S44" s="29">
        <v>11.57</v>
      </c>
      <c r="T44" s="29">
        <v>30.8</v>
      </c>
      <c r="U44" s="6"/>
      <c r="V44" s="20"/>
      <c r="W44" s="6"/>
      <c r="X44" s="29">
        <v>138.66</v>
      </c>
      <c r="Y44" s="29">
        <v>1164.2</v>
      </c>
      <c r="Z44" s="6">
        <f>IF(LTP[[#This Row],[TON 
(mg L-1)]]-LTP[[#This Row],[NO2-N 
(mg L-1)]]&lt;0,0.2,LTP[[#This Row],[TON 
(mg L-1)]]-LTP[[#This Row],[NO2-N 
(mg L-1)]])</f>
        <v>0.2</v>
      </c>
      <c r="AA44" s="4">
        <f>SUM(LTP[[#This Row],[NH4-N 
(mg L-1)]:[NO3-N 
(mg L-1)]])</f>
        <v>1303.0600000000002</v>
      </c>
      <c r="AB44" s="21">
        <f>LTP[[#This Row],[NO3-N 
(mg L-1)]]/(Influent[[#This Row],[NH4-N (mg L-1)]]-LTP[[#This Row],[NH4-N 
(mg L-1)]])</f>
        <v>1.6310020876826722E-4</v>
      </c>
      <c r="AC44" s="6">
        <f>LTP[[#This Row],[NO2-N 
(mg L-1)]]/(Influent[[#This Row],[NH4-N (mg L-1)]]-LTP[[#This Row],[NH4-N 
(mg L-1)]])</f>
        <v>0.94940631524008356</v>
      </c>
      <c r="AD44" s="20">
        <f>46/14*LTP[[#This Row],[NO2-N 
(mg L-1)]]/(EXP(-2300/(273+LTP[[#This Row],[Temp. 
(°C)]]))*10^LTP[[#This Row],[pHreactor]])</f>
        <v>0.37709937220837703</v>
      </c>
      <c r="AE44" s="19">
        <f>17/14*(LTP[[#This Row],[NH4-N 
(mg L-1)]]*10^LTP[[#This Row],[pHeff]])/(EXP(6344/(273+LTP[[#This Row],[Temp. 
(°C)]]))+10^LTP[[#This Row],[pHreactor]])</f>
        <v>34.202048731680293</v>
      </c>
      <c r="AF44" s="20">
        <f>Influent[[#This Row],[sCOD (mg L-1)]]/LTP[[#This Row],[HRT 
(h)]]*24/1000</f>
        <v>0.23657170684197706</v>
      </c>
      <c r="AG44" s="6"/>
      <c r="AH44" s="6">
        <f>(Influent[[#This Row],[NH4-N (mg L-1)]]*LTP[ARE 
(%)])*24/LTP[[#This Row],[HRT 
(h)]]/1000</f>
        <v>0.11511654357059763</v>
      </c>
      <c r="AI44" s="6">
        <f>Influent[[#This Row],[TN (mg L-1)]]/LTP[[#This Row],[HRT 
(h)]]*24/1000</f>
        <v>0.13155198739279819</v>
      </c>
      <c r="AJ44" s="6">
        <f>(Influent[[#This Row],[NH4-N (mg L-1)]])*LTP[NRE 
(%)]/LTP[[#This Row],[HRT 
(h)]]*24/1000</f>
        <v>8.9840831964971991E-3</v>
      </c>
      <c r="AK44" s="26">
        <f>1-(LTP[[#This Row],[NH4-N 
(mg L-1)]]/Influent[[#This Row],[NH4-N (mg L-1)]])</f>
        <v>0.8984101399369917</v>
      </c>
      <c r="AL44" s="26">
        <f>1-(LTP[[#This Row],[TN 
(mg L-1)]]/Influent[[#This Row],[TN (mg L-1)]])</f>
        <v>7.0114956472964951E-2</v>
      </c>
    </row>
    <row r="45" spans="1:38" x14ac:dyDescent="0.3">
      <c r="A45" s="128">
        <v>43368</v>
      </c>
      <c r="B45" s="29">
        <v>42</v>
      </c>
      <c r="C45" s="28">
        <v>357.9</v>
      </c>
      <c r="D45" s="28">
        <f>24/(LTP[[#This Row],[Cycle duration 
(h)]]+2)</f>
        <v>4</v>
      </c>
      <c r="E45" s="137">
        <v>4</v>
      </c>
      <c r="F45" s="42">
        <f>Information!$R$61/(LTP[Flow 
(m3 d-1)]/24*LTP[[#This Row],[Cycles per day]]*LTP[[#This Row],[Cycle duration 
(h)]])*24</f>
        <v>148.71953059513831</v>
      </c>
      <c r="G45" s="27">
        <v>29.55</v>
      </c>
      <c r="H45" s="29">
        <v>7.92</v>
      </c>
      <c r="I45" s="27">
        <v>3.5</v>
      </c>
      <c r="J45" s="27">
        <v>35.21</v>
      </c>
      <c r="K45" s="27">
        <f>LTP[[#This Row],[TSS  
(mg L-1)]]</f>
        <v>12680</v>
      </c>
      <c r="L45" s="27">
        <f>LTP[[#This Row],[VSS 
(mg L-1)]]</f>
        <v>4650</v>
      </c>
      <c r="M45" s="29">
        <v>13475</v>
      </c>
      <c r="N45" s="29">
        <f>LTP[[#This Row],[COD 
(mg L-1)]]*Information!$AK$44</f>
        <v>3638.2500000000005</v>
      </c>
      <c r="O45" s="29">
        <v>1344</v>
      </c>
      <c r="P45" s="29">
        <v>8.9</v>
      </c>
      <c r="Q45" s="29">
        <v>12680</v>
      </c>
      <c r="R45">
        <v>4650</v>
      </c>
      <c r="S45" s="29">
        <v>19.96</v>
      </c>
      <c r="T45" s="29">
        <v>27.6</v>
      </c>
      <c r="U45" s="6"/>
      <c r="V45" s="20"/>
      <c r="W45" s="6"/>
      <c r="X45" s="29">
        <v>62</v>
      </c>
      <c r="Y45" s="29">
        <v>2.7E-2</v>
      </c>
      <c r="Z45" s="6">
        <f>IF(LTP[[#This Row],[TON 
(mg L-1)]]-LTP[[#This Row],[NO2-N 
(mg L-1)]]&lt;0,0.2,LTP[[#This Row],[TON 
(mg L-1)]]-LTP[[#This Row],[NO2-N 
(mg L-1)]])</f>
        <v>27.573</v>
      </c>
      <c r="AA45" s="4">
        <f>SUM(LTP[[#This Row],[NH4-N 
(mg L-1)]:[NO3-N 
(mg L-1)]])</f>
        <v>89.6</v>
      </c>
      <c r="AB45" s="21">
        <f>LTP[[#This Row],[NO3-N 
(mg L-1)]]/(Influent[[#This Row],[NH4-N (mg L-1)]]-LTP[[#This Row],[NH4-N 
(mg L-1)]])</f>
        <v>2.4117029651010233E-2</v>
      </c>
      <c r="AC45" s="6">
        <f>LTP[[#This Row],[NO2-N 
(mg L-1)]]/(Influent[[#This Row],[NH4-N (mg L-1)]]-LTP[[#This Row],[NH4-N 
(mg L-1)]])</f>
        <v>2.3615848858567306E-5</v>
      </c>
      <c r="AD45" s="20">
        <f>46/14*LTP[[#This Row],[NO2-N 
(mg L-1)]]/(EXP(-2300/(273+LTP[[#This Row],[Temp. 
(°C)]]))*10^LTP[[#This Row],[pHreactor]])</f>
        <v>2.135608298448887E-6</v>
      </c>
      <c r="AE45" s="19">
        <f>17/14*(LTP[[#This Row],[NH4-N 
(mg L-1)]]*10^LTP[[#This Row],[pHeff]])/(EXP(6344/(273+LTP[[#This Row],[Temp. 
(°C)]]))+10^LTP[[#This Row],[pHreactor]])</f>
        <v>43.938987768397837</v>
      </c>
      <c r="AF45" s="20">
        <f>Influent[[#This Row],[sCOD (mg L-1)]]/LTP[[#This Row],[HRT 
(h)]]*24/1000</f>
        <v>0.33332542001460924</v>
      </c>
      <c r="AG45" s="6"/>
      <c r="AH45" s="6">
        <f>(Influent[[#This Row],[NH4-N (mg L-1)]]*LTP[ARE 
(%)])*24/LTP[[#This Row],[HRT 
(h)]]/1000</f>
        <v>0.18450300300300299</v>
      </c>
      <c r="AI45" s="6">
        <f>Influent[[#This Row],[TN (mg L-1)]]/LTP[[#This Row],[HRT 
(h)]]*24/1000</f>
        <v>0.19454068933798663</v>
      </c>
      <c r="AJ45" s="6">
        <f>(Influent[[#This Row],[NH4-N (mg L-1)]])*LTP[NRE 
(%)]/LTP[[#This Row],[HRT 
(h)]]*24/1000</f>
        <v>0.1800513803242412</v>
      </c>
      <c r="AK45" s="26">
        <f>1-(LTP[[#This Row],[NH4-N 
(mg L-1)]]/Influent[[#This Row],[NH4-N (mg L-1)]])</f>
        <v>0.94856052435078408</v>
      </c>
      <c r="AL45" s="26">
        <f>1-(LTP[[#This Row],[TN 
(mg L-1)]]/Influent[[#This Row],[TN (mg L-1)]])</f>
        <v>0.92567399419328078</v>
      </c>
    </row>
    <row r="46" spans="1:38" x14ac:dyDescent="0.3">
      <c r="A46" s="128">
        <v>43369</v>
      </c>
      <c r="B46" s="29">
        <v>43</v>
      </c>
      <c r="C46" s="28">
        <v>698.6</v>
      </c>
      <c r="D46" s="28">
        <f>24/(LTP[[#This Row],[Cycle duration 
(h)]]+2)</f>
        <v>4</v>
      </c>
      <c r="E46" s="137">
        <v>4</v>
      </c>
      <c r="F46" s="42">
        <f>Information!$R$61/(LTP[Flow 
(m3 d-1)]/24*LTP[[#This Row],[Cycles per day]]*LTP[[#This Row],[Cycle duration 
(h)]])*24</f>
        <v>76.190552533638694</v>
      </c>
      <c r="G46" s="27">
        <v>28.47</v>
      </c>
      <c r="H46" s="29">
        <v>7.92</v>
      </c>
      <c r="I46" s="27">
        <v>3.5</v>
      </c>
      <c r="J46" s="27">
        <v>55.68</v>
      </c>
      <c r="K46" s="27">
        <f>LTP[[#This Row],[TSS  
(mg L-1)]]</f>
        <v>12940</v>
      </c>
      <c r="L46" s="27">
        <f>LTP[[#This Row],[VSS 
(mg L-1)]]</f>
        <v>4350</v>
      </c>
      <c r="M46" s="29">
        <v>13750</v>
      </c>
      <c r="N46" s="29">
        <f>LTP[[#This Row],[COD 
(mg L-1)]]*Information!$AK$44</f>
        <v>3712.5000000000005</v>
      </c>
      <c r="O46" s="29">
        <v>1341</v>
      </c>
      <c r="P46" s="29">
        <v>8.6</v>
      </c>
      <c r="Q46" s="29">
        <v>12940</v>
      </c>
      <c r="R46">
        <v>4350</v>
      </c>
      <c r="S46" s="29">
        <v>11.51</v>
      </c>
      <c r="T46" s="29">
        <v>30.9</v>
      </c>
      <c r="U46" s="6"/>
      <c r="V46" s="20"/>
      <c r="W46" s="6"/>
      <c r="X46" s="29">
        <v>138.56</v>
      </c>
      <c r="Y46" s="29">
        <v>983.38</v>
      </c>
      <c r="Z46" s="6">
        <f>IF(LTP[[#This Row],[TON 
(mg L-1)]]-LTP[[#This Row],[NO2-N 
(mg L-1)]]&lt;0,0.2,LTP[[#This Row],[TON 
(mg L-1)]]-LTP[[#This Row],[NO2-N 
(mg L-1)]])</f>
        <v>0.2</v>
      </c>
      <c r="AA46" s="4">
        <f>SUM(LTP[[#This Row],[NH4-N 
(mg L-1)]:[NO3-N 
(mg L-1)]])</f>
        <v>1122.1400000000001</v>
      </c>
      <c r="AB46" s="21">
        <f>LTP[[#This Row],[NO3-N 
(mg L-1)]]/(Influent[[#This Row],[NH4-N (mg L-1)]]-LTP[[#This Row],[NH4-N 
(mg L-1)]])</f>
        <v>1.6165012447059586E-4</v>
      </c>
      <c r="AC46" s="6">
        <f>LTP[[#This Row],[NO2-N 
(mg L-1)]]/(Influent[[#This Row],[NH4-N (mg L-1)]]-LTP[[#This Row],[NH4-N 
(mg L-1)]])</f>
        <v>0.79481749700947268</v>
      </c>
      <c r="AD46" s="20">
        <f>46/14*LTP[[#This Row],[NO2-N 
(mg L-1)]]/(EXP(-2300/(273+LTP[[#This Row],[Temp. 
(°C)]]))*10^LTP[[#This Row],[pHreactor]])</f>
        <v>7.9929436812097049E-2</v>
      </c>
      <c r="AE46" s="19">
        <f>17/14*(LTP[[#This Row],[NH4-N 
(mg L-1)]]*10^LTP[[#This Row],[pHeff]])/(EXP(6344/(273+LTP[[#This Row],[Temp. 
(°C)]]))+10^LTP[[#This Row],[pHreactor]])</f>
        <v>45.85616463311132</v>
      </c>
      <c r="AF46" s="20">
        <f>Influent[[#This Row],[sCOD (mg L-1)]]/LTP[[#This Row],[HRT 
(h)]]*24/1000</f>
        <v>0.7456042529015503</v>
      </c>
      <c r="AG46" s="6"/>
      <c r="AH46" s="6">
        <f>(Influent[[#This Row],[NH4-N (mg L-1)]]*LTP[ARE 
(%)])*24/LTP[[#This Row],[HRT 
(h)]]/1000</f>
        <v>0.38973020948876813</v>
      </c>
      <c r="AI46" s="6">
        <f>Influent[[#This Row],[TN (mg L-1)]]/LTP[[#This Row],[HRT 
(h)]]*24/1000</f>
        <v>0.43351390561732911</v>
      </c>
      <c r="AJ46" s="6">
        <f>(Influent[[#This Row],[NH4-N (mg L-1)]])*LTP[NRE 
(%)]/LTP[[#This Row],[HRT 
(h)]]*24/1000</f>
        <v>8.0014802586233891E-2</v>
      </c>
      <c r="AK46" s="26">
        <f>1-(LTP[[#This Row],[NH4-N 
(mg L-1)]]/Influent[[#This Row],[NH4-N (mg L-1)]])</f>
        <v>0.89928768716383201</v>
      </c>
      <c r="AL46" s="26">
        <f>1-(LTP[[#This Row],[TN 
(mg L-1)]]/Influent[[#This Row],[TN (mg L-1)]])</f>
        <v>0.18463112431298101</v>
      </c>
    </row>
    <row r="47" spans="1:38" x14ac:dyDescent="0.3">
      <c r="A47" s="128">
        <v>43370</v>
      </c>
      <c r="B47" s="29">
        <v>44</v>
      </c>
      <c r="C47" s="28">
        <v>576.9</v>
      </c>
      <c r="D47" s="28">
        <f>24/(LTP[[#This Row],[Cycle duration 
(h)]]+2)</f>
        <v>4</v>
      </c>
      <c r="E47" s="137">
        <v>4</v>
      </c>
      <c r="F47" s="42">
        <f>Information!$R$61/(LTP[Flow 
(m3 d-1)]/24*LTP[[#This Row],[Cycles per day]]*LTP[[#This Row],[Cycle duration 
(h)]])*24</f>
        <v>92.263338533541344</v>
      </c>
      <c r="G47" s="27">
        <v>29.71</v>
      </c>
      <c r="H47" s="29">
        <v>7.23</v>
      </c>
      <c r="I47" s="27">
        <v>3.5</v>
      </c>
      <c r="J47" s="27">
        <v>52.68</v>
      </c>
      <c r="K47" s="27">
        <f>LTP[[#This Row],[TSS  
(mg L-1)]]</f>
        <v>11880</v>
      </c>
      <c r="L47" s="27">
        <f>LTP[[#This Row],[VSS 
(mg L-1)]]</f>
        <v>4170</v>
      </c>
      <c r="M47" s="29">
        <v>13300</v>
      </c>
      <c r="N47" s="29">
        <f>LTP[[#This Row],[COD 
(mg L-1)]]*Information!$AK$44</f>
        <v>3591.0000000000005</v>
      </c>
      <c r="O47" s="29">
        <v>1568</v>
      </c>
      <c r="P47" s="29">
        <v>8.3000000000000007</v>
      </c>
      <c r="Q47" s="29">
        <v>11880</v>
      </c>
      <c r="R47">
        <v>4170</v>
      </c>
      <c r="S47" s="29">
        <v>13.8</v>
      </c>
      <c r="T47" s="29">
        <v>29.9</v>
      </c>
      <c r="U47" s="6"/>
      <c r="V47" s="20"/>
      <c r="W47" s="6"/>
      <c r="X47" s="29">
        <v>166.99</v>
      </c>
      <c r="Y47" s="29">
        <v>2.5999999999999999E-2</v>
      </c>
      <c r="Z47" s="6">
        <f>IF(LTP[[#This Row],[TON 
(mg L-1)]]-LTP[[#This Row],[NO2-N 
(mg L-1)]]&lt;0,0.2,LTP[[#This Row],[TON 
(mg L-1)]]-LTP[[#This Row],[NO2-N 
(mg L-1)]])</f>
        <v>29.873999999999999</v>
      </c>
      <c r="AA47" s="4">
        <f>SUM(LTP[[#This Row],[NH4-N 
(mg L-1)]:[NO3-N 
(mg L-1)]])</f>
        <v>196.89000000000001</v>
      </c>
      <c r="AB47" s="21">
        <f>LTP[[#This Row],[NO3-N 
(mg L-1)]]/(Influent[[#This Row],[NH4-N (mg L-1)]]-LTP[[#This Row],[NH4-N 
(mg L-1)]])</f>
        <v>2.2986896068820647E-2</v>
      </c>
      <c r="AC47" s="6">
        <f>LTP[[#This Row],[NO2-N 
(mg L-1)]]/(Influent[[#This Row],[NH4-N (mg L-1)]]-LTP[[#This Row],[NH4-N 
(mg L-1)]])</f>
        <v>2.0006001800540163E-5</v>
      </c>
      <c r="AD47" s="20">
        <f>46/14*LTP[[#This Row],[NO2-N 
(mg L-1)]]/(EXP(-2300/(273+LTP[[#This Row],[Temp. 
(°C)]]))*10^LTP[[#This Row],[pHreactor]])</f>
        <v>1.0031967862866596E-5</v>
      </c>
      <c r="AE47" s="19">
        <f>17/14*(LTP[[#This Row],[NH4-N 
(mg L-1)]]*10^LTP[[#This Row],[pHeff]])/(EXP(6344/(273+LTP[[#This Row],[Temp. 
(°C)]]))+10^LTP[[#This Row],[pHreactor]])</f>
        <v>31.590160360708126</v>
      </c>
      <c r="AF47" s="20">
        <f>Influent[[#This Row],[sCOD (mg L-1)]]/LTP[[#This Row],[HRT 
(h)]]*24/1000</f>
        <v>0.65785609934258582</v>
      </c>
      <c r="AG47" s="6"/>
      <c r="AH47" s="6">
        <f>(Influent[[#This Row],[NH4-N (mg L-1)]]*LTP[ARE 
(%)])*24/LTP[[#This Row],[HRT 
(h)]]/1000</f>
        <v>0.33806103806509208</v>
      </c>
      <c r="AI47" s="6">
        <f>Influent[[#This Row],[TN (mg L-1)]]/LTP[[#This Row],[HRT 
(h)]]*24/1000</f>
        <v>0.38155133511890266</v>
      </c>
      <c r="AJ47" s="6">
        <f>(Influent[[#This Row],[NH4-N (mg L-1)]])*LTP[NRE 
(%)]/LTP[[#This Row],[HRT 
(h)]]*24/1000</f>
        <v>0.33029028423484624</v>
      </c>
      <c r="AK47" s="26">
        <f>1-(LTP[[#This Row],[NH4-N 
(mg L-1)]]/Influent[[#This Row],[NH4-N (mg L-1)]])</f>
        <v>0.88613800627301242</v>
      </c>
      <c r="AL47" s="26">
        <f>1-(LTP[[#This Row],[TN 
(mg L-1)]]/Influent[[#This Row],[TN (mg L-1)]])</f>
        <v>0.86576902099809105</v>
      </c>
    </row>
    <row r="48" spans="1:38" x14ac:dyDescent="0.3">
      <c r="A48" s="128">
        <v>43371</v>
      </c>
      <c r="B48" s="29">
        <v>45</v>
      </c>
      <c r="C48" s="28">
        <v>498.4</v>
      </c>
      <c r="D48" s="28">
        <f>24/(LTP[[#This Row],[Cycle duration 
(h)]]+2)</f>
        <v>4</v>
      </c>
      <c r="E48" s="137">
        <v>4</v>
      </c>
      <c r="F48" s="42">
        <f>Information!$R$61/(LTP[Flow 
(m3 d-1)]/24*LTP[[#This Row],[Cycles per day]]*LTP[[#This Row],[Cycle duration 
(h)]])*24</f>
        <v>106.79518459069021</v>
      </c>
      <c r="G48" s="27">
        <v>30.31</v>
      </c>
      <c r="H48" s="27">
        <v>7.56</v>
      </c>
      <c r="I48" s="27">
        <v>3.5</v>
      </c>
      <c r="J48" s="27">
        <v>50.5</v>
      </c>
      <c r="K48" s="27">
        <f>LTP[[#This Row],[TSS  
(mg L-1)]]</f>
        <v>12260</v>
      </c>
      <c r="L48" s="27">
        <f>LTP[[#This Row],[VSS 
(mg L-1)]]</f>
        <v>3950</v>
      </c>
      <c r="M48">
        <v>16260</v>
      </c>
      <c r="N48" s="29">
        <f>LTP[[#This Row],[COD 
(mg L-1)]]*Information!$AK$44</f>
        <v>4390.2000000000007</v>
      </c>
      <c r="O48">
        <v>1753</v>
      </c>
      <c r="P48">
        <v>9.1999999999999993</v>
      </c>
      <c r="Q48">
        <v>12260</v>
      </c>
      <c r="R48" s="29">
        <v>3950</v>
      </c>
      <c r="S48">
        <v>53.13</v>
      </c>
      <c r="T48">
        <v>31.7</v>
      </c>
      <c r="U48" s="6"/>
      <c r="V48" s="20"/>
      <c r="W48" s="6"/>
      <c r="X48">
        <v>79.52</v>
      </c>
      <c r="Y48">
        <v>1015.3</v>
      </c>
      <c r="Z48" s="6">
        <f>IF(LTP[[#This Row],[TON 
(mg L-1)]]-LTP[[#This Row],[NO2-N 
(mg L-1)]]&lt;0,0.2,LTP[[#This Row],[TON 
(mg L-1)]]-LTP[[#This Row],[NO2-N 
(mg L-1)]])</f>
        <v>0.2</v>
      </c>
      <c r="AA48" s="4">
        <f>SUM(LTP[[#This Row],[NH4-N 
(mg L-1)]:[NO3-N 
(mg L-1)]])</f>
        <v>1095.02</v>
      </c>
      <c r="AB48" s="21">
        <f>LTP[[#This Row],[NO3-N 
(mg L-1)]]/(Influent[[#This Row],[NH4-N (mg L-1)]]-LTP[[#This Row],[NH4-N 
(mg L-1)]])</f>
        <v>1.6811243359558873E-4</v>
      </c>
      <c r="AC48" s="6">
        <f>LTP[[#This Row],[NO2-N 
(mg L-1)]]/(Influent[[#This Row],[NH4-N (mg L-1)]]-LTP[[#This Row],[NH4-N 
(mg L-1)]])</f>
        <v>0.85342276914800608</v>
      </c>
      <c r="AD48" s="20">
        <f>46/14*LTP[[#This Row],[NO2-N 
(mg L-1)]]/(EXP(-2300/(273+LTP[[#This Row],[Temp. 
(°C)]]))*10^LTP[[#This Row],[pHreactor]])</f>
        <v>0.1805010053036129</v>
      </c>
      <c r="AE48" s="19">
        <f>17/14*(LTP[[#This Row],[NH4-N 
(mg L-1)]]*10^LTP[[#This Row],[pHeff]])/(EXP(6344/(273+LTP[[#This Row],[Temp. 
(°C)]]))+10^LTP[[#This Row],[pHreactor]])</f>
        <v>122.55331884651309</v>
      </c>
      <c r="AF48" s="20">
        <f>Influent[[#This Row],[sCOD (mg L-1)]]/LTP[[#This Row],[HRT 
(h)]]*24/1000</f>
        <v>0.52788897005113222</v>
      </c>
      <c r="AG48" s="6"/>
      <c r="AH48" s="6">
        <f>(Influent[[#This Row],[NH4-N (mg L-1)]]*LTP[ARE 
(%)])*24/LTP[[#This Row],[HRT 
(h)]]/1000</f>
        <v>0.26735587479371264</v>
      </c>
      <c r="AI48" s="6">
        <f>Influent[[#This Row],[TN (mg L-1)]]/LTP[[#This Row],[HRT 
(h)]]*24/1000</f>
        <v>0.28527128930732532</v>
      </c>
      <c r="AJ48" s="6">
        <f>(Influent[[#This Row],[NH4-N (mg L-1)]])*LTP[NRE 
(%)]/LTP[[#This Row],[HRT 
(h)]]*24/1000</f>
        <v>3.918210947901022E-2</v>
      </c>
      <c r="AK48" s="26">
        <f>1-(LTP[[#This Row],[NH4-N 
(mg L-1)]]/Influent[[#This Row],[NH4-N (mg L-1)]])</f>
        <v>0.93734635991175541</v>
      </c>
      <c r="AL48" s="26">
        <f>1-(LTP[[#This Row],[TN 
(mg L-1)]]/Influent[[#This Row],[TN (mg L-1)]])</f>
        <v>0.13737198676540108</v>
      </c>
    </row>
    <row r="49" spans="1:38" x14ac:dyDescent="0.3">
      <c r="A49" s="128">
        <v>43372</v>
      </c>
      <c r="B49" s="29">
        <v>46</v>
      </c>
      <c r="C49" s="28">
        <v>680.8</v>
      </c>
      <c r="D49" s="28">
        <f>24/(LTP[[#This Row],[Cycle duration 
(h)]]+2)</f>
        <v>4</v>
      </c>
      <c r="E49" s="137">
        <v>4</v>
      </c>
      <c r="F49" s="42">
        <f>Information!$R$61/(LTP[Flow 
(m3 d-1)]/24*LTP[[#This Row],[Cycles per day]]*LTP[[#This Row],[Cycle duration 
(h)]])*24</f>
        <v>78.182608695652192</v>
      </c>
      <c r="G49" s="27">
        <v>30.25</v>
      </c>
      <c r="H49" s="27">
        <v>7.67</v>
      </c>
      <c r="I49" s="27">
        <v>3.5</v>
      </c>
      <c r="J49" s="27">
        <v>64.849999999999994</v>
      </c>
      <c r="K49" s="27">
        <f>LTP[[#This Row],[TSS  
(mg L-1)]]</f>
        <v>11420</v>
      </c>
      <c r="L49" s="27">
        <f>LTP[[#This Row],[VSS 
(mg L-1)]]</f>
        <v>4110</v>
      </c>
      <c r="M49">
        <v>11500</v>
      </c>
      <c r="N49" s="29">
        <f>LTP[[#This Row],[COD 
(mg L-1)]]*Information!$AK$44</f>
        <v>3105</v>
      </c>
      <c r="O49">
        <v>2075</v>
      </c>
      <c r="P49">
        <v>9.1</v>
      </c>
      <c r="Q49">
        <v>11420</v>
      </c>
      <c r="R49" s="29">
        <v>4110</v>
      </c>
      <c r="S49">
        <v>12.91</v>
      </c>
      <c r="T49">
        <v>32</v>
      </c>
      <c r="U49" s="6"/>
      <c r="V49" s="20"/>
      <c r="W49" s="6"/>
      <c r="X49">
        <v>65.28</v>
      </c>
      <c r="Y49">
        <v>1056</v>
      </c>
      <c r="Z49" s="6">
        <f>IF(LTP[[#This Row],[TON 
(mg L-1)]]-LTP[[#This Row],[NO2-N 
(mg L-1)]]&lt;0,0.2,LTP[[#This Row],[TON 
(mg L-1)]]-LTP[[#This Row],[NO2-N 
(mg L-1)]])</f>
        <v>0.2</v>
      </c>
      <c r="AA49" s="4">
        <f>SUM(LTP[[#This Row],[NH4-N 
(mg L-1)]:[NO3-N 
(mg L-1)]])</f>
        <v>1121.48</v>
      </c>
      <c r="AB49" s="21">
        <f>LTP[[#This Row],[NO3-N 
(mg L-1)]]/(Influent[[#This Row],[NH4-N (mg L-1)]]-LTP[[#This Row],[NH4-N 
(mg L-1)]])</f>
        <v>1.609761594307883E-4</v>
      </c>
      <c r="AC49" s="6">
        <f>LTP[[#This Row],[NO2-N 
(mg L-1)]]/(Influent[[#This Row],[NH4-N (mg L-1)]]-LTP[[#This Row],[NH4-N 
(mg L-1)]])</f>
        <v>0.8499541217945622</v>
      </c>
      <c r="AD49" s="20">
        <f>46/14*LTP[[#This Row],[NO2-N 
(mg L-1)]]/(EXP(-2300/(273+LTP[[#This Row],[Temp. 
(°C)]]))*10^LTP[[#This Row],[pHreactor]])</f>
        <v>0.14594887416956756</v>
      </c>
      <c r="AE49" s="19">
        <f>17/14*(LTP[[#This Row],[NH4-N 
(mg L-1)]]*10^LTP[[#This Row],[pHeff]])/(EXP(6344/(273+LTP[[#This Row],[Temp. 
(°C)]]))+10^LTP[[#This Row],[pHreactor]])</f>
        <v>78.935716898953459</v>
      </c>
      <c r="AF49" s="20">
        <f>Influent[[#This Row],[sCOD (mg L-1)]]/LTP[[#This Row],[HRT 
(h)]]*24/1000</f>
        <v>0.80396396396396386</v>
      </c>
      <c r="AG49" s="6"/>
      <c r="AH49" s="6">
        <f>(Influent[[#This Row],[NH4-N (mg L-1)]]*LTP[ARE 
(%)])*24/LTP[[#This Row],[HRT 
(h)]]/1000</f>
        <v>0.38139019019019016</v>
      </c>
      <c r="AI49" s="6">
        <f>Influent[[#This Row],[TN (mg L-1)]]/LTP[[#This Row],[HRT 
(h)]]*24/1000</f>
        <v>0.40161361361361347</v>
      </c>
      <c r="AJ49" s="6">
        <f>(Influent[[#This Row],[NH4-N (mg L-1)]])*LTP[NRE 
(%)]/LTP[[#This Row],[HRT 
(h)]]*24/1000</f>
        <v>5.7322514718341343E-2</v>
      </c>
      <c r="AK49" s="26">
        <f>1-(LTP[[#This Row],[NH4-N 
(mg L-1)]]/Influent[[#This Row],[NH4-N (mg L-1)]])</f>
        <v>0.95008029364533153</v>
      </c>
      <c r="AL49" s="26">
        <f>1-(LTP[[#This Row],[TN 
(mg L-1)]]/Influent[[#This Row],[TN (mg L-1)]])</f>
        <v>0.14279599480241534</v>
      </c>
    </row>
    <row r="50" spans="1:38" x14ac:dyDescent="0.3">
      <c r="A50" s="128">
        <v>43373</v>
      </c>
      <c r="B50" s="29">
        <v>47</v>
      </c>
      <c r="C50" s="28">
        <v>335.1</v>
      </c>
      <c r="D50" s="28">
        <f>24/(LTP[[#This Row],[Cycle duration 
(h)]]+2)</f>
        <v>4</v>
      </c>
      <c r="E50" s="137">
        <v>4</v>
      </c>
      <c r="F50" s="42">
        <f>Information!$R$61/(LTP[Flow 
(m3 d-1)]/24*LTP[[#This Row],[Cycles per day]]*LTP[[#This Row],[Cycle duration 
(h)]])*24</f>
        <v>158.83831692032228</v>
      </c>
      <c r="G50" s="27">
        <v>29.98</v>
      </c>
      <c r="H50" s="27">
        <v>7.14</v>
      </c>
      <c r="I50" s="27">
        <v>3.5</v>
      </c>
      <c r="J50" s="27">
        <v>63.89</v>
      </c>
      <c r="K50" s="27">
        <f>LTP[[#This Row],[TSS  
(mg L-1)]]</f>
        <v>11220</v>
      </c>
      <c r="L50" s="27">
        <f>LTP[[#This Row],[VSS 
(mg L-1)]]</f>
        <v>3750</v>
      </c>
      <c r="M50">
        <v>11420</v>
      </c>
      <c r="N50" s="29">
        <f>LTP[[#This Row],[COD 
(mg L-1)]]*Information!$AK$44</f>
        <v>3083.4</v>
      </c>
      <c r="O50">
        <v>1934</v>
      </c>
      <c r="P50">
        <v>8.8000000000000007</v>
      </c>
      <c r="Q50">
        <v>11220</v>
      </c>
      <c r="R50" s="29">
        <v>3750</v>
      </c>
      <c r="S50">
        <v>53.29</v>
      </c>
      <c r="T50">
        <v>31.9</v>
      </c>
      <c r="U50" s="6"/>
      <c r="V50" s="20"/>
      <c r="W50" s="6"/>
      <c r="X50">
        <v>113</v>
      </c>
      <c r="Y50">
        <v>1058.2</v>
      </c>
      <c r="Z50" s="6">
        <f>IF(LTP[[#This Row],[TON 
(mg L-1)]]-LTP[[#This Row],[NO2-N 
(mg L-1)]]&lt;0,0.2,LTP[[#This Row],[TON 
(mg L-1)]]-LTP[[#This Row],[NO2-N 
(mg L-1)]])</f>
        <v>0.2</v>
      </c>
      <c r="AA50" s="4">
        <f>SUM(LTP[[#This Row],[NH4-N 
(mg L-1)]:[NO3-N 
(mg L-1)]])</f>
        <v>1171.4000000000001</v>
      </c>
      <c r="AB50" s="21">
        <f>LTP[[#This Row],[NO3-N 
(mg L-1)]]/(Influent[[#This Row],[NH4-N (mg L-1)]]-LTP[[#This Row],[NH4-N 
(mg L-1)]])</f>
        <v>1.5780337699226762E-4</v>
      </c>
      <c r="AC50" s="6">
        <f>LTP[[#This Row],[NO2-N 
(mg L-1)]]/(Influent[[#This Row],[NH4-N (mg L-1)]]-LTP[[#This Row],[NH4-N 
(mg L-1)]])</f>
        <v>0.83493766766608801</v>
      </c>
      <c r="AD50" s="20">
        <f>46/14*LTP[[#This Row],[NO2-N 
(mg L-1)]]/(EXP(-2300/(273+LTP[[#This Row],[Temp. 
(°C)]]))*10^LTP[[#This Row],[pHreactor]])</f>
        <v>0.49893037728258938</v>
      </c>
      <c r="AE50" s="19">
        <f>17/14*(LTP[[#This Row],[NH4-N 
(mg L-1)]]*10^LTP[[#This Row],[pHeff]])/(EXP(6344/(273+LTP[[#This Row],[Temp. 
(°C)]]))+10^LTP[[#This Row],[pHreactor]])</f>
        <v>69.030572991133269</v>
      </c>
      <c r="AF50" s="20">
        <f>Influent[[#This Row],[sCOD (mg L-1)]]/LTP[[#This Row],[HRT 
(h)]]*24/1000</f>
        <v>0.40388239590942293</v>
      </c>
      <c r="AG50" s="6"/>
      <c r="AH50" s="6">
        <f>(Influent[[#This Row],[NH4-N (mg L-1)]]*LTP[ARE 
(%)])*24/LTP[[#This Row],[HRT 
(h)]]/1000</f>
        <v>0.19150039228417609</v>
      </c>
      <c r="AI50" s="6">
        <f>Influent[[#This Row],[TN (mg L-1)]]/LTP[[#This Row],[HRT 
(h)]]*24/1000</f>
        <v>0.20860457755052356</v>
      </c>
      <c r="AJ50" s="6">
        <f>(Influent[[#This Row],[NH4-N (mg L-1)]])*LTP[NRE 
(%)]/LTP[[#This Row],[HRT 
(h)]]*24/1000</f>
        <v>3.1604922297038152E-2</v>
      </c>
      <c r="AK50" s="26">
        <f>1-(LTP[[#This Row],[NH4-N 
(mg L-1)]]/Influent[[#This Row],[NH4-N (mg L-1)]])</f>
        <v>0.91813966966096783</v>
      </c>
      <c r="AL50" s="26">
        <f>1-(LTP[[#This Row],[TN 
(mg L-1)]]/Influent[[#This Row],[TN (mg L-1)]])</f>
        <v>0.15152832101984648</v>
      </c>
    </row>
    <row r="51" spans="1:38" x14ac:dyDescent="0.3">
      <c r="A51" s="128">
        <v>43374</v>
      </c>
      <c r="B51" s="29">
        <v>48</v>
      </c>
      <c r="C51" s="28">
        <v>603.6</v>
      </c>
      <c r="D51" s="28">
        <f>24/(LTP[[#This Row],[Cycle duration 
(h)]]+2)</f>
        <v>4</v>
      </c>
      <c r="E51" s="137">
        <v>4</v>
      </c>
      <c r="F51" s="42">
        <f>Information!$R$61/(LTP[Flow 
(m3 d-1)]/24*LTP[[#This Row],[Cycles per day]]*LTP[[#This Row],[Cycle duration 
(h)]])*24</f>
        <v>88.182107355864801</v>
      </c>
      <c r="G51" s="27">
        <v>29.17</v>
      </c>
      <c r="H51" s="27">
        <v>7.31</v>
      </c>
      <c r="I51" s="27">
        <v>3.5</v>
      </c>
      <c r="J51" s="27">
        <v>59.74</v>
      </c>
      <c r="K51" s="27">
        <f>LTP[[#This Row],[TSS  
(mg L-1)]]</f>
        <v>12220</v>
      </c>
      <c r="L51" s="27">
        <f>LTP[[#This Row],[VSS 
(mg L-1)]]</f>
        <v>3990</v>
      </c>
      <c r="M51">
        <v>11760</v>
      </c>
      <c r="N51" s="29">
        <f>LTP[[#This Row],[COD 
(mg L-1)]]*Information!$AK$44</f>
        <v>3175.2000000000003</v>
      </c>
      <c r="O51">
        <v>1612</v>
      </c>
      <c r="P51">
        <v>8.8000000000000007</v>
      </c>
      <c r="Q51">
        <v>12220</v>
      </c>
      <c r="R51" s="29">
        <v>3990</v>
      </c>
      <c r="S51">
        <v>18.47</v>
      </c>
      <c r="T51">
        <v>30.6</v>
      </c>
      <c r="U51" s="6"/>
      <c r="V51" s="20"/>
      <c r="W51" s="6"/>
      <c r="X51">
        <v>109.66</v>
      </c>
      <c r="Y51">
        <v>1078.5</v>
      </c>
      <c r="Z51" s="6">
        <f>IF(LTP[[#This Row],[TON 
(mg L-1)]]-LTP[[#This Row],[NO2-N 
(mg L-1)]]&lt;0,0.2,LTP[[#This Row],[TON 
(mg L-1)]]-LTP[[#This Row],[NO2-N 
(mg L-1)]])</f>
        <v>0.2</v>
      </c>
      <c r="AA51" s="4">
        <f>SUM(LTP[[#This Row],[NH4-N 
(mg L-1)]:[NO3-N 
(mg L-1)]])</f>
        <v>1188.3600000000001</v>
      </c>
      <c r="AB51" s="21">
        <f>LTP[[#This Row],[NO3-N 
(mg L-1)]]/(Influent[[#This Row],[NH4-N (mg L-1)]]-LTP[[#This Row],[NH4-N 
(mg L-1)]])</f>
        <v>1.6106431298017299E-4</v>
      </c>
      <c r="AC51" s="6">
        <f>LTP[[#This Row],[NO2-N 
(mg L-1)]]/(Influent[[#This Row],[NH4-N (mg L-1)]]-LTP[[#This Row],[NH4-N 
(mg L-1)]])</f>
        <v>0.86853930774558286</v>
      </c>
      <c r="AD51" s="20">
        <f>46/14*LTP[[#This Row],[NO2-N 
(mg L-1)]]/(EXP(-2300/(273+LTP[[#This Row],[Temp. 
(°C)]]))*10^LTP[[#This Row],[pHreactor]])</f>
        <v>0.35085679223072525</v>
      </c>
      <c r="AE51" s="19">
        <f>17/14*(LTP[[#This Row],[NH4-N 
(mg L-1)]]*10^LTP[[#This Row],[pHeff]])/(EXP(6344/(273+LTP[[#This Row],[Temp. 
(°C)]]))+10^LTP[[#This Row],[pHreactor]])</f>
        <v>63.057238041527782</v>
      </c>
      <c r="AF51" s="20">
        <f>Influent[[#This Row],[sCOD (mg L-1)]]/LTP[[#This Row],[HRT 
(h)]]*24/1000</f>
        <v>0.72504504504504508</v>
      </c>
      <c r="AG51" s="6"/>
      <c r="AH51" s="6">
        <f>(Influent[[#This Row],[NH4-N (mg L-1)]]*LTP[ARE 
(%)])*24/LTP[[#This Row],[HRT 
(h)]]/1000</f>
        <v>0.33795699483267055</v>
      </c>
      <c r="AI51" s="6">
        <f>Influent[[#This Row],[TN (mg L-1)]]/LTP[[#This Row],[HRT 
(h)]]*24/1000</f>
        <v>0.36947005437870306</v>
      </c>
      <c r="AJ51" s="6">
        <f>(Influent[[#This Row],[NH4-N (mg L-1)]])*LTP[NRE 
(%)]/LTP[[#This Row],[HRT 
(h)]]*24/1000</f>
        <v>4.5833376719952211E-2</v>
      </c>
      <c r="AK51" s="26">
        <f>1-(LTP[[#This Row],[NH4-N 
(mg L-1)]]/Influent[[#This Row],[NH4-N (mg L-1)]])</f>
        <v>0.91885452123723543</v>
      </c>
      <c r="AL51" s="26">
        <f>1-(LTP[[#This Row],[TN 
(mg L-1)]]/Influent[[#This Row],[TN (mg L-1)]])</f>
        <v>0.12461409607322715</v>
      </c>
    </row>
    <row r="52" spans="1:38" x14ac:dyDescent="0.3">
      <c r="A52" s="128">
        <v>43375</v>
      </c>
      <c r="B52" s="29">
        <v>49</v>
      </c>
      <c r="C52" s="28">
        <v>558.6</v>
      </c>
      <c r="D52" s="28">
        <f>24/(LTP[[#This Row],[Cycle duration 
(h)]]+2)</f>
        <v>4</v>
      </c>
      <c r="E52" s="137">
        <v>4</v>
      </c>
      <c r="F52" s="42">
        <f>Information!$R$61/(LTP[Flow 
(m3 d-1)]/24*LTP[[#This Row],[Cycles per day]]*LTP[[#This Row],[Cycle duration 
(h)]])*24</f>
        <v>95.28592910848549</v>
      </c>
      <c r="G52" s="27">
        <v>28.85</v>
      </c>
      <c r="H52" s="27">
        <v>7.44</v>
      </c>
      <c r="I52" s="27">
        <v>3.5</v>
      </c>
      <c r="J52" s="27">
        <v>59.31</v>
      </c>
      <c r="K52" s="27"/>
      <c r="L52" s="27"/>
      <c r="M52">
        <v>14240</v>
      </c>
      <c r="N52" s="29">
        <f>LTP[[#This Row],[COD 
(mg L-1)]]*Information!$AK$44</f>
        <v>3844.8</v>
      </c>
      <c r="O52">
        <v>1473</v>
      </c>
      <c r="P52">
        <v>9</v>
      </c>
      <c r="Q52">
        <v>13480</v>
      </c>
      <c r="R52" s="29"/>
      <c r="S52">
        <v>16.96</v>
      </c>
      <c r="T52">
        <v>29.6</v>
      </c>
      <c r="U52" s="6"/>
      <c r="V52" s="20"/>
      <c r="W52" s="6"/>
      <c r="X52">
        <v>23.37</v>
      </c>
      <c r="Y52">
        <v>1100.2</v>
      </c>
      <c r="Z52" s="6">
        <f>IF(LTP[[#This Row],[TON 
(mg L-1)]]-LTP[[#This Row],[NO2-N 
(mg L-1)]]&lt;0,0.2,LTP[[#This Row],[TON 
(mg L-1)]]-LTP[[#This Row],[NO2-N 
(mg L-1)]])</f>
        <v>0.2</v>
      </c>
      <c r="AA52" s="4">
        <f>SUM(LTP[[#This Row],[NH4-N 
(mg L-1)]:[NO3-N 
(mg L-1)]])</f>
        <v>1123.77</v>
      </c>
      <c r="AB52" s="21">
        <f>LTP[[#This Row],[NO3-N 
(mg L-1)]]/(Influent[[#This Row],[NH4-N (mg L-1)]]-LTP[[#This Row],[NH4-N 
(mg L-1)]])</f>
        <v>1.4998912578838034E-4</v>
      </c>
      <c r="AC52" s="6">
        <f>LTP[[#This Row],[NO2-N 
(mg L-1)]]/(Influent[[#This Row],[NH4-N (mg L-1)]]-LTP[[#This Row],[NH4-N 
(mg L-1)]])</f>
        <v>0.82509018096188025</v>
      </c>
      <c r="AD52" s="20">
        <f>46/14*LTP[[#This Row],[NO2-N 
(mg L-1)]]/(EXP(-2300/(273+LTP[[#This Row],[Temp. 
(°C)]]))*10^LTP[[#This Row],[pHreactor]])</f>
        <v>0.26747662056431054</v>
      </c>
      <c r="AE52" s="19">
        <f>17/14*(LTP[[#This Row],[NH4-N 
(mg L-1)]]*10^LTP[[#This Row],[pHeff]])/(EXP(6344/(273+LTP[[#This Row],[Temp. 
(°C)]]))+10^LTP[[#This Row],[pHreactor]])</f>
        <v>20.728107863730461</v>
      </c>
      <c r="AF52" s="20">
        <f>Influent[[#This Row],[sCOD (mg L-1)]]/LTP[[#This Row],[HRT 
(h)]]*24/1000</f>
        <v>0.66419040662283912</v>
      </c>
      <c r="AG52" s="6"/>
      <c r="AH52" s="6">
        <f>(Influent[[#This Row],[NH4-N (mg L-1)]]*LTP[ARE 
(%)])*24/LTP[[#This Row],[HRT 
(h)]]/1000</f>
        <v>0.33585567459351245</v>
      </c>
      <c r="AI52" s="6">
        <f>Influent[[#This Row],[TN (mg L-1)]]/LTP[[#This Row],[HRT 
(h)]]*24/1000</f>
        <v>0.34179233287341398</v>
      </c>
      <c r="AJ52" s="6">
        <f>(Influent[[#This Row],[NH4-N (mg L-1)]])*LTP[NRE 
(%)]/LTP[[#This Row],[HRT 
(h)]]*24/1000</f>
        <v>5.8735797277091474E-2</v>
      </c>
      <c r="AK52" s="26">
        <f>1-(LTP[[#This Row],[NH4-N 
(mg L-1)]]/Influent[[#This Row],[NH4-N (mg L-1)]])</f>
        <v>0.98277564858490563</v>
      </c>
      <c r="AL52" s="26">
        <f>1-(LTP[[#This Row],[TN 
(mg L-1)]]/Influent[[#This Row],[TN (mg L-1)]])</f>
        <v>0.17187177597641856</v>
      </c>
    </row>
    <row r="53" spans="1:38" x14ac:dyDescent="0.3">
      <c r="A53" s="128">
        <v>43376</v>
      </c>
      <c r="B53" s="29">
        <v>50</v>
      </c>
      <c r="C53" s="28">
        <v>32.799999999999997</v>
      </c>
      <c r="D53" s="28">
        <f>24/(LTP[[#This Row],[Cycle duration 
(h)]]+2)</f>
        <v>4</v>
      </c>
      <c r="E53" s="137">
        <v>4</v>
      </c>
      <c r="F53" s="42">
        <f>Information!$R$61/(LTP[Flow 
(m3 d-1)]/24*LTP[[#This Row],[Cycles per day]]*LTP[[#This Row],[Cycle duration 
(h)]])*24</f>
        <v>1622.7658536585368</v>
      </c>
      <c r="G53" s="27">
        <v>29.71</v>
      </c>
      <c r="H53" s="27">
        <v>7.28</v>
      </c>
      <c r="I53" s="27">
        <v>3.5</v>
      </c>
      <c r="J53" s="27">
        <v>54.69</v>
      </c>
      <c r="K53" s="27"/>
      <c r="L53" s="27"/>
      <c r="M53">
        <v>27400</v>
      </c>
      <c r="N53" s="29">
        <f>LTP[[#This Row],[COD 
(mg L-1)]]*Information!$AK$44</f>
        <v>7398.0000000000009</v>
      </c>
      <c r="O53">
        <v>1678</v>
      </c>
      <c r="P53">
        <v>8.9</v>
      </c>
      <c r="Q53">
        <v>14900</v>
      </c>
      <c r="S53">
        <v>13.43</v>
      </c>
      <c r="T53">
        <v>34.5</v>
      </c>
      <c r="U53" s="6"/>
      <c r="V53" s="20"/>
      <c r="W53" s="6"/>
      <c r="X53">
        <v>25.65</v>
      </c>
      <c r="Y53">
        <v>956.02</v>
      </c>
      <c r="Z53" s="6">
        <f>IF(LTP[[#This Row],[TON 
(mg L-1)]]-LTP[[#This Row],[NO2-N 
(mg L-1)]]&lt;0,0.2,LTP[[#This Row],[TON 
(mg L-1)]]-LTP[[#This Row],[NO2-N 
(mg L-1)]])</f>
        <v>0.2</v>
      </c>
      <c r="AA53" s="4">
        <f>SUM(LTP[[#This Row],[NH4-N 
(mg L-1)]:[NO3-N 
(mg L-1)]])</f>
        <v>981.87</v>
      </c>
      <c r="AB53" s="21">
        <f>LTP[[#This Row],[NO3-N 
(mg L-1)]]/(Influent[[#This Row],[NH4-N (mg L-1)]]-LTP[[#This Row],[NH4-N 
(mg L-1)]])</f>
        <v>1.6305898658839838E-4</v>
      </c>
      <c r="AC53" s="6">
        <f>LTP[[#This Row],[NO2-N 
(mg L-1)]]/(Influent[[#This Row],[NH4-N (mg L-1)]]-LTP[[#This Row],[NH4-N 
(mg L-1)]])</f>
        <v>0.77943826179120301</v>
      </c>
      <c r="AD53" s="20">
        <f>46/14*LTP[[#This Row],[NO2-N 
(mg L-1)]]/(EXP(-2300/(273+LTP[[#This Row],[Temp. 
(°C)]]))*10^LTP[[#This Row],[pHreactor]])</f>
        <v>0.32876059828008081</v>
      </c>
      <c r="AE53" s="19">
        <f>17/14*(LTP[[#This Row],[NH4-N 
(mg L-1)]]*10^LTP[[#This Row],[pHeff]])/(EXP(6344/(273+LTP[[#This Row],[Temp. 
(°C)]]))+10^LTP[[#This Row],[pHreactor]])</f>
        <v>19.286198611468027</v>
      </c>
      <c r="AF53" s="20">
        <f>Influent[[#This Row],[sCOD (mg L-1)]]/LTP[[#This Row],[HRT 
(h)]]*24/1000</f>
        <v>3.5539323106890668E-2</v>
      </c>
      <c r="AG53" s="6"/>
      <c r="AH53" s="6">
        <f>(Influent[[#This Row],[NH4-N (mg L-1)]]*LTP[ARE 
(%)])*24/LTP[[#This Row],[HRT 
(h)]]/1000</f>
        <v>1.8140140140140138E-2</v>
      </c>
      <c r="AI53" s="6">
        <f>Influent[[#This Row],[TN (mg L-1)]]/LTP[[#This Row],[HRT 
(h)]]*24/1000</f>
        <v>1.8522450378306233E-2</v>
      </c>
      <c r="AJ53" s="6">
        <f>(Influent[[#This Row],[NH4-N (mg L-1)]])*LTP[NRE 
(%)]/LTP[[#This Row],[HRT 
(h)]]*24/1000</f>
        <v>4.0003819040842015E-3</v>
      </c>
      <c r="AK53" s="26">
        <f>1-(LTP[[#This Row],[NH4-N 
(mg L-1)]]/Influent[[#This Row],[NH4-N (mg L-1)]])</f>
        <v>0.97951605174892187</v>
      </c>
      <c r="AL53" s="26">
        <f>1-(LTP[[#This Row],[TN 
(mg L-1)]]/Influent[[#This Row],[TN (mg L-1)]])</f>
        <v>0.21600926221654426</v>
      </c>
    </row>
    <row r="54" spans="1:38" x14ac:dyDescent="0.3">
      <c r="A54" s="128">
        <v>43377</v>
      </c>
      <c r="B54" s="29">
        <v>51</v>
      </c>
      <c r="C54" s="28">
        <v>104.5</v>
      </c>
      <c r="D54" s="28">
        <f>24/(LTP[[#This Row],[Cycle duration 
(h)]]+2)</f>
        <v>4</v>
      </c>
      <c r="E54" s="137">
        <v>4</v>
      </c>
      <c r="F54" s="42">
        <f>Information!$R$61/(LTP[Flow 
(m3 d-1)]/24*LTP[[#This Row],[Cycles per day]]*LTP[[#This Row],[Cycle duration 
(h)]])*24</f>
        <v>509.34660287081329</v>
      </c>
      <c r="G54" s="27">
        <v>28.84</v>
      </c>
      <c r="H54" s="27">
        <v>7.37</v>
      </c>
      <c r="I54" s="27">
        <v>3.5</v>
      </c>
      <c r="J54" s="27">
        <v>53.42</v>
      </c>
      <c r="K54" s="27">
        <f>LTP[[#This Row],[TSS  
(mg L-1)]]</f>
        <v>12260</v>
      </c>
      <c r="L54" s="27">
        <f>LTP[[#This Row],[VSS 
(mg L-1)]]</f>
        <v>2460</v>
      </c>
      <c r="M54">
        <v>18750</v>
      </c>
      <c r="N54" s="29">
        <f>LTP[[#This Row],[COD 
(mg L-1)]]*Information!$AK$44</f>
        <v>5062.5</v>
      </c>
      <c r="O54">
        <v>1170</v>
      </c>
      <c r="P54">
        <v>8.3000000000000007</v>
      </c>
      <c r="Q54">
        <v>12260</v>
      </c>
      <c r="R54">
        <v>2460</v>
      </c>
      <c r="T54">
        <v>30.2</v>
      </c>
      <c r="U54" s="6"/>
      <c r="V54" s="20"/>
      <c r="W54" s="6"/>
      <c r="X54">
        <v>26.22</v>
      </c>
      <c r="Y54">
        <v>1068.4000000000001</v>
      </c>
      <c r="Z54" s="6">
        <f>IF(LTP[[#This Row],[TON 
(mg L-1)]]-LTP[[#This Row],[NO2-N 
(mg L-1)]]&lt;0,0.2,LTP[[#This Row],[TON 
(mg L-1)]]-LTP[[#This Row],[NO2-N 
(mg L-1)]])</f>
        <v>0.2</v>
      </c>
      <c r="AA54" s="4">
        <f>SUM(LTP[[#This Row],[NH4-N 
(mg L-1)]:[NO3-N 
(mg L-1)]])</f>
        <v>1094.8200000000002</v>
      </c>
      <c r="AB54" s="21">
        <f>LTP[[#This Row],[NO3-N 
(mg L-1)]]/(Influent[[#This Row],[NH4-N (mg L-1)]]-LTP[[#This Row],[NH4-N 
(mg L-1)]])</f>
        <v>1.9687364649368039E-4</v>
      </c>
      <c r="AC54" s="6">
        <f>LTP[[#This Row],[NO2-N 
(mg L-1)]]/(Influent[[#This Row],[NH4-N (mg L-1)]]-LTP[[#This Row],[NH4-N 
(mg L-1)]])</f>
        <v>1.0516990195692406</v>
      </c>
      <c r="AD54" s="20">
        <f>46/14*LTP[[#This Row],[NO2-N 
(mg L-1)]]/(EXP(-2300/(273+LTP[[#This Row],[Temp. 
(°C)]]))*10^LTP[[#This Row],[pHreactor]])</f>
        <v>0.30525142492671559</v>
      </c>
      <c r="AE54" s="19">
        <f>17/14*(LTP[[#This Row],[NH4-N 
(mg L-1)]]*10^LTP[[#This Row],[pHeff]])/(EXP(6344/(273+LTP[[#This Row],[Temp. 
(°C)]]))+10^LTP[[#This Row],[pHreactor]])</f>
        <v>4.650921321406515</v>
      </c>
      <c r="AF54" s="20">
        <f>Influent[[#This Row],[sCOD (mg L-1)]]/LTP[[#This Row],[HRT 
(h)]]*24/1000</f>
        <v>9.5416362308254218E-2</v>
      </c>
      <c r="AG54" s="6"/>
      <c r="AH54" s="6">
        <f>(Influent[[#This Row],[NH4-N (mg L-1)]]*LTP[ARE 
(%)])*24/LTP[[#This Row],[HRT 
(h)]]/1000</f>
        <v>4.7867444020597179E-2</v>
      </c>
      <c r="AI54" s="6">
        <f>Influent[[#This Row],[TN (mg L-1)]]/LTP[[#This Row],[HRT 
(h)]]*24/1000</f>
        <v>4.9112333053774507E-2</v>
      </c>
      <c r="AJ54" s="6"/>
      <c r="AK54" s="26">
        <f>1-(LTP[[#This Row],[NH4-N 
(mg L-1)]]/Influent[[#This Row],[NH4-N (mg L-1)]])</f>
        <v>0.97483926686498412</v>
      </c>
      <c r="AL54" s="26"/>
    </row>
    <row r="55" spans="1:38" x14ac:dyDescent="0.3">
      <c r="A55" s="128">
        <v>43378</v>
      </c>
      <c r="B55" s="29">
        <v>52</v>
      </c>
      <c r="C55" s="28">
        <v>447.7</v>
      </c>
      <c r="D55" s="28">
        <f>24/(LTP[[#This Row],[Cycle duration 
(h)]]+2)</f>
        <v>4</v>
      </c>
      <c r="E55" s="137">
        <v>4</v>
      </c>
      <c r="F55" s="42">
        <f>Information!$R$61/(LTP[Flow 
(m3 d-1)]/24*LTP[[#This Row],[Cycles per day]]*LTP[[#This Row],[Cycle duration 
(h)]])*24</f>
        <v>118.88925619834711</v>
      </c>
      <c r="G55" s="27">
        <v>27.83</v>
      </c>
      <c r="H55" s="27">
        <v>7.41</v>
      </c>
      <c r="I55" s="27">
        <v>3.5</v>
      </c>
      <c r="J55" s="27">
        <v>53.44</v>
      </c>
      <c r="K55" s="27">
        <f>LTP[[#This Row],[TSS  
(mg L-1)]]</f>
        <v>5360</v>
      </c>
      <c r="L55" s="27">
        <f>LTP[[#This Row],[VSS 
(mg L-1)]]</f>
        <v>4140</v>
      </c>
      <c r="M55">
        <v>8930</v>
      </c>
      <c r="N55" s="29">
        <f>LTP[[#This Row],[COD 
(mg L-1)]]*Information!$AK$44</f>
        <v>2411.1000000000004</v>
      </c>
      <c r="O55">
        <v>1078</v>
      </c>
      <c r="P55">
        <v>8.1999999999999993</v>
      </c>
      <c r="Q55">
        <v>5360</v>
      </c>
      <c r="R55">
        <v>4140</v>
      </c>
      <c r="S55">
        <v>15.65</v>
      </c>
      <c r="T55">
        <v>30.9</v>
      </c>
      <c r="U55" s="6"/>
      <c r="V55" s="20"/>
      <c r="W55" s="6"/>
      <c r="X55">
        <v>94.44</v>
      </c>
      <c r="Y55">
        <v>979.61</v>
      </c>
      <c r="Z55" s="6">
        <f>IF(LTP[[#This Row],[TON 
(mg L-1)]]-LTP[[#This Row],[NO2-N 
(mg L-1)]]&lt;0,0.2,LTP[[#This Row],[TON 
(mg L-1)]]-LTP[[#This Row],[NO2-N 
(mg L-1)]])</f>
        <v>0.2</v>
      </c>
      <c r="AA55" s="4">
        <f>SUM(LTP[[#This Row],[NH4-N 
(mg L-1)]:[NO3-N 
(mg L-1)]])</f>
        <v>1074.25</v>
      </c>
      <c r="AB55" s="21">
        <f>LTP[[#This Row],[NO3-N 
(mg L-1)]]/(Influent[[#This Row],[NH4-N (mg L-1)]]-LTP[[#This Row],[NH4-N 
(mg L-1)]])</f>
        <v>2.1648301690732367E-4</v>
      </c>
      <c r="AC55" s="6">
        <f>LTP[[#This Row],[NO2-N 
(mg L-1)]]/(Influent[[#This Row],[NH4-N (mg L-1)]]-LTP[[#This Row],[NH4-N 
(mg L-1)]])</f>
        <v>1.0603446409629167</v>
      </c>
      <c r="AD55" s="20">
        <f>46/14*LTP[[#This Row],[NO2-N 
(mg L-1)]]/(EXP(-2300/(273+LTP[[#This Row],[Temp. 
(°C)]]))*10^LTP[[#This Row],[pHreactor]])</f>
        <v>0.26187110518465678</v>
      </c>
      <c r="AE55" s="19">
        <f>17/14*(LTP[[#This Row],[NH4-N 
(mg L-1)]]*10^LTP[[#This Row],[pHeff]])/(EXP(6344/(273+LTP[[#This Row],[Temp. 
(°C)]]))+10^LTP[[#This Row],[pHreactor]])</f>
        <v>12.395219793071465</v>
      </c>
      <c r="AF55" s="20">
        <f>Influent[[#This Row],[sCOD (mg L-1)]]/LTP[[#This Row],[HRT 
(h)]]*24/1000</f>
        <v>0.32975225225225224</v>
      </c>
      <c r="AG55" s="6"/>
      <c r="AH55" s="6">
        <f>(Influent[[#This Row],[NH4-N (mg L-1)]]*LTP[ARE 
(%)])*24/LTP[[#This Row],[HRT 
(h)]]/1000</f>
        <v>0.18649826493159824</v>
      </c>
      <c r="AI55" s="6">
        <f>Influent[[#This Row],[TN (mg L-1)]]/LTP[[#This Row],[HRT 
(h)]]*24/1000</f>
        <v>0.20740982649315984</v>
      </c>
      <c r="AJ55" s="6"/>
      <c r="AK55" s="26">
        <f>1-(LTP[[#This Row],[NH4-N 
(mg L-1)]]/Influent[[#This Row],[NH4-N (mg L-1)]])</f>
        <v>0.9072571933614848</v>
      </c>
      <c r="AL55" s="26"/>
    </row>
    <row r="56" spans="1:38" x14ac:dyDescent="0.3">
      <c r="A56" s="128">
        <v>43379</v>
      </c>
      <c r="B56" s="29">
        <v>53</v>
      </c>
      <c r="C56" s="28">
        <v>684.6</v>
      </c>
      <c r="D56" s="28">
        <f>24/(LTP[[#This Row],[Cycle duration 
(h)]]+2)</f>
        <v>4</v>
      </c>
      <c r="E56" s="137">
        <v>4</v>
      </c>
      <c r="F56" s="42">
        <f>Information!$R$61/(LTP[Flow 
(m3 d-1)]/24*LTP[[#This Row],[Cycles per day]]*LTP[[#This Row],[Cycle duration 
(h)]])*24</f>
        <v>77.748641542506562</v>
      </c>
      <c r="G56" s="27">
        <v>26.33</v>
      </c>
      <c r="H56" s="27">
        <v>7.89</v>
      </c>
      <c r="I56" s="27">
        <v>3.5</v>
      </c>
      <c r="J56" s="27">
        <v>76.069999999999993</v>
      </c>
      <c r="K56" s="27">
        <f>LTP[[#This Row],[TSS  
(mg L-1)]]</f>
        <v>7520</v>
      </c>
      <c r="L56" s="27">
        <f>LTP[[#This Row],[VSS 
(mg L-1)]]</f>
        <v>6140</v>
      </c>
      <c r="M56">
        <v>10150</v>
      </c>
      <c r="N56" s="29">
        <f>LTP[[#This Row],[COD 
(mg L-1)]]*Information!$AK$44</f>
        <v>2740.5</v>
      </c>
      <c r="O56">
        <v>1098</v>
      </c>
      <c r="P56">
        <v>8.3000000000000007</v>
      </c>
      <c r="Q56">
        <v>7520</v>
      </c>
      <c r="R56">
        <v>6140</v>
      </c>
      <c r="S56">
        <v>15.34</v>
      </c>
      <c r="T56">
        <v>32.6</v>
      </c>
      <c r="U56" s="6"/>
      <c r="V56" s="20"/>
      <c r="W56" s="6"/>
      <c r="X56">
        <v>139.44</v>
      </c>
      <c r="Y56">
        <v>924.59</v>
      </c>
      <c r="Z56" s="6">
        <f>IF(LTP[[#This Row],[TON 
(mg L-1)]]-LTP[[#This Row],[NO2-N 
(mg L-1)]]&lt;0,0.2,LTP[[#This Row],[TON 
(mg L-1)]]-LTP[[#This Row],[NO2-N 
(mg L-1)]])</f>
        <v>0.2</v>
      </c>
      <c r="AA56" s="4">
        <f>SUM(LTP[[#This Row],[NH4-N 
(mg L-1)]:[NO3-N 
(mg L-1)]])</f>
        <v>1064.23</v>
      </c>
      <c r="AB56" s="21">
        <f>LTP[[#This Row],[NO3-N 
(mg L-1)]]/(Influent[[#This Row],[NH4-N (mg L-1)]]-LTP[[#This Row],[NH4-N 
(mg L-1)]])</f>
        <v>1.8831327796922962E-4</v>
      </c>
      <c r="AC56" s="6">
        <f>LTP[[#This Row],[NO2-N 
(mg L-1)]]/(Influent[[#This Row],[NH4-N (mg L-1)]]-LTP[[#This Row],[NH4-N 
(mg L-1)]])</f>
        <v>0.87056286838785013</v>
      </c>
      <c r="AD56" s="20">
        <f>46/14*LTP[[#This Row],[NO2-N 
(mg L-1)]]/(EXP(-2300/(273+LTP[[#This Row],[Temp. 
(°C)]]))*10^LTP[[#This Row],[pHreactor]])</f>
        <v>8.5039901202170198E-2</v>
      </c>
      <c r="AE56" s="19">
        <f>17/14*(LTP[[#This Row],[NH4-N 
(mg L-1)]]*10^LTP[[#This Row],[pHeff]])/(EXP(6344/(273+LTP[[#This Row],[Temp. 
(°C)]]))+10^LTP[[#This Row],[pHreactor]])</f>
        <v>20.12384117098437</v>
      </c>
      <c r="AF56" s="20">
        <f>Influent[[#This Row],[sCOD (mg L-1)]]/LTP[[#This Row],[HRT 
(h)]]*24/1000</f>
        <v>0.6181458485512541</v>
      </c>
      <c r="AG56" s="6"/>
      <c r="AH56" s="6">
        <f>(Influent[[#This Row],[NH4-N (mg L-1)]]*LTP[ARE 
(%)])*24/LTP[[#This Row],[HRT 
(h)]]/1000</f>
        <v>0.32784418472526583</v>
      </c>
      <c r="AI56" s="6">
        <f>Influent[[#This Row],[TN (mg L-1)]]/LTP[[#This Row],[HRT 
(h)]]*24/1000</f>
        <v>0.3709492465438412</v>
      </c>
      <c r="AJ56" s="6">
        <f>(Influent[[#This Row],[NH4-N (mg L-1)]])*LTP[NRE 
(%)]/LTP[[#This Row],[HRT 
(h)]]*24/1000</f>
        <v>4.2428148356665175E-2</v>
      </c>
      <c r="AK56" s="26">
        <f>1-(LTP[[#This Row],[NH4-N 
(mg L-1)]]/Influent[[#This Row],[NH4-N (mg L-1)]])</f>
        <v>0.88394506866416978</v>
      </c>
      <c r="AL56" s="26">
        <f>1-(LTP[[#This Row],[TN 
(mg L-1)]]/Influent[[#This Row],[TN (mg L-1)]])</f>
        <v>0.11439627194807356</v>
      </c>
    </row>
    <row r="57" spans="1:38" x14ac:dyDescent="0.3">
      <c r="A57" s="128">
        <v>43380</v>
      </c>
      <c r="B57" s="29">
        <v>54</v>
      </c>
      <c r="C57" s="28"/>
      <c r="D57" s="28"/>
      <c r="E57" s="137"/>
      <c r="F57" s="42"/>
      <c r="G57" s="27"/>
      <c r="H57" s="27"/>
      <c r="I57" s="27"/>
      <c r="J57" s="27"/>
      <c r="K57" s="27"/>
      <c r="L57" s="27"/>
      <c r="U57" s="6"/>
      <c r="V57" s="20"/>
      <c r="W57" s="6"/>
      <c r="Z57" s="6"/>
      <c r="AA57" s="4"/>
      <c r="AB57" s="21"/>
      <c r="AC57" s="6"/>
      <c r="AD57" s="20"/>
      <c r="AE57" s="19"/>
      <c r="AF57" s="20"/>
      <c r="AG57" s="6"/>
      <c r="AH57" s="6"/>
      <c r="AI57" s="6"/>
      <c r="AJ57" s="6"/>
      <c r="AK57" s="26"/>
      <c r="AL57" s="26"/>
    </row>
    <row r="58" spans="1:38" x14ac:dyDescent="0.3">
      <c r="A58" s="128">
        <v>43381</v>
      </c>
      <c r="B58" s="29">
        <v>55</v>
      </c>
      <c r="C58" s="28">
        <v>442.9</v>
      </c>
      <c r="D58" s="28">
        <f>24/(LTP[[#This Row],[Cycle duration 
(h)]]+2)</f>
        <v>4</v>
      </c>
      <c r="E58" s="137">
        <v>4</v>
      </c>
      <c r="F58" s="42">
        <f>Information!$R$61/(LTP[Flow 
(m3 d-1)]/24*LTP[[#This Row],[Cycles per day]]*LTP[[#This Row],[Cycle duration 
(h)]])*24</f>
        <v>120.17773763829308</v>
      </c>
      <c r="G58" s="27">
        <v>26.76</v>
      </c>
      <c r="H58" s="27">
        <v>7.32</v>
      </c>
      <c r="I58" s="27">
        <v>3.5</v>
      </c>
      <c r="J58" s="27">
        <v>71.39</v>
      </c>
      <c r="K58" s="27">
        <f>LTP[[#This Row],[TSS  
(mg L-1)]]</f>
        <v>8900</v>
      </c>
      <c r="L58" s="27">
        <f>LTP[[#This Row],[VSS 
(mg L-1)]]</f>
        <v>4260</v>
      </c>
      <c r="M58">
        <v>13550</v>
      </c>
      <c r="N58" s="29">
        <f>LTP[[#This Row],[COD 
(mg L-1)]]*Information!$AK$44</f>
        <v>3658.5000000000005</v>
      </c>
      <c r="O58">
        <v>965</v>
      </c>
      <c r="P58">
        <v>8</v>
      </c>
      <c r="Q58">
        <v>8900</v>
      </c>
      <c r="R58">
        <v>4260</v>
      </c>
      <c r="S58">
        <v>12.33</v>
      </c>
      <c r="T58">
        <v>32.5</v>
      </c>
      <c r="U58" s="6"/>
      <c r="V58" s="20"/>
      <c r="W58" s="6"/>
      <c r="X58">
        <v>191.01</v>
      </c>
      <c r="Y58">
        <v>852.2</v>
      </c>
      <c r="Z58" s="6">
        <f>IF(LTP[[#This Row],[TON 
(mg L-1)]]-LTP[[#This Row],[NO2-N 
(mg L-1)]]&lt;0,0.2,LTP[[#This Row],[TON 
(mg L-1)]]-LTP[[#This Row],[NO2-N 
(mg L-1)]])</f>
        <v>0.2</v>
      </c>
      <c r="AA58" s="4">
        <f>SUM(LTP[[#This Row],[NH4-N 
(mg L-1)]:[NO3-N 
(mg L-1)]])</f>
        <v>1043.4100000000001</v>
      </c>
      <c r="AB58" s="21">
        <f>LTP[[#This Row],[NO3-N 
(mg L-1)]]/(Influent[[#This Row],[NH4-N (mg L-1)]]-LTP[[#This Row],[NH4-N 
(mg L-1)]])</f>
        <v>1.8527267505951886E-4</v>
      </c>
      <c r="AC58" s="6">
        <f>LTP[[#This Row],[NO2-N 
(mg L-1)]]/(Influent[[#This Row],[NH4-N (mg L-1)]]-LTP[[#This Row],[NH4-N 
(mg L-1)]])</f>
        <v>0.78944686842860989</v>
      </c>
      <c r="AD58" s="20">
        <f>46/14*LTP[[#This Row],[NO2-N 
(mg L-1)]]/(EXP(-2300/(273+LTP[[#This Row],[Temp. 
(°C)]]))*10^LTP[[#This Row],[pHreactor]])</f>
        <v>0.28802365633090782</v>
      </c>
      <c r="AE58" s="19">
        <f>17/14*(LTP[[#This Row],[NH4-N 
(mg L-1)]]*10^LTP[[#This Row],[pHeff]])/(EXP(6344/(273+LTP[[#This Row],[Temp. 
(°C)]]))+10^LTP[[#This Row],[pHreactor]])</f>
        <v>14.734671136934832</v>
      </c>
      <c r="AF58" s="20">
        <f>Influent[[#This Row],[sCOD (mg L-1)]]/LTP[[#This Row],[HRT 
(h)]]*24/1000</f>
        <v>0.43405709763817868</v>
      </c>
      <c r="AG58" s="6"/>
      <c r="AH58" s="6">
        <f>(Influent[[#This Row],[NH4-N (mg L-1)]]*LTP[ARE 
(%)])*24/LTP[[#This Row],[HRT 
(h)]]/1000</f>
        <v>0.21557869626383142</v>
      </c>
      <c r="AI58" s="6">
        <f>Influent[[#This Row],[TN (mg L-1)]]/LTP[[#This Row],[HRT 
(h)]]*24/1000</f>
        <v>0.2571581110389668</v>
      </c>
      <c r="AJ58" s="6">
        <f>(Influent[[#This Row],[NH4-N (mg L-1)]])*LTP[NRE 
(%)]/LTP[[#This Row],[HRT 
(h)]]*24/1000</f>
        <v>4.8133304474823904E-2</v>
      </c>
      <c r="AK58" s="26">
        <f>1-(LTP[[#This Row],[NH4-N 
(mg L-1)]]/Influent[[#This Row],[NH4-N (mg L-1)]])</f>
        <v>0.84965761511216054</v>
      </c>
      <c r="AL58" s="26">
        <f>1-(LTP[[#This Row],[TN 
(mg L-1)]]/Influent[[#This Row],[TN (mg L-1)]])</f>
        <v>0.18970718997899338</v>
      </c>
    </row>
    <row r="59" spans="1:38" x14ac:dyDescent="0.3">
      <c r="A59" s="128">
        <v>43382</v>
      </c>
      <c r="B59" s="29">
        <v>56</v>
      </c>
      <c r="C59" s="28">
        <v>402.3</v>
      </c>
      <c r="D59" s="28">
        <f>24/(LTP[[#This Row],[Cycle duration 
(h)]]+2)</f>
        <v>4</v>
      </c>
      <c r="E59" s="137">
        <v>4</v>
      </c>
      <c r="F59" s="42">
        <f>Information!$R$61/(LTP[Flow 
(m3 d-1)]/24*LTP[[#This Row],[Cycles per day]]*LTP[[#This Row],[Cycle duration 
(h)]])*24</f>
        <v>132.30604026845637</v>
      </c>
      <c r="G59" s="27">
        <v>27.53</v>
      </c>
      <c r="H59" s="27">
        <v>7.4</v>
      </c>
      <c r="I59" s="27">
        <v>3.5</v>
      </c>
      <c r="J59" s="27">
        <v>67.290000000000006</v>
      </c>
      <c r="K59" s="27">
        <f>LTP[[#This Row],[TSS  
(mg L-1)]]</f>
        <v>11740</v>
      </c>
      <c r="L59" s="27">
        <f>LTP[[#This Row],[VSS 
(mg L-1)]]</f>
        <v>4340</v>
      </c>
      <c r="M59">
        <v>11975</v>
      </c>
      <c r="N59" s="29">
        <f>LTP[[#This Row],[COD 
(mg L-1)]]*Information!$AK$44</f>
        <v>3233.25</v>
      </c>
      <c r="O59">
        <v>1051</v>
      </c>
      <c r="P59">
        <v>8.9</v>
      </c>
      <c r="Q59">
        <v>11740</v>
      </c>
      <c r="R59">
        <v>4340</v>
      </c>
      <c r="S59">
        <v>13.59</v>
      </c>
      <c r="T59">
        <v>985.8</v>
      </c>
      <c r="U59" s="6"/>
      <c r="V59" s="20"/>
      <c r="W59" s="6"/>
      <c r="X59">
        <v>135.19999999999999</v>
      </c>
      <c r="Y59">
        <v>891.62</v>
      </c>
      <c r="Z59" s="6">
        <f>IF(LTP[[#This Row],[TON 
(mg L-1)]]-LTP[[#This Row],[NO2-N 
(mg L-1)]]&lt;0,0.2,LTP[[#This Row],[TON 
(mg L-1)]]-LTP[[#This Row],[NO2-N 
(mg L-1)]])</f>
        <v>94.17999999999995</v>
      </c>
      <c r="AA59" s="4">
        <f>SUM(LTP[[#This Row],[NH4-N 
(mg L-1)]:[NO3-N 
(mg L-1)]])</f>
        <v>1121</v>
      </c>
      <c r="AB59" s="21">
        <f>LTP[[#This Row],[NO3-N 
(mg L-1)]]/(Influent[[#This Row],[NH4-N (mg L-1)]]-LTP[[#This Row],[NH4-N 
(mg L-1)]])</f>
        <v>7.9766240365884603E-2</v>
      </c>
      <c r="AC59" s="6">
        <f>LTP[[#This Row],[NO2-N 
(mg L-1)]]/(Influent[[#This Row],[NH4-N (mg L-1)]]-LTP[[#This Row],[NH4-N 
(mg L-1)]])</f>
        <v>0.75516219192004741</v>
      </c>
      <c r="AD59" s="20">
        <f>46/14*LTP[[#This Row],[NO2-N 
(mg L-1)]]/(EXP(-2300/(273+LTP[[#This Row],[Temp. 
(°C)]]))*10^LTP[[#This Row],[pHreactor]])</f>
        <v>0.2457699164012882</v>
      </c>
      <c r="AE59" s="19">
        <f>17/14*(LTP[[#This Row],[NH4-N 
(mg L-1)]]*10^LTP[[#This Row],[pHeff]])/(EXP(6344/(273+LTP[[#This Row],[Temp. 
(°C)]]))+10^LTP[[#This Row],[pHreactor]])</f>
        <v>87.148708156796374</v>
      </c>
      <c r="AF59" s="20">
        <f>Influent[[#This Row],[sCOD (mg L-1)]]/LTP[[#This Row],[HRT 
(h)]]*24/1000</f>
        <v>0.39590029218407602</v>
      </c>
      <c r="AG59" s="6"/>
      <c r="AH59" s="6">
        <f>(Influent[[#This Row],[NH4-N (mg L-1)]]*LTP[ARE 
(%)])*24/LTP[[#This Row],[HRT 
(h)]]/1000</f>
        <v>0.21417616264913564</v>
      </c>
      <c r="AI59" s="6">
        <f>Influent[[#This Row],[TN (mg L-1)]]/LTP[[#This Row],[HRT 
(h)]]*24/1000</f>
        <v>0.23873739956172391</v>
      </c>
      <c r="AJ59" s="6">
        <f>(Influent[[#This Row],[NH4-N (mg L-1)]])*LTP[NRE 
(%)]/LTP[[#This Row],[HRT 
(h)]]*24/1000</f>
        <v>3.5385296344959127E-2</v>
      </c>
      <c r="AK59" s="26">
        <f>1-(LTP[[#This Row],[NH4-N 
(mg L-1)]]/Influent[[#This Row],[NH4-N (mg L-1)]])</f>
        <v>0.89725663044304282</v>
      </c>
      <c r="AL59" s="26">
        <f>1-(LTP[[#This Row],[TN 
(mg L-1)]]/Influent[[#This Row],[TN (mg L-1)]])</f>
        <v>0.14824101512043164</v>
      </c>
    </row>
    <row r="60" spans="1:38" x14ac:dyDescent="0.3">
      <c r="A60" s="128">
        <v>43383</v>
      </c>
      <c r="B60" s="29">
        <v>57</v>
      </c>
      <c r="C60" s="28">
        <v>558.20000000000005</v>
      </c>
      <c r="D60" s="28">
        <f>24/(LTP[[#This Row],[Cycle duration 
(h)]]+2)</f>
        <v>4</v>
      </c>
      <c r="E60" s="137">
        <v>4</v>
      </c>
      <c r="F60" s="42">
        <f>Information!$R$61/(LTP[Flow 
(m3 d-1)]/24*LTP[[#This Row],[Cycles per day]]*LTP[[#This Row],[Cycle duration 
(h)]])*24</f>
        <v>95.354209960587596</v>
      </c>
      <c r="G60" s="27">
        <v>27.86</v>
      </c>
      <c r="H60" s="27">
        <v>7.32</v>
      </c>
      <c r="I60" s="27">
        <v>3.5</v>
      </c>
      <c r="J60" s="27">
        <v>63.71</v>
      </c>
      <c r="K60" s="27">
        <f>LTP[[#This Row],[TSS  
(mg L-1)]]</f>
        <v>10720</v>
      </c>
      <c r="L60" s="27">
        <f>LTP[[#This Row],[VSS 
(mg L-1)]]</f>
        <v>4200</v>
      </c>
      <c r="M60">
        <v>12200</v>
      </c>
      <c r="N60" s="29">
        <f>LTP[[#This Row],[COD 
(mg L-1)]]*Information!$AK$44</f>
        <v>3294</v>
      </c>
      <c r="O60">
        <v>1051</v>
      </c>
      <c r="P60">
        <v>8.8000000000000007</v>
      </c>
      <c r="Q60">
        <v>10720</v>
      </c>
      <c r="R60">
        <v>4200</v>
      </c>
      <c r="S60">
        <v>14.76</v>
      </c>
      <c r="T60">
        <v>1031.7</v>
      </c>
      <c r="U60" s="6"/>
      <c r="V60" s="20"/>
      <c r="W60" s="6"/>
      <c r="X60">
        <v>129.85</v>
      </c>
      <c r="Y60">
        <v>924.25</v>
      </c>
      <c r="Z60" s="6">
        <f>IF(LTP[[#This Row],[TON 
(mg L-1)]]-LTP[[#This Row],[NO2-N 
(mg L-1)]]&lt;0,0.2,LTP[[#This Row],[TON 
(mg L-1)]]-LTP[[#This Row],[NO2-N 
(mg L-1)]])</f>
        <v>107.45000000000005</v>
      </c>
      <c r="AA60" s="4">
        <f>SUM(LTP[[#This Row],[NH4-N 
(mg L-1)]:[NO3-N 
(mg L-1)]])</f>
        <v>1161.55</v>
      </c>
      <c r="AB60" s="21">
        <f>LTP[[#This Row],[NO3-N 
(mg L-1)]]/(Influent[[#This Row],[NH4-N (mg L-1)]]-LTP[[#This Row],[NH4-N 
(mg L-1)]])</f>
        <v>9.0832241430322536E-2</v>
      </c>
      <c r="AC60" s="6">
        <f>LTP[[#This Row],[NO2-N 
(mg L-1)]]/(Influent[[#This Row],[NH4-N (mg L-1)]]-LTP[[#This Row],[NH4-N 
(mg L-1)]])</f>
        <v>0.78130943826873489</v>
      </c>
      <c r="AD60" s="20">
        <f>46/14*LTP[[#This Row],[NO2-N 
(mg L-1)]]/(EXP(-2300/(273+LTP[[#This Row],[Temp. 
(°C)]]))*10^LTP[[#This Row],[pHreactor]])</f>
        <v>0.30373353114005264</v>
      </c>
      <c r="AE60" s="19">
        <f>17/14*(LTP[[#This Row],[NH4-N 
(mg L-1)]]*10^LTP[[#This Row],[pHeff]])/(EXP(6344/(273+LTP[[#This Row],[Temp. 
(°C)]]))+10^LTP[[#This Row],[pHreactor]])</f>
        <v>68.21307981166953</v>
      </c>
      <c r="AF60" s="20">
        <f>Influent[[#This Row],[sCOD (mg L-1)]]/LTP[[#This Row],[HRT 
(h)]]*24/1000</f>
        <v>0.55385074263452649</v>
      </c>
      <c r="AG60" s="6"/>
      <c r="AH60" s="6">
        <f>(Influent[[#This Row],[NH4-N (mg L-1)]]*LTP[ARE 
(%)])*24/LTP[[#This Row],[HRT 
(h)]]/1000</f>
        <v>0.2977403935466999</v>
      </c>
      <c r="AI60" s="6">
        <f>Influent[[#This Row],[TN (mg L-1)]]/LTP[[#This Row],[HRT 
(h)]]*24/1000</f>
        <v>0.33047308569831096</v>
      </c>
      <c r="AJ60" s="6">
        <f>(Influent[[#This Row],[NH4-N (mg L-1)]])*LTP[NRE 
(%)]/LTP[[#This Row],[HRT 
(h)]]*24/1000</f>
        <v>3.8113118845363961E-2</v>
      </c>
      <c r="AK60" s="26">
        <f>1-(LTP[[#This Row],[NH4-N 
(mg L-1)]]/Influent[[#This Row],[NH4-N (mg L-1)]])</f>
        <v>0.9010892748324193</v>
      </c>
      <c r="AL60" s="26">
        <f>1-(LTP[[#This Row],[TN 
(mg L-1)]]/Influent[[#This Row],[TN (mg L-1)]])</f>
        <v>0.11534653465346534</v>
      </c>
    </row>
    <row r="61" spans="1:38" x14ac:dyDescent="0.3">
      <c r="A61" s="128">
        <v>43384</v>
      </c>
      <c r="B61" s="29">
        <v>58</v>
      </c>
      <c r="C61" s="28">
        <v>532.4</v>
      </c>
      <c r="D61" s="28">
        <f>24/(LTP[[#This Row],[Cycle duration 
(h)]]+2)</f>
        <v>4</v>
      </c>
      <c r="E61" s="137">
        <v>4</v>
      </c>
      <c r="F61" s="42">
        <f>Information!$R$61/(LTP[Flow 
(m3 d-1)]/24*LTP[[#This Row],[Cycles per day]]*LTP[[#This Row],[Cycle duration 
(h)]])*24</f>
        <v>99.975056348610082</v>
      </c>
      <c r="G61" s="27">
        <v>28.25</v>
      </c>
      <c r="H61" s="27">
        <v>7.17</v>
      </c>
      <c r="I61" s="27">
        <v>3.5</v>
      </c>
      <c r="J61" s="27">
        <v>43.03</v>
      </c>
      <c r="K61" s="27">
        <f>LTP[[#This Row],[TSS  
(mg L-1)]]</f>
        <v>10580</v>
      </c>
      <c r="L61" s="27">
        <f>LTP[[#This Row],[VSS 
(mg L-1)]]</f>
        <v>3570</v>
      </c>
      <c r="M61">
        <v>11225</v>
      </c>
      <c r="N61" s="29">
        <f>LTP[[#This Row],[COD 
(mg L-1)]]*Information!$AK$44</f>
        <v>3030.75</v>
      </c>
      <c r="O61">
        <v>1069</v>
      </c>
      <c r="P61">
        <v>8.6999999999999993</v>
      </c>
      <c r="Q61">
        <v>10580</v>
      </c>
      <c r="R61">
        <v>3570</v>
      </c>
      <c r="S61">
        <v>15.97</v>
      </c>
      <c r="T61">
        <v>1071.3</v>
      </c>
      <c r="U61" s="6"/>
      <c r="V61" s="20"/>
      <c r="W61" s="6"/>
      <c r="X61">
        <v>122.48</v>
      </c>
      <c r="Y61">
        <v>948.78</v>
      </c>
      <c r="Z61" s="6">
        <f>IF(LTP[[#This Row],[TON 
(mg L-1)]]-LTP[[#This Row],[NO2-N 
(mg L-1)]]&lt;0,0.2,LTP[[#This Row],[TON 
(mg L-1)]]-LTP[[#This Row],[NO2-N 
(mg L-1)]])</f>
        <v>122.51999999999998</v>
      </c>
      <c r="AA61" s="4">
        <f>SUM(LTP[[#This Row],[NH4-N 
(mg L-1)]:[NO3-N 
(mg L-1)]])</f>
        <v>1193.78</v>
      </c>
      <c r="AB61" s="21">
        <f>LTP[[#This Row],[NO3-N 
(mg L-1)]]/(Influent[[#This Row],[NH4-N (mg L-1)]]-LTP[[#This Row],[NH4-N 
(mg L-1)]])</f>
        <v>0.1018013826110077</v>
      </c>
      <c r="AC61" s="6">
        <f>LTP[[#This Row],[NO2-N 
(mg L-1)]]/(Influent[[#This Row],[NH4-N (mg L-1)]]-LTP[[#This Row],[NH4-N 
(mg L-1)]])</f>
        <v>0.78833754320659399</v>
      </c>
      <c r="AD61" s="20">
        <f>46/14*LTP[[#This Row],[NO2-N 
(mg L-1)]]/(EXP(-2300/(273+LTP[[#This Row],[Temp. 
(°C)]]))*10^LTP[[#This Row],[pHreactor]])</f>
        <v>0.43608446412154545</v>
      </c>
      <c r="AE61" s="19">
        <f>17/14*(LTP[[#This Row],[NH4-N 
(mg L-1)]]*10^LTP[[#This Row],[pHeff]])/(EXP(6344/(273+LTP[[#This Row],[Temp. 
(°C)]]))+10^LTP[[#This Row],[pHreactor]])</f>
        <v>52.72842739619157</v>
      </c>
      <c r="AF61" s="20">
        <f>Influent[[#This Row],[sCOD (mg L-1)]]/LTP[[#This Row],[HRT 
(h)]]*24/1000</f>
        <v>0.52717149582014444</v>
      </c>
      <c r="AG61" s="6"/>
      <c r="AH61" s="6">
        <f>(Influent[[#This Row],[NH4-N (mg L-1)]]*LTP[ARE 
(%)])*24/LTP[[#This Row],[HRT 
(h)]]/1000</f>
        <v>0.28891686641596542</v>
      </c>
      <c r="AI61" s="6">
        <f>Influent[[#This Row],[TN (mg L-1)]]/LTP[[#This Row],[HRT 
(h)]]*24/1000</f>
        <v>0.32057596335073812</v>
      </c>
      <c r="AJ61" s="6">
        <f>(Influent[[#This Row],[NH4-N (mg L-1)]])*LTP[NRE 
(%)]/LTP[[#This Row],[HRT 
(h)]]*24/1000</f>
        <v>3.3757970268233448E-2</v>
      </c>
      <c r="AK61" s="26">
        <f>1-(LTP[[#This Row],[NH4-N 
(mg L-1)]]/Influent[[#This Row],[NH4-N (mg L-1)]])</f>
        <v>0.90763197586726996</v>
      </c>
      <c r="AL61" s="26">
        <f>1-(LTP[[#This Row],[TN 
(mg L-1)]]/Influent[[#This Row],[TN (mg L-1)]])</f>
        <v>0.10605062153661837</v>
      </c>
    </row>
    <row r="62" spans="1:38" x14ac:dyDescent="0.3">
      <c r="A62" s="128">
        <v>43385</v>
      </c>
      <c r="B62" s="29">
        <v>59</v>
      </c>
      <c r="C62" s="28">
        <v>615.5</v>
      </c>
      <c r="D62" s="28">
        <f>24/(LTP[[#This Row],[Cycle duration 
(h)]]+2)</f>
        <v>4</v>
      </c>
      <c r="E62" s="137">
        <v>4</v>
      </c>
      <c r="F62" s="42">
        <f>Information!$R$61/(LTP[Flow 
(m3 d-1)]/24*LTP[[#This Row],[Cycles per day]]*LTP[[#This Row],[Cycle duration 
(h)]])*24</f>
        <v>86.477205523964258</v>
      </c>
      <c r="G62" s="27">
        <v>28.91</v>
      </c>
      <c r="H62" s="27">
        <v>7.76</v>
      </c>
      <c r="I62" s="27">
        <v>3.5</v>
      </c>
      <c r="J62" s="27">
        <v>59.67</v>
      </c>
      <c r="K62" s="27">
        <f>LTP[[#This Row],[TSS  
(mg L-1)]]</f>
        <v>8440</v>
      </c>
      <c r="L62" s="27">
        <f>LTP[[#This Row],[VSS 
(mg L-1)]]</f>
        <v>5330</v>
      </c>
      <c r="M62">
        <v>12875</v>
      </c>
      <c r="N62" s="29">
        <f>LTP[[#This Row],[COD 
(mg L-1)]]*Information!$AK$44</f>
        <v>3476.2500000000005</v>
      </c>
      <c r="O62">
        <v>1245</v>
      </c>
      <c r="P62">
        <v>8.8000000000000007</v>
      </c>
      <c r="Q62">
        <v>8440</v>
      </c>
      <c r="R62">
        <v>5330</v>
      </c>
      <c r="S62">
        <v>10.37</v>
      </c>
      <c r="U62" s="6"/>
      <c r="V62" s="20"/>
      <c r="W62" s="6"/>
      <c r="X62">
        <v>125.93</v>
      </c>
      <c r="Z62" s="6"/>
      <c r="AA62" s="4"/>
      <c r="AB62" s="21"/>
      <c r="AC62" s="6"/>
      <c r="AD62" s="20"/>
      <c r="AE62" s="19"/>
      <c r="AF62" s="20">
        <f>Influent[[#This Row],[sCOD (mg L-1)]]/LTP[[#This Row],[HRT 
(h)]]*24/1000</f>
        <v>0.62319312555799045</v>
      </c>
      <c r="AG62" s="6"/>
      <c r="AH62" s="6">
        <f>(Influent[[#This Row],[NH4-N (mg L-1)]]*LTP[ARE 
(%)])*24/LTP[[#This Row],[HRT 
(h)]]/1000</f>
        <v>0.35384214620025428</v>
      </c>
      <c r="AI62" s="6">
        <f>Influent[[#This Row],[TN (mg L-1)]]/LTP[[#This Row],[HRT 
(h)]]*24/1000</f>
        <v>0.39111550604658712</v>
      </c>
      <c r="AJ62" s="6"/>
      <c r="AK62" s="26">
        <f>1-(LTP[[#This Row],[NH4-N 
(mg L-1)]]/Influent[[#This Row],[NH4-N (mg L-1)]])</f>
        <v>0.91010778785066737</v>
      </c>
      <c r="AL62" s="26"/>
    </row>
    <row r="63" spans="1:38" x14ac:dyDescent="0.3">
      <c r="A63" s="128">
        <v>43386</v>
      </c>
      <c r="B63" s="29">
        <v>60</v>
      </c>
      <c r="C63" s="28">
        <v>656.4</v>
      </c>
      <c r="D63" s="28">
        <f>24/(LTP[[#This Row],[Cycle duration 
(h)]]+2)</f>
        <v>4</v>
      </c>
      <c r="E63" s="137">
        <v>4</v>
      </c>
      <c r="F63" s="42">
        <f>Information!$R$61/(LTP[Flow 
(m3 d-1)]/24*LTP[[#This Row],[Cycles per day]]*LTP[[#This Row],[Cycle duration 
(h)]])*24</f>
        <v>81.088848263254107</v>
      </c>
      <c r="G63" s="27">
        <v>29.38</v>
      </c>
      <c r="H63" s="27">
        <v>7.65</v>
      </c>
      <c r="I63" s="27">
        <v>3.5</v>
      </c>
      <c r="J63" s="27">
        <v>55.93</v>
      </c>
      <c r="K63" s="27">
        <f>LTP[[#This Row],[TSS  
(mg L-1)]]</f>
        <v>8620</v>
      </c>
      <c r="L63" s="27">
        <f>LTP[[#This Row],[VSS 
(mg L-1)]]</f>
        <v>5430</v>
      </c>
      <c r="M63">
        <v>9980</v>
      </c>
      <c r="N63" s="29">
        <f>LTP[[#This Row],[COD 
(mg L-1)]]*Information!$AK$44</f>
        <v>2694.6000000000004</v>
      </c>
      <c r="O63">
        <v>1091</v>
      </c>
      <c r="P63">
        <v>8.4</v>
      </c>
      <c r="Q63">
        <v>8620</v>
      </c>
      <c r="R63">
        <v>5430</v>
      </c>
      <c r="S63">
        <v>16.88</v>
      </c>
      <c r="U63" s="6"/>
      <c r="V63" s="20"/>
      <c r="W63" s="6"/>
      <c r="X63">
        <v>99.36</v>
      </c>
      <c r="Z63" s="6"/>
      <c r="AA63" s="4"/>
      <c r="AB63" s="21"/>
      <c r="AC63" s="6"/>
      <c r="AD63" s="20"/>
      <c r="AE63" s="19"/>
      <c r="AF63" s="20">
        <f>Influent[[#This Row],[sCOD (mg L-1)]]/LTP[[#This Row],[HRT 
(h)]]*24/1000</f>
        <v>0.65128560993425866</v>
      </c>
      <c r="AG63" s="6"/>
      <c r="AH63" s="6">
        <f>(Influent[[#This Row],[NH4-N (mg L-1)]]*LTP[ARE 
(%)])*24/LTP[[#This Row],[HRT 
(h)]]/1000</f>
        <v>0.38107533479425382</v>
      </c>
      <c r="AI63" s="6">
        <f>Influent[[#This Row],[TN (mg L-1)]]/LTP[[#This Row],[HRT 
(h)]]*24/1000</f>
        <v>0.41054227200173155</v>
      </c>
      <c r="AJ63" s="6"/>
      <c r="AK63" s="26">
        <f>1-(LTP[[#This Row],[NH4-N 
(mg L-1)]]/Influent[[#This Row],[NH4-N (mg L-1)]])</f>
        <v>0.92835820895522392</v>
      </c>
      <c r="AL63" s="26"/>
    </row>
    <row r="64" spans="1:38" x14ac:dyDescent="0.3">
      <c r="A64" s="128">
        <v>43387</v>
      </c>
      <c r="B64" s="29">
        <v>61</v>
      </c>
      <c r="C64" s="28">
        <v>755.9</v>
      </c>
      <c r="D64" s="28">
        <f>24/(LTP[[#This Row],[Cycle duration 
(h)]]+2)</f>
        <v>4</v>
      </c>
      <c r="E64" s="137">
        <v>4</v>
      </c>
      <c r="F64" s="42">
        <f>Information!$R$61/(LTP[Flow 
(m3 d-1)]/24*LTP[[#This Row],[Cycles per day]]*LTP[[#This Row],[Cycle duration 
(h)]])*24</f>
        <v>70.415028442915727</v>
      </c>
      <c r="G64" s="27">
        <v>29.47</v>
      </c>
      <c r="H64" s="27">
        <v>7.37</v>
      </c>
      <c r="I64" s="27">
        <v>3.5</v>
      </c>
      <c r="J64" s="27">
        <v>52.99</v>
      </c>
      <c r="K64" s="27">
        <f>LTP[[#This Row],[TSS  
(mg L-1)]]</f>
        <v>8560</v>
      </c>
      <c r="L64" s="27">
        <f>LTP[[#This Row],[VSS 
(mg L-1)]]</f>
        <v>4790</v>
      </c>
      <c r="M64">
        <v>9710</v>
      </c>
      <c r="N64" s="29">
        <f>LTP[[#This Row],[COD 
(mg L-1)]]*Information!$AK$44</f>
        <v>2621.7000000000003</v>
      </c>
      <c r="O64">
        <v>1099</v>
      </c>
      <c r="P64">
        <v>8.3000000000000007</v>
      </c>
      <c r="Q64">
        <v>8560</v>
      </c>
      <c r="R64">
        <v>4790</v>
      </c>
      <c r="S64">
        <v>12.34</v>
      </c>
      <c r="U64" s="6"/>
      <c r="V64" s="20"/>
      <c r="W64" s="6"/>
      <c r="X64">
        <v>85.56</v>
      </c>
      <c r="Z64" s="6"/>
      <c r="AA64" s="4"/>
      <c r="AB64" s="21"/>
      <c r="AC64" s="6"/>
      <c r="AD64" s="20"/>
      <c r="AE64" s="19"/>
      <c r="AF64" s="20">
        <f>Influent[[#This Row],[sCOD (mg L-1)]]/LTP[[#This Row],[HRT 
(h)]]*24/1000</f>
        <v>0.78221938154370596</v>
      </c>
      <c r="AG64" s="6"/>
      <c r="AH64" s="6">
        <f>(Influent[[#This Row],[NH4-N (mg L-1)]]*LTP[ARE 
(%)])*24/LTP[[#This Row],[HRT 
(h)]]/1000</f>
        <v>0.41280051492934372</v>
      </c>
      <c r="AI64" s="6">
        <f>Influent[[#This Row],[TN (mg L-1)]]/LTP[[#This Row],[HRT 
(h)]]*24/1000</f>
        <v>0.44219219516814118</v>
      </c>
      <c r="AJ64" s="6"/>
      <c r="AK64" s="26">
        <f>1-(LTP[[#This Row],[NH4-N 
(mg L-1)]]/Influent[[#This Row],[NH4-N (mg L-1)]])</f>
        <v>0.93401712038250939</v>
      </c>
      <c r="AL64" s="26"/>
    </row>
    <row r="65" spans="1:38" x14ac:dyDescent="0.3">
      <c r="A65" s="128">
        <v>43388</v>
      </c>
      <c r="B65" s="29">
        <v>62</v>
      </c>
      <c r="C65" s="28">
        <v>520.9</v>
      </c>
      <c r="D65" s="28">
        <f>24/(LTP[[#This Row],[Cycle duration 
(h)]]+2)</f>
        <v>4</v>
      </c>
      <c r="E65" s="137">
        <v>4</v>
      </c>
      <c r="F65" s="42">
        <f>Information!$R$61/(LTP[Flow 
(m3 d-1)]/24*LTP[[#This Row],[Cycles per day]]*LTP[[#This Row],[Cycle duration 
(h)]])*24</f>
        <v>102.18222307544633</v>
      </c>
      <c r="G65" s="27">
        <v>28.8</v>
      </c>
      <c r="H65" s="27">
        <v>7.43</v>
      </c>
      <c r="I65" s="27">
        <v>3.5</v>
      </c>
      <c r="J65" s="27">
        <v>47.91</v>
      </c>
      <c r="K65" s="27">
        <f>LTP[[#This Row],[TSS  
(mg L-1)]]</f>
        <v>7760</v>
      </c>
      <c r="L65" s="27">
        <f>LTP[[#This Row],[VSS 
(mg L-1)]]</f>
        <v>4095</v>
      </c>
      <c r="M65">
        <v>9070</v>
      </c>
      <c r="N65" s="29">
        <f>LTP[[#This Row],[COD 
(mg L-1)]]*Information!$AK$44</f>
        <v>2448.9</v>
      </c>
      <c r="O65">
        <v>1091</v>
      </c>
      <c r="P65">
        <v>8.1999999999999993</v>
      </c>
      <c r="Q65">
        <v>7760</v>
      </c>
      <c r="R65">
        <v>4095</v>
      </c>
      <c r="S65">
        <v>14.58</v>
      </c>
      <c r="T65">
        <v>36.700000000000003</v>
      </c>
      <c r="U65" s="6"/>
      <c r="V65" s="20"/>
      <c r="W65" s="6"/>
      <c r="X65">
        <v>81.599999999999994</v>
      </c>
      <c r="Y65">
        <v>2.5000000000000001E-2</v>
      </c>
      <c r="Z65" s="6">
        <f>IF(LTP[[#This Row],[TON 
(mg L-1)]]-LTP[[#This Row],[NO2-N 
(mg L-1)]]&lt;0,0.2,LTP[[#This Row],[TON 
(mg L-1)]]-LTP[[#This Row],[NO2-N 
(mg L-1)]])</f>
        <v>36.675000000000004</v>
      </c>
      <c r="AA65" s="4">
        <f>SUM(LTP[[#This Row],[NH4-N 
(mg L-1)]:[NO3-N 
(mg L-1)]])</f>
        <v>118.30000000000001</v>
      </c>
      <c r="AB65" s="21">
        <f>LTP[[#This Row],[NO3-N 
(mg L-1)]]/(Influent[[#This Row],[NH4-N (mg L-1)]]-LTP[[#This Row],[NH4-N 
(mg L-1)]])</f>
        <v>2.9631574694998792E-2</v>
      </c>
      <c r="AC65" s="6">
        <f>LTP[[#This Row],[NO2-N 
(mg L-1)]]/(Influent[[#This Row],[NH4-N (mg L-1)]]-LTP[[#This Row],[NH4-N 
(mg L-1)]])</f>
        <v>2.0198755756645391E-5</v>
      </c>
      <c r="AD65" s="20">
        <f>46/14*LTP[[#This Row],[NO2-N 
(mg L-1)]]/(EXP(-2300/(273+LTP[[#This Row],[Temp. 
(°C)]]))*10^LTP[[#This Row],[pHreactor]])</f>
        <v>6.2273379760566328E-6</v>
      </c>
      <c r="AE65" s="19">
        <f>17/14*(LTP[[#This Row],[NH4-N 
(mg L-1)]]*10^LTP[[#This Row],[pHeff]])/(EXP(6344/(273+LTP[[#This Row],[Temp. 
(°C)]]))+10^LTP[[#This Row],[pHreactor]])</f>
        <v>11.436879123951618</v>
      </c>
      <c r="AF65" s="20">
        <f>Influent[[#This Row],[sCOD (mg L-1)]]/LTP[[#This Row],[HRT 
(h)]]*24/1000</f>
        <v>0.59611151692232789</v>
      </c>
      <c r="AG65" s="6">
        <f>IFERROR(IF(((Influent[[#This Row],[COD (mg L-1)]]-LTP[[#This Row],[sCOD]])/LTP[[#This Row],[HRT 
(h)]]*24/1000) &lt;0,0, (Influent[[#This Row],[sCOD (mg L-1)]]-LTP[[#This Row],[sCOD]])/LTP[[#This Row],[HRT 
(h)]]*24/1000),0)</f>
        <v>2.0927319211102975E-2</v>
      </c>
      <c r="AH65" s="6">
        <f>(Influent[[#This Row],[NH4-N (mg L-1)]]*LTP[ARE 
(%)])*24/LTP[[#This Row],[HRT 
(h)]]/1000</f>
        <v>0.29070418616815008</v>
      </c>
      <c r="AI65" s="6">
        <f>Influent[[#This Row],[TN (mg L-1)]]/LTP[[#This Row],[HRT 
(h)]]*24/1000</f>
        <v>0.30991692142593047</v>
      </c>
      <c r="AJ65" s="6">
        <f>(Influent[[#This Row],[NH4-N (mg L-1)]])*LTP[NRE 
(%)]/LTP[[#This Row],[HRT 
(h)]]*24/1000</f>
        <v>0.28208850304171834</v>
      </c>
      <c r="AK65" s="26">
        <f>1-(LTP[[#This Row],[NH4-N 
(mg L-1)]]/Influent[[#This Row],[NH4-N (mg L-1)]])</f>
        <v>0.93814901841885845</v>
      </c>
      <c r="AL65" s="26">
        <f>1-(LTP[[#This Row],[TN 
(mg L-1)]]/Influent[[#This Row],[TN (mg L-1)]])</f>
        <v>0.91034482758620694</v>
      </c>
    </row>
    <row r="66" spans="1:38" x14ac:dyDescent="0.3">
      <c r="A66" s="128">
        <v>43389</v>
      </c>
      <c r="B66" s="29">
        <v>63</v>
      </c>
      <c r="C66" s="28">
        <v>504.9</v>
      </c>
      <c r="D66" s="28">
        <f>24/(LTP[[#This Row],[Cycle duration 
(h)]]+2)</f>
        <v>4</v>
      </c>
      <c r="E66" s="137">
        <v>4</v>
      </c>
      <c r="F66" s="42">
        <f>Information!$R$61/(LTP[Flow 
(m3 d-1)]/24*LTP[[#This Row],[Cycles per day]]*LTP[[#This Row],[Cycle duration 
(h)]])*24</f>
        <v>105.42032085561497</v>
      </c>
      <c r="G66" s="27">
        <v>29.4</v>
      </c>
      <c r="H66" s="27">
        <v>7.47</v>
      </c>
      <c r="I66" s="27">
        <v>3.5</v>
      </c>
      <c r="J66" s="27">
        <v>43.92</v>
      </c>
      <c r="K66" s="27">
        <f>LTP[[#This Row],[TSS  
(mg L-1)]]</f>
        <v>10200</v>
      </c>
      <c r="L66" s="27">
        <f>LTP[[#This Row],[VSS 
(mg L-1)]]</f>
        <v>2643</v>
      </c>
      <c r="M66">
        <v>12475</v>
      </c>
      <c r="N66" s="29">
        <f>LTP[[#This Row],[COD 
(mg L-1)]]*Information!$AK$44</f>
        <v>3368.25</v>
      </c>
      <c r="O66">
        <v>1347</v>
      </c>
      <c r="P66">
        <v>8.6</v>
      </c>
      <c r="Q66">
        <v>10200</v>
      </c>
      <c r="R66">
        <v>2643</v>
      </c>
      <c r="S66">
        <v>17.68</v>
      </c>
      <c r="T66">
        <v>38.299999999999997</v>
      </c>
      <c r="U66" s="6"/>
      <c r="V66" s="20"/>
      <c r="W66" s="6"/>
      <c r="X66">
        <v>108.53</v>
      </c>
      <c r="Y66">
        <v>888.83</v>
      </c>
      <c r="Z66" s="6">
        <f>IF(LTP[[#This Row],[TON 
(mg L-1)]]-LTP[[#This Row],[NO2-N 
(mg L-1)]]&lt;0,0.2,LTP[[#This Row],[TON 
(mg L-1)]]-LTP[[#This Row],[NO2-N 
(mg L-1)]])</f>
        <v>0.2</v>
      </c>
      <c r="AA66" s="4">
        <f>SUM(LTP[[#This Row],[NH4-N 
(mg L-1)]:[NO3-N 
(mg L-1)]])</f>
        <v>997.56000000000006</v>
      </c>
      <c r="AB66" s="21">
        <f>LTP[[#This Row],[NO3-N 
(mg L-1)]]/(Influent[[#This Row],[NH4-N (mg L-1)]]-LTP[[#This Row],[NH4-N 
(mg L-1)]])</f>
        <v>1.8174052904668006E-4</v>
      </c>
      <c r="AC66" s="6">
        <f>LTP[[#This Row],[NO2-N 
(mg L-1)]]/(Influent[[#This Row],[NH4-N (mg L-1)]]-LTP[[#This Row],[NH4-N 
(mg L-1)]])</f>
        <v>0.80768217216280314</v>
      </c>
      <c r="AD66" s="20">
        <f>46/14*LTP[[#This Row],[NO2-N 
(mg L-1)]]/(EXP(-2300/(273+LTP[[#This Row],[Temp. 
(°C)]]))*10^LTP[[#This Row],[pHreactor]])</f>
        <v>0.19889057480616251</v>
      </c>
      <c r="AE66" s="19">
        <f>17/14*(LTP[[#This Row],[NH4-N 
(mg L-1)]]*10^LTP[[#This Row],[pHeff]])/(EXP(6344/(273+LTP[[#This Row],[Temp. 
(°C)]]))+10^LTP[[#This Row],[pHreactor]])</f>
        <v>39.724947444231084</v>
      </c>
      <c r="AF66" s="20">
        <f>Influent[[#This Row],[sCOD (mg L-1)]]/LTP[[#This Row],[HRT 
(h)]]*24/1000</f>
        <v>0.55833637691745797</v>
      </c>
      <c r="AG66" s="6"/>
      <c r="AH66" s="6">
        <f>(Influent[[#This Row],[NH4-N (mg L-1)]]*LTP[ARE 
(%)])*24/LTP[[#This Row],[HRT 
(h)]]/1000</f>
        <v>0.25053310202093987</v>
      </c>
      <c r="AI66" s="6">
        <f>Influent[[#This Row],[TN (mg L-1)]]/LTP[[#This Row],[HRT 
(h)]]*24/1000</f>
        <v>0.27528658388117849</v>
      </c>
      <c r="AJ66" s="6">
        <f>(Influent[[#This Row],[NH4-N (mg L-1)]])*LTP[NRE 
(%)]/LTP[[#This Row],[HRT 
(h)]]*24/1000</f>
        <v>4.8174012749103712E-2</v>
      </c>
      <c r="AK66" s="26">
        <f>1-(LTP[[#This Row],[NH4-N 
(mg L-1)]]/Influent[[#This Row],[NH4-N (mg L-1)]])</f>
        <v>0.91023159636062867</v>
      </c>
      <c r="AL66" s="26">
        <f>1-(LTP[[#This Row],[TN 
(mg L-1)]]/Influent[[#This Row],[TN (mg L-1)]])</f>
        <v>0.17502480979159774</v>
      </c>
    </row>
    <row r="67" spans="1:38" x14ac:dyDescent="0.3">
      <c r="A67" s="128">
        <v>43390</v>
      </c>
      <c r="B67" s="29">
        <v>64</v>
      </c>
      <c r="C67" s="28"/>
      <c r="D67" s="28"/>
      <c r="E67" s="137"/>
      <c r="F67" s="42"/>
      <c r="G67" s="27"/>
      <c r="H67" s="27"/>
      <c r="I67" s="27"/>
      <c r="J67" s="27"/>
      <c r="K67" s="27"/>
      <c r="L67" s="27"/>
      <c r="U67" s="6"/>
      <c r="V67" s="20"/>
      <c r="W67" s="6"/>
      <c r="Z67" s="6"/>
      <c r="AA67" s="4"/>
      <c r="AB67" s="21"/>
      <c r="AC67" s="6"/>
      <c r="AF67" s="20"/>
      <c r="AG67" s="6"/>
      <c r="AH67" s="6"/>
      <c r="AI67" s="6"/>
      <c r="AJ67" s="6"/>
      <c r="AK67" s="26"/>
      <c r="AL67" s="26"/>
    </row>
    <row r="68" spans="1:38" x14ac:dyDescent="0.3">
      <c r="A68" s="128">
        <v>43391</v>
      </c>
      <c r="B68" s="29">
        <v>65</v>
      </c>
      <c r="C68" s="28"/>
      <c r="D68" s="28"/>
      <c r="E68" s="137"/>
      <c r="F68" s="42"/>
      <c r="G68" s="27"/>
      <c r="H68" s="27"/>
      <c r="I68" s="27"/>
      <c r="J68" s="27"/>
      <c r="K68" s="27"/>
      <c r="L68" s="27"/>
      <c r="U68" s="6"/>
      <c r="V68" s="20"/>
      <c r="W68" s="6"/>
      <c r="Z68" s="6"/>
      <c r="AA68" s="4"/>
      <c r="AB68" s="21"/>
      <c r="AC68" s="6"/>
      <c r="AF68" s="20"/>
      <c r="AG68" s="6"/>
      <c r="AH68" s="6"/>
      <c r="AI68" s="6"/>
      <c r="AJ68" s="6"/>
      <c r="AK68" s="26"/>
      <c r="AL68" s="26"/>
    </row>
    <row r="69" spans="1:38" x14ac:dyDescent="0.3">
      <c r="A69" s="128">
        <v>43392</v>
      </c>
      <c r="B69" s="29">
        <v>66</v>
      </c>
      <c r="C69" s="28">
        <v>643.29999999999995</v>
      </c>
      <c r="D69" s="28">
        <f>24/(LTP[[#This Row],[Cycle duration 
(h)]]+2)</f>
        <v>4</v>
      </c>
      <c r="E69" s="137">
        <v>4</v>
      </c>
      <c r="F69" s="42">
        <f>Information!$R$61/(LTP[Flow 
(m3 d-1)]/24*LTP[[#This Row],[Cycles per day]]*LTP[[#This Row],[Cycle duration 
(h)]])*24</f>
        <v>82.740121249805696</v>
      </c>
      <c r="G69" s="27">
        <v>30.17</v>
      </c>
      <c r="H69" s="27">
        <v>7.6</v>
      </c>
      <c r="I69" s="27">
        <v>3.5</v>
      </c>
      <c r="J69" s="27">
        <v>37.03</v>
      </c>
      <c r="K69" s="27"/>
      <c r="L69" s="27"/>
      <c r="M69">
        <v>14450</v>
      </c>
      <c r="N69" s="29">
        <f>LTP[[#This Row],[COD 
(mg L-1)]]*Information!$AK$44</f>
        <v>3901.5000000000005</v>
      </c>
      <c r="O69">
        <v>1632</v>
      </c>
      <c r="P69">
        <v>8.6999999999999993</v>
      </c>
      <c r="Q69">
        <v>13820</v>
      </c>
      <c r="S69">
        <v>43.71</v>
      </c>
      <c r="T69">
        <v>48.6</v>
      </c>
      <c r="U69" s="6"/>
      <c r="V69" s="20"/>
      <c r="W69" s="6"/>
      <c r="X69">
        <v>40.950000000000003</v>
      </c>
      <c r="Y69">
        <v>819.79</v>
      </c>
      <c r="Z69" s="6">
        <f>IF(LTP[[#This Row],[TON 
(mg L-1)]]-LTP[[#This Row],[NO2-N 
(mg L-1)]]&lt;0,0.2,LTP[[#This Row],[TON 
(mg L-1)]]-LTP[[#This Row],[NO2-N 
(mg L-1)]])</f>
        <v>0.2</v>
      </c>
      <c r="AA69" s="4">
        <f>SUM(LTP[[#This Row],[NH4-N 
(mg L-1)]:[NO3-N 
(mg L-1)]])</f>
        <v>860.94</v>
      </c>
      <c r="AB69" s="21">
        <f>LTP[[#This Row],[NO3-N 
(mg L-1)]]/(Influent[[#This Row],[NH4-N (mg L-1)]]-LTP[[#This Row],[NH4-N 
(mg L-1)]])</f>
        <v>1.695130736958088E-4</v>
      </c>
      <c r="AC69" s="6">
        <f>LTP[[#This Row],[NO2-N 
(mg L-1)]]/(Influent[[#This Row],[NH4-N (mg L-1)]]-LTP[[#This Row],[NH4-N 
(mg L-1)]])</f>
        <v>0.69482561342543547</v>
      </c>
      <c r="AD69" s="20">
        <f>46/14*LTP[[#This Row],[NO2-N 
(mg L-1)]]/(EXP(-2300/(273+LTP[[#This Row],[Temp. 
(°C)]]))*10^LTP[[#This Row],[pHreactor]])</f>
        <v>0.13338550525132617</v>
      </c>
      <c r="AE69" s="19">
        <f>17/14*(LTP[[#This Row],[NH4-N 
(mg L-1)]]*10^LTP[[#This Row],[pHeff]])/(EXP(6344/(273+LTP[[#This Row],[Temp. 
(°C)]]))+10^LTP[[#This Row],[pHreactor]])</f>
        <v>19.716238907425769</v>
      </c>
      <c r="AF69" s="20">
        <f>Influent[[#This Row],[sCOD (mg L-1)]]/LTP[[#This Row],[HRT 
(h)]]*24/1000</f>
        <v>0.72052106160214258</v>
      </c>
      <c r="AG69" s="6"/>
      <c r="AH69" s="6">
        <f>(Influent[[#This Row],[NH4-N (mg L-1)]]*LTP[ARE 
(%)])*24/LTP[[#This Row],[HRT 
(h)]]/1000</f>
        <v>0.34223300101903698</v>
      </c>
      <c r="AI69" s="6">
        <f>Influent[[#This Row],[TN (mg L-1)]]/LTP[[#This Row],[HRT 
(h)]]*24/1000</f>
        <v>0.35416916916916913</v>
      </c>
      <c r="AJ69" s="6">
        <f>(Influent[[#This Row],[NH4-N (mg L-1)]])*LTP[NRE 
(%)]/LTP[[#This Row],[HRT 
(h)]]*24/1000</f>
        <v>0.1044236387402299</v>
      </c>
      <c r="AK69" s="26">
        <f>1-(LTP[[#This Row],[NH4-N 
(mg L-1)]]/Influent[[#This Row],[NH4-N (mg L-1)]])</f>
        <v>0.96645642201834858</v>
      </c>
      <c r="AL69" s="26">
        <f>1-(LTP[[#This Row],[TN 
(mg L-1)]]/Influent[[#This Row],[TN (mg L-1)]])</f>
        <v>0.29488943488943486</v>
      </c>
    </row>
    <row r="70" spans="1:38" x14ac:dyDescent="0.3">
      <c r="A70" s="128">
        <v>43393</v>
      </c>
      <c r="B70" s="29">
        <v>67</v>
      </c>
      <c r="C70" s="28">
        <v>596</v>
      </c>
      <c r="D70" s="28">
        <f>24/(LTP[[#This Row],[Cycle duration 
(h)]]+2)</f>
        <v>4</v>
      </c>
      <c r="E70" s="137">
        <v>4</v>
      </c>
      <c r="F70" s="42">
        <f>Information!$R$61/(LTP[Flow 
(m3 d-1)]/24*LTP[[#This Row],[Cycles per day]]*LTP[[#This Row],[Cycle duration 
(h)]])*24</f>
        <v>89.306577181208056</v>
      </c>
      <c r="G70" s="27">
        <v>29.99</v>
      </c>
      <c r="H70" s="27">
        <v>7.21</v>
      </c>
      <c r="I70" s="27">
        <v>3.5</v>
      </c>
      <c r="J70" s="27">
        <v>54.94</v>
      </c>
      <c r="K70" s="27"/>
      <c r="L70" s="27"/>
      <c r="M70">
        <v>13525</v>
      </c>
      <c r="N70" s="29">
        <f>LTP[[#This Row],[COD 
(mg L-1)]]*Information!$AK$44</f>
        <v>3651.7500000000005</v>
      </c>
      <c r="O70">
        <v>1446</v>
      </c>
      <c r="P70">
        <v>8.5</v>
      </c>
      <c r="Q70">
        <v>11860</v>
      </c>
      <c r="S70">
        <v>21.13</v>
      </c>
      <c r="T70">
        <v>844.5</v>
      </c>
      <c r="U70" s="6"/>
      <c r="V70" s="20"/>
      <c r="W70" s="6"/>
      <c r="X70">
        <v>116.63</v>
      </c>
      <c r="Y70">
        <v>809.79</v>
      </c>
      <c r="Z70" s="6">
        <f>IF(LTP[[#This Row],[TON 
(mg L-1)]]-LTP[[#This Row],[NO2-N 
(mg L-1)]]&lt;0,0.2,LTP[[#This Row],[TON 
(mg L-1)]]-LTP[[#This Row],[NO2-N 
(mg L-1)]])</f>
        <v>34.710000000000036</v>
      </c>
      <c r="AA70" s="4">
        <f>SUM(LTP[[#This Row],[NH4-N 
(mg L-1)]:[NO3-N 
(mg L-1)]])</f>
        <v>961.13</v>
      </c>
      <c r="AB70" s="21">
        <f>LTP[[#This Row],[NO3-N 
(mg L-1)]]/(Influent[[#This Row],[NH4-N (mg L-1)]]-LTP[[#This Row],[NH4-N 
(mg L-1)]])</f>
        <v>3.1144849121106932E-2</v>
      </c>
      <c r="AC70" s="6">
        <f>LTP[[#This Row],[NO2-N 
(mg L-1)]]/(Influent[[#This Row],[NH4-N (mg L-1)]]-LTP[[#This Row],[NH4-N 
(mg L-1)]])</f>
        <v>0.72661444453417334</v>
      </c>
      <c r="AD70" s="20">
        <f>46/14*LTP[[#This Row],[NO2-N 
(mg L-1)]]/(EXP(-2300/(273+LTP[[#This Row],[Temp. 
(°C)]]))*10^LTP[[#This Row],[pHreactor]])</f>
        <v>0.32488958444638494</v>
      </c>
      <c r="AE70" s="19">
        <f>17/14*(LTP[[#This Row],[NH4-N 
(mg L-1)]]*10^LTP[[#This Row],[pHeff]])/(EXP(6344/(273+LTP[[#This Row],[Temp. 
(°C)]]))+10^LTP[[#This Row],[pHreactor]])</f>
        <v>35.664353736944065</v>
      </c>
      <c r="AF70" s="20">
        <f>Influent[[#This Row],[sCOD (mg L-1)]]/LTP[[#This Row],[HRT 
(h)]]*24/1000</f>
        <v>0.69172956740524305</v>
      </c>
      <c r="AG70" s="6"/>
      <c r="AH70" s="6">
        <f>(Influent[[#This Row],[NH4-N (mg L-1)]]*LTP[ARE 
(%)])*24/LTP[[#This Row],[HRT 
(h)]]/1000</f>
        <v>0.29949955360766173</v>
      </c>
      <c r="AI70" s="6">
        <f>Influent[[#This Row],[TN (mg L-1)]]/LTP[[#This Row],[HRT 
(h)]]*24/1000</f>
        <v>0.33314410807203598</v>
      </c>
      <c r="AJ70" s="6">
        <f>(Influent[[#This Row],[NH4-N (mg L-1)]])*LTP[NRE 
(%)]/LTP[[#This Row],[HRT 
(h)]]*24/1000</f>
        <v>7.4335550826836974E-2</v>
      </c>
      <c r="AK70" s="26">
        <f>1-(LTP[[#This Row],[NH4-N 
(mg L-1)]]/Influent[[#This Row],[NH4-N (mg L-1)]])</f>
        <v>0.90526358541142071</v>
      </c>
      <c r="AL70" s="26">
        <f>1-(LTP[[#This Row],[TN 
(mg L-1)]]/Influent[[#This Row],[TN (mg L-1)]])</f>
        <v>0.22468570137900157</v>
      </c>
    </row>
    <row r="71" spans="1:38" x14ac:dyDescent="0.3">
      <c r="A71" s="128">
        <v>43394</v>
      </c>
      <c r="B71" s="29">
        <v>68</v>
      </c>
      <c r="C71" s="28">
        <v>479.1</v>
      </c>
      <c r="D71" s="28">
        <f>24/(LTP[[#This Row],[Cycle duration 
(h)]]+2)</f>
        <v>4</v>
      </c>
      <c r="E71" s="137">
        <v>4</v>
      </c>
      <c r="F71" s="42">
        <f>Information!$R$61/(LTP[Flow 
(m3 d-1)]/24*LTP[[#This Row],[Cycles per day]]*LTP[[#This Row],[Cycle duration 
(h)]])*24</f>
        <v>111.09730745147149</v>
      </c>
      <c r="G71" s="27">
        <v>30.24</v>
      </c>
      <c r="H71" s="27">
        <v>7.6</v>
      </c>
      <c r="I71" s="27">
        <v>3.5</v>
      </c>
      <c r="J71" s="27">
        <v>50.06</v>
      </c>
      <c r="K71" s="27"/>
      <c r="L71" s="27"/>
      <c r="M71">
        <v>11825</v>
      </c>
      <c r="N71" s="29">
        <f>LTP[[#This Row],[COD 
(mg L-1)]]*Information!$AK$44</f>
        <v>3192.75</v>
      </c>
      <c r="O71">
        <v>1449</v>
      </c>
      <c r="P71">
        <v>8.3000000000000007</v>
      </c>
      <c r="Q71">
        <v>11980</v>
      </c>
      <c r="S71">
        <v>21.65</v>
      </c>
      <c r="T71">
        <v>48.7</v>
      </c>
      <c r="U71" s="6"/>
      <c r="V71" s="20"/>
      <c r="W71" s="6"/>
      <c r="X71">
        <v>21.71</v>
      </c>
      <c r="Y71">
        <v>889.85</v>
      </c>
      <c r="Z71" s="6">
        <f>IF(LTP[[#This Row],[TON 
(mg L-1)]]-LTP[[#This Row],[NO2-N 
(mg L-1)]]&lt;0,0.2,LTP[[#This Row],[TON 
(mg L-1)]]-LTP[[#This Row],[NO2-N 
(mg L-1)]])</f>
        <v>0.2</v>
      </c>
      <c r="AA71" s="4">
        <f>SUM(LTP[[#This Row],[NH4-N 
(mg L-1)]:[NO3-N 
(mg L-1)]])</f>
        <v>911.7600000000001</v>
      </c>
      <c r="AB71" s="21">
        <f>LTP[[#This Row],[NO3-N 
(mg L-1)]]/(Influent[[#This Row],[NH4-N (mg L-1)]]-LTP[[#This Row],[NH4-N 
(mg L-1)]])</f>
        <v>1.6669583843839341E-4</v>
      </c>
      <c r="AC71" s="6">
        <f>LTP[[#This Row],[NO2-N 
(mg L-1)]]/(Influent[[#This Row],[NH4-N (mg L-1)]]-LTP[[#This Row],[NH4-N 
(mg L-1)]])</f>
        <v>0.74167145917202182</v>
      </c>
      <c r="AD71" s="20">
        <f>46/14*LTP[[#This Row],[NO2-N 
(mg L-1)]]/(EXP(-2300/(273+LTP[[#This Row],[Temp. 
(°C)]]))*10^LTP[[#This Row],[pHreactor]])</f>
        <v>0.14453141667567138</v>
      </c>
      <c r="AE71" s="19">
        <f>17/14*(LTP[[#This Row],[NH4-N 
(mg L-1)]]*10^LTP[[#This Row],[pHeff]])/(EXP(6344/(273+LTP[[#This Row],[Temp. 
(°C)]]))+10^LTP[[#This Row],[pHreactor]])</f>
        <v>4.1808212908431672</v>
      </c>
      <c r="AF71" s="20">
        <f>Influent[[#This Row],[sCOD (mg L-1)]]/LTP[[#This Row],[HRT 
(h)]]*24/1000</f>
        <v>0.52591733625517423</v>
      </c>
      <c r="AG71" s="6"/>
      <c r="AH71" s="6">
        <f>(Influent[[#This Row],[NH4-N (mg L-1)]]*LTP[ARE 
(%)])*24/LTP[[#This Row],[HRT 
(h)]]/1000</f>
        <v>0.25918683954224497</v>
      </c>
      <c r="AI71" s="6">
        <f>Influent[[#This Row],[TN (mg L-1)]]/LTP[[#This Row],[HRT 
(h)]]*24/1000</f>
        <v>0.26391998755512269</v>
      </c>
      <c r="AJ71" s="6">
        <f>(Influent[[#This Row],[NH4-N (mg L-1)]])*LTP[NRE 
(%)]/LTP[[#This Row],[HRT 
(h)]]*24/1000</f>
        <v>6.6944397046101792E-2</v>
      </c>
      <c r="AK71" s="26">
        <f>1-(LTP[[#This Row],[NH4-N 
(mg L-1)]]/Influent[[#This Row],[NH4-N (mg L-1)]])</f>
        <v>0.98222677036430617</v>
      </c>
      <c r="AL71" s="26">
        <f>1-(LTP[[#This Row],[TN 
(mg L-1)]]/Influent[[#This Row],[TN (mg L-1)]])</f>
        <v>0.25369566996807724</v>
      </c>
    </row>
    <row r="72" spans="1:38" x14ac:dyDescent="0.3">
      <c r="A72" s="128">
        <v>43395</v>
      </c>
      <c r="B72" s="29">
        <v>69</v>
      </c>
      <c r="C72" s="28">
        <v>487.7</v>
      </c>
      <c r="D72" s="28">
        <f>24/(LTP[[#This Row],[Cycle duration 
(h)]]+2)</f>
        <v>4</v>
      </c>
      <c r="E72" s="137">
        <v>4</v>
      </c>
      <c r="F72" s="42">
        <f>Information!$R$61/(LTP[Flow 
(m3 d-1)]/24*LTP[[#This Row],[Cycles per day]]*LTP[[#This Row],[Cycle duration 
(h)]])*24</f>
        <v>109.13824072175518</v>
      </c>
      <c r="G72" s="27">
        <v>29.23</v>
      </c>
      <c r="H72" s="27">
        <v>7.38</v>
      </c>
      <c r="I72" s="27">
        <v>3.5</v>
      </c>
      <c r="J72" s="27">
        <v>48.87</v>
      </c>
      <c r="K72" s="27">
        <f>LTP[[#This Row],[TSS  
(mg L-1)]]</f>
        <v>6700</v>
      </c>
      <c r="L72" s="27">
        <f>LTP[[#This Row],[VSS 
(mg L-1)]]</f>
        <v>3730</v>
      </c>
      <c r="M72">
        <v>9425</v>
      </c>
      <c r="N72" s="29">
        <f>LTP[[#This Row],[COD 
(mg L-1)]]*Information!$AK$44</f>
        <v>2544.75</v>
      </c>
      <c r="O72">
        <v>1185</v>
      </c>
      <c r="P72">
        <v>7.3</v>
      </c>
      <c r="Q72">
        <v>6700</v>
      </c>
      <c r="R72">
        <v>3730</v>
      </c>
      <c r="S72">
        <v>19.420000000000002</v>
      </c>
      <c r="T72">
        <v>42.5</v>
      </c>
      <c r="U72" s="6"/>
      <c r="V72" s="20"/>
      <c r="W72" s="6"/>
      <c r="X72">
        <v>50.62</v>
      </c>
      <c r="Y72">
        <v>895.85</v>
      </c>
      <c r="Z72" s="6">
        <f>IF(LTP[[#This Row],[TON 
(mg L-1)]]-LTP[[#This Row],[NO2-N 
(mg L-1)]]&lt;0,0.2,LTP[[#This Row],[TON 
(mg L-1)]]-LTP[[#This Row],[NO2-N 
(mg L-1)]])</f>
        <v>0.2</v>
      </c>
      <c r="AA72" s="4">
        <f>SUM(LTP[[#This Row],[NH4-N 
(mg L-1)]:[NO3-N 
(mg L-1)]])</f>
        <v>946.67000000000007</v>
      </c>
      <c r="AB72" s="21">
        <f>LTP[[#This Row],[NO3-N 
(mg L-1)]]/(Influent[[#This Row],[NH4-N (mg L-1)]]-LTP[[#This Row],[NH4-N 
(mg L-1)]])</f>
        <v>1.6661390559656109E-4</v>
      </c>
      <c r="AC72" s="6">
        <f>LTP[[#This Row],[NO2-N 
(mg L-1)]]/(Influent[[#This Row],[NH4-N (mg L-1)]]-LTP[[#This Row],[NH4-N 
(mg L-1)]])</f>
        <v>0.74630533664339616</v>
      </c>
      <c r="AD72" s="20">
        <f>46/14*LTP[[#This Row],[NO2-N 
(mg L-1)]]/(EXP(-2300/(273+LTP[[#This Row],[Temp. 
(°C)]]))*10^LTP[[#This Row],[pHreactor]])</f>
        <v>0.2476787682741472</v>
      </c>
      <c r="AE72" s="19">
        <f>17/14*(LTP[[#This Row],[NH4-N 
(mg L-1)]]*10^LTP[[#This Row],[pHeff]])/(EXP(6344/(273+LTP[[#This Row],[Temp. 
(°C)]]))+10^LTP[[#This Row],[pHreactor]])</f>
        <v>0.9217730643777432</v>
      </c>
      <c r="AF72" s="20">
        <f>Influent[[#This Row],[sCOD (mg L-1)]]/LTP[[#This Row],[HRT 
(h)]]*24/1000</f>
        <v>0.44926507588669756</v>
      </c>
      <c r="AG72" s="6"/>
      <c r="AH72" s="6">
        <f>(Influent[[#This Row],[NH4-N (mg L-1)]]*LTP[ARE 
(%)])*24/LTP[[#This Row],[HRT 
(h)]]/1000</f>
        <v>0.26396907087267441</v>
      </c>
      <c r="AI72" s="6">
        <f>Influent[[#This Row],[TN (mg L-1)]]/LTP[[#This Row],[HRT 
(h)]]*24/1000</f>
        <v>0.27514462209957702</v>
      </c>
      <c r="AJ72" s="6">
        <f>(Influent[[#This Row],[NH4-N (mg L-1)]])*LTP[NRE 
(%)]/LTP[[#This Row],[HRT 
(h)]]*24/1000</f>
        <v>6.6956840040816729E-2</v>
      </c>
      <c r="AK72" s="26">
        <f>1-(LTP[[#This Row],[NH4-N 
(mg L-1)]]/Influent[[#This Row],[NH4-N (mg L-1)]])</f>
        <v>0.95953637090327737</v>
      </c>
      <c r="AL72" s="26">
        <f>1-(LTP[[#This Row],[TN 
(mg L-1)]]/Influent[[#This Row],[TN (mg L-1)]])</f>
        <v>0.2433903452685422</v>
      </c>
    </row>
    <row r="73" spans="1:38" x14ac:dyDescent="0.3">
      <c r="A73" s="128">
        <v>43396</v>
      </c>
      <c r="B73" s="29">
        <v>70</v>
      </c>
      <c r="C73" s="28">
        <v>656.6</v>
      </c>
      <c r="D73" s="28">
        <f>24/(LTP[[#This Row],[Cycle duration 
(h)]]+2)</f>
        <v>4</v>
      </c>
      <c r="E73" s="137">
        <v>4</v>
      </c>
      <c r="F73" s="42">
        <f>Information!$R$61/(LTP[Flow 
(m3 d-1)]/24*LTP[[#This Row],[Cycles per day]]*LTP[[#This Row],[Cycle duration 
(h)]])*24</f>
        <v>81.064148644532438</v>
      </c>
      <c r="G73" s="27">
        <v>28.46</v>
      </c>
      <c r="H73" s="27">
        <v>7.29</v>
      </c>
      <c r="I73" s="27">
        <v>3.5</v>
      </c>
      <c r="J73" s="27">
        <v>67.459999999999994</v>
      </c>
      <c r="K73" s="27">
        <f>LTP[[#This Row],[TSS  
(mg L-1)]]</f>
        <v>10200</v>
      </c>
      <c r="L73" s="27">
        <f>LTP[[#This Row],[VSS 
(mg L-1)]]</f>
        <v>3450</v>
      </c>
      <c r="M73">
        <v>13125</v>
      </c>
      <c r="N73" s="29">
        <f>LTP[[#This Row],[COD 
(mg L-1)]]*Information!$AK$44</f>
        <v>3543.7500000000005</v>
      </c>
      <c r="O73">
        <v>1169</v>
      </c>
      <c r="P73">
        <v>7.9</v>
      </c>
      <c r="Q73">
        <v>10200</v>
      </c>
      <c r="R73">
        <v>3450</v>
      </c>
      <c r="S73">
        <v>20.39</v>
      </c>
      <c r="T73">
        <v>43.3</v>
      </c>
      <c r="U73" s="6"/>
      <c r="V73" s="20"/>
      <c r="W73" s="6"/>
      <c r="X73">
        <v>81.599999999999994</v>
      </c>
      <c r="Y73">
        <v>925.33</v>
      </c>
      <c r="Z73" s="6">
        <f>IF(LTP[[#This Row],[TON 
(mg L-1)]]-LTP[[#This Row],[NO2-N 
(mg L-1)]]&lt;0,0.2,LTP[[#This Row],[TON 
(mg L-1)]]-LTP[[#This Row],[NO2-N 
(mg L-1)]])</f>
        <v>0.2</v>
      </c>
      <c r="AA73" s="4">
        <f>SUM(LTP[[#This Row],[NH4-N 
(mg L-1)]:[NO3-N 
(mg L-1)]])</f>
        <v>1007.1300000000001</v>
      </c>
      <c r="AB73" s="21">
        <f>LTP[[#This Row],[NO3-N 
(mg L-1)]]/(Influent[[#This Row],[NH4-N (mg L-1)]]-LTP[[#This Row],[NH4-N 
(mg L-1)]])</f>
        <v>1.7340038148083925E-4</v>
      </c>
      <c r="AC73" s="6">
        <f>LTP[[#This Row],[NO2-N 
(mg L-1)]]/(Influent[[#This Row],[NH4-N (mg L-1)]]-LTP[[#This Row],[NH4-N 
(mg L-1)]])</f>
        <v>0.80226287497832494</v>
      </c>
      <c r="AD73" s="20">
        <f>46/14*LTP[[#This Row],[NO2-N 
(mg L-1)]]/(EXP(-2300/(273+LTP[[#This Row],[Temp. 
(°C)]]))*10^LTP[[#This Row],[pHreactor]])</f>
        <v>0.32091641681140032</v>
      </c>
      <c r="AE73" s="19">
        <f>17/14*(LTP[[#This Row],[NH4-N 
(mg L-1)]]*10^LTP[[#This Row],[pHeff]])/(EXP(6344/(273+LTP[[#This Row],[Temp. 
(°C)]]))+10^LTP[[#This Row],[pHreactor]])</f>
        <v>5.6300058086954206</v>
      </c>
      <c r="AF73" s="20">
        <f>Influent[[#This Row],[sCOD (mg L-1)]]/LTP[[#This Row],[HRT 
(h)]]*24/1000</f>
        <v>0.58487014041068097</v>
      </c>
      <c r="AG73" s="6"/>
      <c r="AH73" s="6">
        <f>(Influent[[#This Row],[NH4-N (mg L-1)]]*LTP[ARE 
(%)])*24/LTP[[#This Row],[HRT 
(h)]]/1000</f>
        <v>0.34147771194618043</v>
      </c>
      <c r="AI73" s="6">
        <f>Influent[[#This Row],[TN (mg L-1)]]/LTP[[#This Row],[HRT 
(h)]]*24/1000</f>
        <v>0.36569556944331727</v>
      </c>
      <c r="AJ73" s="6">
        <f>(Influent[[#This Row],[NH4-N (mg L-1)]])*LTP[NRE 
(%)]/LTP[[#This Row],[HRT 
(h)]]*24/1000</f>
        <v>6.7511887919959102E-2</v>
      </c>
      <c r="AK73" s="26">
        <f>1-(LTP[[#This Row],[NH4-N 
(mg L-1)]]/Influent[[#This Row],[NH4-N (mg L-1)]])</f>
        <v>0.93392712550607282</v>
      </c>
      <c r="AL73" s="26">
        <f>1-(LTP[[#This Row],[TN 
(mg L-1)]]/Influent[[#This Row],[TN (mg L-1)]])</f>
        <v>0.18464216321243521</v>
      </c>
    </row>
    <row r="74" spans="1:38" x14ac:dyDescent="0.3">
      <c r="A74" s="128">
        <v>43397</v>
      </c>
      <c r="B74" s="29">
        <v>71</v>
      </c>
      <c r="C74" s="28">
        <v>1447.2</v>
      </c>
      <c r="D74" s="28">
        <f>24/(LTP[[#This Row],[Cycle duration 
(h)]]+2)</f>
        <v>4</v>
      </c>
      <c r="E74" s="137">
        <v>4</v>
      </c>
      <c r="F74" s="42">
        <f>Information!$R$61/(LTP[Flow 
(m3 d-1)]/24*LTP[[#This Row],[Cycles per day]]*LTP[[#This Row],[Cycle duration 
(h)]])*24</f>
        <v>36.779104477611938</v>
      </c>
      <c r="G74" s="27">
        <v>28.07</v>
      </c>
      <c r="H74" s="27">
        <v>7.31</v>
      </c>
      <c r="I74" s="27">
        <v>3.5</v>
      </c>
      <c r="J74" s="27">
        <v>64.91</v>
      </c>
      <c r="K74" s="27"/>
      <c r="L74" s="27"/>
      <c r="M74">
        <v>12875</v>
      </c>
      <c r="N74" s="29">
        <f>LTP[[#This Row],[COD 
(mg L-1)]]*Information!$AK$44</f>
        <v>3476.2500000000005</v>
      </c>
      <c r="O74">
        <v>1129</v>
      </c>
      <c r="P74">
        <v>7.5</v>
      </c>
      <c r="Q74">
        <v>9580</v>
      </c>
      <c r="S74">
        <v>19.75</v>
      </c>
      <c r="T74">
        <v>43.2</v>
      </c>
      <c r="U74" s="6"/>
      <c r="V74" s="20"/>
      <c r="W74" s="6"/>
      <c r="X74">
        <v>131.06</v>
      </c>
      <c r="Y74">
        <v>898.79</v>
      </c>
      <c r="Z74" s="6">
        <f>IF(LTP[[#This Row],[TON 
(mg L-1)]]-LTP[[#This Row],[NO2-N 
(mg L-1)]]&lt;0,0.2,LTP[[#This Row],[TON 
(mg L-1)]]-LTP[[#This Row],[NO2-N 
(mg L-1)]])</f>
        <v>0.2</v>
      </c>
      <c r="AA74" s="4">
        <f>SUM(LTP[[#This Row],[NH4-N 
(mg L-1)]:[NO3-N 
(mg L-1)]])</f>
        <v>1030.05</v>
      </c>
      <c r="AB74" s="21">
        <f>LTP[[#This Row],[NO3-N 
(mg L-1)]]/(Influent[[#This Row],[NH4-N (mg L-1)]]-LTP[[#This Row],[NH4-N 
(mg L-1)]])</f>
        <v>1.7938185014440238E-4</v>
      </c>
      <c r="AC74" s="6">
        <f>LTP[[#This Row],[NO2-N 
(mg L-1)]]/(Influent[[#This Row],[NH4-N (mg L-1)]]-LTP[[#This Row],[NH4-N 
(mg L-1)]])</f>
        <v>0.80613306545643704</v>
      </c>
      <c r="AD74" s="20">
        <f>46/14*LTP[[#This Row],[NO2-N 
(mg L-1)]]/(EXP(-2300/(273+LTP[[#This Row],[Temp. 
(°C)]]))*10^LTP[[#This Row],[pHreactor]])</f>
        <v>0.3006392781140812</v>
      </c>
      <c r="AE74" s="19">
        <f>17/14*(LTP[[#This Row],[NH4-N 
(mg L-1)]]*10^LTP[[#This Row],[pHeff]])/(EXP(6344/(273+LTP[[#This Row],[Temp. 
(°C)]]))+10^LTP[[#This Row],[pHreactor]])</f>
        <v>3.5021517769584203</v>
      </c>
      <c r="AF74" s="20">
        <f>Influent[[#This Row],[sCOD (mg L-1)]]/LTP[[#This Row],[HRT 
(h)]]*24/1000</f>
        <v>1.1980715850986121</v>
      </c>
      <c r="AG74" s="6"/>
      <c r="AH74" s="6">
        <f>(Influent[[#This Row],[NH4-N (mg L-1)]]*LTP[ARE 
(%)])*24/LTP[[#This Row],[HRT 
(h)]]/1000</f>
        <v>0.7275478938397858</v>
      </c>
      <c r="AI74" s="6">
        <f>Influent[[#This Row],[TN (mg L-1)]]/LTP[[#This Row],[HRT 
(h)]]*24/1000</f>
        <v>0.82664329194058928</v>
      </c>
      <c r="AJ74" s="6">
        <f>(Influent[[#This Row],[NH4-N (mg L-1)]])*LTP[NRE 
(%)]/LTP[[#This Row],[HRT 
(h)]]*24/1000</f>
        <v>0.15195327561152502</v>
      </c>
      <c r="AK74" s="26">
        <f>1-(LTP[[#This Row],[NH4-N 
(mg L-1)]]/Influent[[#This Row],[NH4-N (mg L-1)]])</f>
        <v>0.89481540930979131</v>
      </c>
      <c r="AL74" s="26">
        <f>1-(LTP[[#This Row],[TN 
(mg L-1)]]/Influent[[#This Row],[TN (mg L-1)]])</f>
        <v>0.18688822229239033</v>
      </c>
    </row>
    <row r="75" spans="1:38" x14ac:dyDescent="0.3">
      <c r="A75" s="128">
        <v>43398</v>
      </c>
      <c r="B75" s="29">
        <v>72</v>
      </c>
      <c r="C75" s="28">
        <v>494.3</v>
      </c>
      <c r="D75" s="28">
        <f>24/(LTP[[#This Row],[Cycle duration 
(h)]]+2)</f>
        <v>4</v>
      </c>
      <c r="E75" s="137">
        <v>4</v>
      </c>
      <c r="F75" s="42">
        <f>Information!$R$61/(LTP[Flow 
(m3 d-1)]/24*LTP[[#This Row],[Cycles per day]]*LTP[[#This Row],[Cycle duration 
(h)]])*24</f>
        <v>107.68100343920693</v>
      </c>
      <c r="G75" s="27">
        <v>27.43</v>
      </c>
      <c r="H75" s="27">
        <v>7.85</v>
      </c>
      <c r="I75" s="27">
        <v>3.5</v>
      </c>
      <c r="J75" s="27"/>
      <c r="K75" s="27"/>
      <c r="L75" s="27"/>
      <c r="M75">
        <v>5760</v>
      </c>
      <c r="N75" s="29">
        <f>LTP[[#This Row],[COD 
(mg L-1)]]*Information!$AK$44</f>
        <v>1555.2</v>
      </c>
      <c r="O75">
        <v>1383</v>
      </c>
      <c r="P75">
        <v>8.1</v>
      </c>
      <c r="Q75">
        <v>9940</v>
      </c>
      <c r="S75">
        <v>47.51</v>
      </c>
      <c r="T75">
        <v>40.6</v>
      </c>
      <c r="U75" s="6"/>
      <c r="V75" s="20"/>
      <c r="W75" s="6"/>
      <c r="X75">
        <v>75.37</v>
      </c>
      <c r="Y75">
        <v>911.75</v>
      </c>
      <c r="Z75" s="6">
        <f>IF(LTP[[#This Row],[TON 
(mg L-1)]]-LTP[[#This Row],[NO2-N 
(mg L-1)]]&lt;0,0.2,LTP[[#This Row],[TON 
(mg L-1)]]-LTP[[#This Row],[NO2-N 
(mg L-1)]])</f>
        <v>0.2</v>
      </c>
      <c r="AA75" s="4">
        <f>SUM(LTP[[#This Row],[NH4-N 
(mg L-1)]:[NO3-N 
(mg L-1)]])</f>
        <v>987.32</v>
      </c>
      <c r="AB75" s="21">
        <f>LTP[[#This Row],[NO3-N 
(mg L-1)]]/(Influent[[#This Row],[NH4-N (mg L-1)]]-LTP[[#This Row],[NH4-N 
(mg L-1)]])</f>
        <v>1.8554080506155319E-4</v>
      </c>
      <c r="AC75" s="6">
        <f>LTP[[#This Row],[NO2-N 
(mg L-1)]]/(Influent[[#This Row],[NH4-N (mg L-1)]]-LTP[[#This Row],[NH4-N 
(mg L-1)]])</f>
        <v>0.84583414507435561</v>
      </c>
      <c r="AD75" s="20">
        <f>46/14*LTP[[#This Row],[NO2-N 
(mg L-1)]]/(EXP(-2300/(273+LTP[[#This Row],[Temp. 
(°C)]]))*10^LTP[[#This Row],[pHreactor]])</f>
        <v>8.9398660738741947E-2</v>
      </c>
      <c r="AE75" s="19">
        <f>17/14*(LTP[[#This Row],[NH4-N 
(mg L-1)]]*10^LTP[[#This Row],[pHeff]])/(EXP(6344/(273+LTP[[#This Row],[Temp. 
(°C)]]))+10^LTP[[#This Row],[pHreactor]])</f>
        <v>7.4218565554995948</v>
      </c>
      <c r="AF75" s="20">
        <f>Influent[[#This Row],[sCOD (mg L-1)]]/LTP[[#This Row],[HRT 
(h)]]*24/1000</f>
        <v>0.21262803343884429</v>
      </c>
      <c r="AG75" s="6"/>
      <c r="AH75" s="6">
        <f>(Influent[[#This Row],[NH4-N (mg L-1)]]*LTP[ARE 
(%)])*24/LTP[[#This Row],[HRT 
(h)]]/1000</f>
        <v>0.24024961853745644</v>
      </c>
      <c r="AI75" s="6">
        <f>Influent[[#This Row],[TN (mg L-1)]]/LTP[[#This Row],[HRT 
(h)]]*24/1000</f>
        <v>0.25798868057246443</v>
      </c>
      <c r="AJ75" s="6">
        <f>(Influent[[#This Row],[NH4-N (mg L-1)]])*LTP[NRE 
(%)]/LTP[[#This Row],[HRT 
(h)]]*24/1000</f>
        <v>3.7795969680141574E-2</v>
      </c>
      <c r="AK75" s="26">
        <f>1-(LTP[[#This Row],[NH4-N 
(mg L-1)]]/Influent[[#This Row],[NH4-N (mg L-1)]])</f>
        <v>0.93464840024278162</v>
      </c>
      <c r="AL75" s="26">
        <f>1-(LTP[[#This Row],[TN 
(mg L-1)]]/Influent[[#This Row],[TN (mg L-1)]])</f>
        <v>0.14703849609509978</v>
      </c>
    </row>
    <row r="76" spans="1:38" x14ac:dyDescent="0.3">
      <c r="A76" s="128">
        <v>43399</v>
      </c>
      <c r="B76" s="29">
        <v>73</v>
      </c>
      <c r="C76" s="28">
        <v>683.3</v>
      </c>
      <c r="D76" s="28">
        <f>24/(LTP[[#This Row],[Cycle duration 
(h)]]+2)</f>
        <v>4</v>
      </c>
      <c r="E76" s="137">
        <v>4</v>
      </c>
      <c r="F76" s="42">
        <f>Information!$R$61/(LTP[Flow 
(m3 d-1)]/24*LTP[[#This Row],[Cycles per day]]*LTP[[#This Row],[Cycle duration 
(h)]])*24</f>
        <v>77.896560807844295</v>
      </c>
      <c r="G76" s="27">
        <v>27.13</v>
      </c>
      <c r="H76" s="27">
        <v>7.33</v>
      </c>
      <c r="I76" s="27">
        <v>3.5</v>
      </c>
      <c r="J76" s="27">
        <v>63.64</v>
      </c>
      <c r="K76" s="27">
        <f>LTP[[#This Row],[TSS  
(mg L-1)]]</f>
        <v>8700</v>
      </c>
      <c r="L76" s="27">
        <f>LTP[[#This Row],[VSS 
(mg L-1)]]</f>
        <v>3670</v>
      </c>
      <c r="M76">
        <v>5600</v>
      </c>
      <c r="N76" s="29">
        <f>LTP[[#This Row],[COD 
(mg L-1)]]*Information!$AK$44</f>
        <v>1512</v>
      </c>
      <c r="O76">
        <v>1258</v>
      </c>
      <c r="P76">
        <v>7.7</v>
      </c>
      <c r="Q76">
        <v>8700</v>
      </c>
      <c r="R76">
        <v>3670</v>
      </c>
      <c r="S76">
        <v>17.489999999999998</v>
      </c>
      <c r="T76">
        <v>45.5</v>
      </c>
      <c r="U76" s="6"/>
      <c r="V76" s="20"/>
      <c r="W76" s="6"/>
      <c r="X76">
        <v>179.07</v>
      </c>
      <c r="Y76">
        <v>875.95</v>
      </c>
      <c r="Z76" s="6">
        <f>IF(LTP[[#This Row],[TON 
(mg L-1)]]-LTP[[#This Row],[NO2-N 
(mg L-1)]]&lt;0,0.2,LTP[[#This Row],[TON 
(mg L-1)]]-LTP[[#This Row],[NO2-N 
(mg L-1)]])</f>
        <v>0.2</v>
      </c>
      <c r="AA76" s="4">
        <f>SUM(LTP[[#This Row],[NH4-N 
(mg L-1)]:[NO3-N 
(mg L-1)]])</f>
        <v>1055.22</v>
      </c>
      <c r="AB76" s="21">
        <f>LTP[[#This Row],[NO3-N 
(mg L-1)]]/(Influent[[#This Row],[NH4-N (mg L-1)]]-LTP[[#This Row],[NH4-N 
(mg L-1)]])</f>
        <v>1.8339706381300836E-4</v>
      </c>
      <c r="AC76" s="6">
        <f>LTP[[#This Row],[NO2-N 
(mg L-1)]]/(Influent[[#This Row],[NH4-N (mg L-1)]]-LTP[[#This Row],[NH4-N 
(mg L-1)]])</f>
        <v>0.80323329023502343</v>
      </c>
      <c r="AD76" s="20">
        <f>46/14*LTP[[#This Row],[NO2-N 
(mg L-1)]]/(EXP(-2300/(273+LTP[[#This Row],[Temp. 
(°C)]]))*10^LTP[[#This Row],[pHreactor]])</f>
        <v>0.2865879613183136</v>
      </c>
      <c r="AE76" s="19">
        <f>17/14*(LTP[[#This Row],[NH4-N 
(mg L-1)]]*10^LTP[[#This Row],[pHeff]])/(EXP(6344/(273+LTP[[#This Row],[Temp. 
(°C)]]))+10^LTP[[#This Row],[pHreactor]])</f>
        <v>7.1014662566592417</v>
      </c>
      <c r="AF76" s="20">
        <f>Influent[[#This Row],[sCOD (mg L-1)]]/LTP[[#This Row],[HRT 
(h)]]*24/1000</f>
        <v>0.31333860887914938</v>
      </c>
      <c r="AG76" s="6"/>
      <c r="AH76" s="6">
        <f>(Influent[[#This Row],[NH4-N (mg L-1)]]*LTP[ARE 
(%)])*24/LTP[[#This Row],[HRT 
(h)]]/1000</f>
        <v>0.33599326759191611</v>
      </c>
      <c r="AI76" s="6">
        <f>Influent[[#This Row],[TN (mg L-1)]]/LTP[[#This Row],[HRT 
(h)]]*24/1000</f>
        <v>0.39575344123402673</v>
      </c>
      <c r="AJ76" s="6">
        <f>(Influent[[#This Row],[NH4-N (mg L-1)]])*LTP[NRE 
(%)]/LTP[[#This Row],[HRT 
(h)]]*24/1000</f>
        <v>6.9820192780505205E-2</v>
      </c>
      <c r="AK76" s="26">
        <f>1-(LTP[[#This Row],[NH4-N 
(mg L-1)]]/Influent[[#This Row],[NH4-N (mg L-1)]])</f>
        <v>0.85895557655954624</v>
      </c>
      <c r="AL76" s="26">
        <f>1-(LTP[[#This Row],[TN 
(mg L-1)]]/Influent[[#This Row],[TN (mg L-1)]])</f>
        <v>0.17849299295519705</v>
      </c>
    </row>
    <row r="77" spans="1:38" x14ac:dyDescent="0.3">
      <c r="A77" s="128">
        <v>43400</v>
      </c>
      <c r="B77" s="29">
        <v>74</v>
      </c>
      <c r="C77" s="28">
        <v>510.2</v>
      </c>
      <c r="D77" s="28">
        <f>24/(LTP[[#This Row],[Cycle duration 
(h)]]+2)</f>
        <v>4</v>
      </c>
      <c r="E77" s="137">
        <v>4</v>
      </c>
      <c r="F77" s="42">
        <f>Information!$R$61/(LTP[Flow 
(m3 d-1)]/24*LTP[[#This Row],[Cycles per day]]*LTP[[#This Row],[Cycle duration 
(h)]])*24</f>
        <v>104.32520580164642</v>
      </c>
      <c r="G77" s="27">
        <v>27.12</v>
      </c>
      <c r="H77" s="27">
        <v>7.69</v>
      </c>
      <c r="I77" s="27">
        <v>3.5</v>
      </c>
      <c r="J77" s="27">
        <v>59.84</v>
      </c>
      <c r="K77" s="27">
        <f>LTP[[#This Row],[TSS  
(mg L-1)]]</f>
        <v>10440</v>
      </c>
      <c r="L77" s="27">
        <f>LTP[[#This Row],[VSS 
(mg L-1)]]</f>
        <v>3430</v>
      </c>
      <c r="M77">
        <v>13275</v>
      </c>
      <c r="N77" s="29">
        <f>LTP[[#This Row],[COD 
(mg L-1)]]*Information!$AK$44</f>
        <v>3584.2500000000005</v>
      </c>
      <c r="O77">
        <v>1335</v>
      </c>
      <c r="P77">
        <v>8.3000000000000007</v>
      </c>
      <c r="Q77">
        <v>10440</v>
      </c>
      <c r="R77">
        <v>3430</v>
      </c>
      <c r="S77">
        <v>16.55</v>
      </c>
      <c r="T77">
        <v>43.4</v>
      </c>
      <c r="U77" s="6"/>
      <c r="V77" s="20"/>
      <c r="W77" s="6"/>
      <c r="X77">
        <v>182.61</v>
      </c>
      <c r="Y77">
        <v>853.9</v>
      </c>
      <c r="Z77" s="6">
        <f>IF(LTP[[#This Row],[TON 
(mg L-1)]]-LTP[[#This Row],[NO2-N 
(mg L-1)]]&lt;0,0.2,LTP[[#This Row],[TON 
(mg L-1)]]-LTP[[#This Row],[NO2-N 
(mg L-1)]])</f>
        <v>0.2</v>
      </c>
      <c r="AA77" s="4">
        <f>SUM(LTP[[#This Row],[NH4-N 
(mg L-1)]:[NO3-N 
(mg L-1)]])</f>
        <v>1036.71</v>
      </c>
      <c r="AB77" s="21">
        <f>LTP[[#This Row],[NO3-N 
(mg L-1)]]/(Influent[[#This Row],[NH4-N (mg L-1)]]-LTP[[#This Row],[NH4-N 
(mg L-1)]])</f>
        <v>1.9650419045186138E-4</v>
      </c>
      <c r="AC77" s="6">
        <f>LTP[[#This Row],[NO2-N 
(mg L-1)]]/(Influent[[#This Row],[NH4-N (mg L-1)]]-LTP[[#This Row],[NH4-N 
(mg L-1)]])</f>
        <v>0.83897464113422215</v>
      </c>
      <c r="AD77" s="20">
        <f>46/14*LTP[[#This Row],[NO2-N 
(mg L-1)]]/(EXP(-2300/(273+LTP[[#This Row],[Temp. 
(°C)]]))*10^LTP[[#This Row],[pHreactor]])</f>
        <v>0.12198222017247676</v>
      </c>
      <c r="AE77" s="19">
        <f>17/14*(LTP[[#This Row],[NH4-N 
(mg L-1)]]*10^LTP[[#This Row],[pHeff]])/(EXP(6344/(273+LTP[[#This Row],[Temp. 
(°C)]]))+10^LTP[[#This Row],[pHreactor]])</f>
        <v>28.30169949364495</v>
      </c>
      <c r="AF77" s="20">
        <f>Influent[[#This Row],[sCOD (mg L-1)]]/LTP[[#This Row],[HRT 
(h)]]*24/1000</f>
        <v>0.46171008846684519</v>
      </c>
      <c r="AG77" s="6"/>
      <c r="AH77" s="6">
        <f>(Influent[[#This Row],[NH4-N (mg L-1)]]*LTP[ARE 
(%)])*24/LTP[[#This Row],[HRT 
(h)]]/1000</f>
        <v>0.23414245687128576</v>
      </c>
      <c r="AI77" s="6">
        <f>Influent[[#This Row],[TN (mg L-1)]]/LTP[[#This Row],[HRT 
(h)]]*24/1000</f>
        <v>0.27619787354922493</v>
      </c>
      <c r="AJ77" s="6">
        <f>(Influent[[#This Row],[NH4-N (mg L-1)]])*LTP[NRE 
(%)]/LTP[[#This Row],[HRT 
(h)]]*24/1000</f>
        <v>3.7696592471559057E-2</v>
      </c>
      <c r="AK77" s="26">
        <f>1-(LTP[[#This Row],[NH4-N 
(mg L-1)]]/Influent[[#This Row],[NH4-N (mg L-1)]])</f>
        <v>0.84787570809730095</v>
      </c>
      <c r="AL77" s="26">
        <f>1-(LTP[[#This Row],[TN 
(mg L-1)]]/Influent[[#This Row],[TN (mg L-1)]])</f>
        <v>0.13650674662668671</v>
      </c>
    </row>
    <row r="78" spans="1:38" x14ac:dyDescent="0.3">
      <c r="A78" s="128">
        <v>43401</v>
      </c>
      <c r="B78" s="29">
        <v>75</v>
      </c>
      <c r="C78" s="28">
        <v>583.5</v>
      </c>
      <c r="D78" s="28">
        <f>24/(LTP[[#This Row],[Cycle duration 
(h)]]+2)</f>
        <v>4</v>
      </c>
      <c r="E78" s="137">
        <v>4</v>
      </c>
      <c r="F78" s="42">
        <f>Information!$R$61/(LTP[Flow 
(m3 d-1)]/24*LTP[[#This Row],[Cycles per day]]*LTP[[#This Row],[Cycle duration 
(h)]])*24</f>
        <v>91.219742930591266</v>
      </c>
      <c r="G78" s="27">
        <v>26.85</v>
      </c>
      <c r="H78" s="27">
        <v>7.61</v>
      </c>
      <c r="I78" s="27">
        <v>3.5</v>
      </c>
      <c r="J78" s="27">
        <v>55.02</v>
      </c>
      <c r="K78" s="27">
        <f>LTP[[#This Row],[TSS  
(mg L-1)]]</f>
        <v>9880</v>
      </c>
      <c r="L78" s="27">
        <f>LTP[[#This Row],[VSS 
(mg L-1)]]</f>
        <v>3890</v>
      </c>
      <c r="M78">
        <v>14250</v>
      </c>
      <c r="N78" s="29">
        <f>LTP[[#This Row],[COD 
(mg L-1)]]*Information!$AK$44</f>
        <v>3847.5000000000005</v>
      </c>
      <c r="O78">
        <v>1602</v>
      </c>
      <c r="P78">
        <v>8.1999999999999993</v>
      </c>
      <c r="Q78">
        <v>9880</v>
      </c>
      <c r="R78">
        <v>3890</v>
      </c>
      <c r="S78">
        <v>44.51</v>
      </c>
      <c r="T78">
        <v>39.4</v>
      </c>
      <c r="U78" s="6"/>
      <c r="V78" s="20"/>
      <c r="W78" s="6"/>
      <c r="X78">
        <v>133.63999999999999</v>
      </c>
      <c r="Y78">
        <v>929.22</v>
      </c>
      <c r="Z78" s="6">
        <f>IF(LTP[[#This Row],[TON 
(mg L-1)]]-LTP[[#This Row],[NO2-N 
(mg L-1)]]&lt;0,0.2,LTP[[#This Row],[TON 
(mg L-1)]]-LTP[[#This Row],[NO2-N 
(mg L-1)]])</f>
        <v>0.2</v>
      </c>
      <c r="AA78" s="4">
        <f>SUM(LTP[[#This Row],[NH4-N 
(mg L-1)]:[NO3-N 
(mg L-1)]])</f>
        <v>1063.0600000000002</v>
      </c>
      <c r="AB78" s="21">
        <f>LTP[[#This Row],[NO3-N 
(mg L-1)]]/(Influent[[#This Row],[NH4-N (mg L-1)]]-LTP[[#This Row],[NH4-N 
(mg L-1)]])</f>
        <v>1.8438957830103447E-4</v>
      </c>
      <c r="AC78" s="6">
        <f>LTP[[#This Row],[NO2-N 
(mg L-1)]]/(Influent[[#This Row],[NH4-N (mg L-1)]]-LTP[[#This Row],[NH4-N 
(mg L-1)]])</f>
        <v>0.85669241974443622</v>
      </c>
      <c r="AD78" s="20">
        <f>46/14*LTP[[#This Row],[NO2-N 
(mg L-1)]]/(EXP(-2300/(273+LTP[[#This Row],[Temp. 
(°C)]]))*10^LTP[[#This Row],[pHreactor]])</f>
        <v>0.16069597573822475</v>
      </c>
      <c r="AE78" s="19">
        <f>17/14*(LTP[[#This Row],[NH4-N 
(mg L-1)]]*10^LTP[[#This Row],[pHeff]])/(EXP(6344/(273+LTP[[#This Row],[Temp. 
(°C)]]))+10^LTP[[#This Row],[pHreactor]])</f>
        <v>16.235581747508206</v>
      </c>
      <c r="AF78" s="20">
        <f>Influent[[#This Row],[sCOD (mg L-1)]]/LTP[[#This Row],[HRT 
(h)]]*24/1000</f>
        <v>0.54935476016557094</v>
      </c>
      <c r="AG78" s="6"/>
      <c r="AH78" s="6">
        <f>(Influent[[#This Row],[NH4-N (mg L-1)]]*LTP[ARE 
(%)])*24/LTP[[#This Row],[HRT 
(h)]]/1000</f>
        <v>0.28537506425344261</v>
      </c>
      <c r="AI78" s="6">
        <f>Influent[[#This Row],[TN (mg L-1)]]/LTP[[#This Row],[HRT 
(h)]]*24/1000</f>
        <v>0.32525432594756915</v>
      </c>
      <c r="AJ78" s="6">
        <f>(Influent[[#This Row],[NH4-N (mg L-1)]])*LTP[NRE 
(%)]/LTP[[#This Row],[HRT 
(h)]]*24/1000</f>
        <v>4.4901272246292992E-2</v>
      </c>
      <c r="AK78" s="26">
        <f>1-(LTP[[#This Row],[NH4-N 
(mg L-1)]]/Influent[[#This Row],[NH4-N (mg L-1)]])</f>
        <v>0.89030616432734133</v>
      </c>
      <c r="AL78" s="26">
        <f>1-(LTP[[#This Row],[TN 
(mg L-1)]]/Influent[[#This Row],[TN (mg L-1)]])</f>
        <v>0.14008189388093173</v>
      </c>
    </row>
    <row r="79" spans="1:38" x14ac:dyDescent="0.3">
      <c r="A79" s="128">
        <v>43402</v>
      </c>
      <c r="B79" s="29">
        <v>76</v>
      </c>
      <c r="C79" s="28">
        <v>527.9</v>
      </c>
      <c r="D79" s="28">
        <f>24/(LTP[[#This Row],[Cycle duration 
(h)]]+2)</f>
        <v>4</v>
      </c>
      <c r="E79" s="137">
        <v>4</v>
      </c>
      <c r="F79" s="42">
        <f>Information!$R$61/(LTP[Flow 
(m3 d-1)]/24*LTP[[#This Row],[Cycles per day]]*LTP[[#This Row],[Cycle duration 
(h)]])*24</f>
        <v>100.82727789354044</v>
      </c>
      <c r="G79" s="27">
        <v>26.88</v>
      </c>
      <c r="H79" s="27">
        <v>7.26</v>
      </c>
      <c r="I79" s="27">
        <v>3.5</v>
      </c>
      <c r="J79" s="27">
        <v>54.54</v>
      </c>
      <c r="K79" s="27"/>
      <c r="L79" s="27"/>
      <c r="M79">
        <v>14700</v>
      </c>
      <c r="N79" s="29">
        <f>LTP[[#This Row],[COD 
(mg L-1)]]*Information!$AK$44</f>
        <v>3969.0000000000005</v>
      </c>
      <c r="O79">
        <v>1555</v>
      </c>
      <c r="P79">
        <v>8.1999999999999993</v>
      </c>
      <c r="Q79">
        <v>11800</v>
      </c>
      <c r="S79">
        <v>17.100000000000001</v>
      </c>
      <c r="T79">
        <v>37</v>
      </c>
      <c r="U79" s="6"/>
      <c r="V79" s="20"/>
      <c r="W79" s="6"/>
      <c r="X79">
        <v>82.66</v>
      </c>
      <c r="Y79">
        <v>992.51</v>
      </c>
      <c r="Z79" s="6">
        <f>IF(LTP[[#This Row],[TON 
(mg L-1)]]-LTP[[#This Row],[NO2-N 
(mg L-1)]]&lt;0,0.2,LTP[[#This Row],[TON 
(mg L-1)]]-LTP[[#This Row],[NO2-N 
(mg L-1)]])</f>
        <v>0.2</v>
      </c>
      <c r="AA79" s="4">
        <f>SUM(LTP[[#This Row],[NH4-N 
(mg L-1)]:[NO3-N 
(mg L-1)]])</f>
        <v>1075.3700000000001</v>
      </c>
      <c r="AB79" s="21">
        <f>LTP[[#This Row],[NO3-N 
(mg L-1)]]/(Influent[[#This Row],[NH4-N (mg L-1)]]-LTP[[#This Row],[NH4-N 
(mg L-1)]])</f>
        <v>1.7143248988548313E-4</v>
      </c>
      <c r="AC79" s="6">
        <f>LTP[[#This Row],[NO2-N 
(mg L-1)]]/(Influent[[#This Row],[NH4-N (mg L-1)]]-LTP[[#This Row],[NH4-N 
(mg L-1)]])</f>
        <v>0.85074230268120421</v>
      </c>
      <c r="AD79" s="20">
        <f>46/14*LTP[[#This Row],[NO2-N 
(mg L-1)]]/(EXP(-2300/(273+LTP[[#This Row],[Temp. 
(°C)]]))*10^LTP[[#This Row],[pHreactor]])</f>
        <v>0.38396185790709636</v>
      </c>
      <c r="AE79" s="19">
        <f>17/14*(LTP[[#This Row],[NH4-N 
(mg L-1)]]*10^LTP[[#This Row],[pHeff]])/(EXP(6344/(273+LTP[[#This Row],[Temp. 
(°C)]]))+10^LTP[[#This Row],[pHreactor]])</f>
        <v>10.208440058709815</v>
      </c>
      <c r="AF79" s="20">
        <f>Influent[[#This Row],[sCOD (mg L-1)]]/LTP[[#This Row],[HRT 
(h)]]*24/1000</f>
        <v>0.47987014041068093</v>
      </c>
      <c r="AG79" s="6"/>
      <c r="AH79" s="6">
        <f>(Influent[[#This Row],[NH4-N (mg L-1)]]*LTP[ARE 
(%)])*24/LTP[[#This Row],[HRT 
(h)]]/1000</f>
        <v>0.27769628006384761</v>
      </c>
      <c r="AI79" s="6">
        <f>Influent[[#This Row],[TN (mg L-1)]]/LTP[[#This Row],[HRT 
(h)]]*24/1000</f>
        <v>0.3003948994039084</v>
      </c>
      <c r="AJ79" s="6">
        <f>(Influent[[#This Row],[NH4-N (mg L-1)]])*LTP[NRE 
(%)]/LTP[[#This Row],[HRT 
(h)]]*24/1000</f>
        <v>4.3976639603474615E-2</v>
      </c>
      <c r="AK79" s="26">
        <f>1-(LTP[[#This Row],[NH4-N 
(mg L-1)]]/Influent[[#This Row],[NH4-N (mg L-1)]])</f>
        <v>0.93383494757063956</v>
      </c>
      <c r="AL79" s="26">
        <f>1-(LTP[[#This Row],[TN 
(mg L-1)]]/Influent[[#This Row],[TN (mg L-1)]])</f>
        <v>0.14788431061806651</v>
      </c>
    </row>
    <row r="80" spans="1:38" x14ac:dyDescent="0.3">
      <c r="A80" s="128">
        <v>43403</v>
      </c>
      <c r="B80" s="29">
        <v>77</v>
      </c>
      <c r="C80" s="28">
        <v>382.5</v>
      </c>
      <c r="D80" s="28">
        <f>24/(LTP[[#This Row],[Cycle duration 
(h)]]+2)</f>
        <v>4</v>
      </c>
      <c r="E80" s="137">
        <v>4</v>
      </c>
      <c r="F80" s="42">
        <f>Information!$R$61/(LTP[Flow 
(m3 d-1)]/24*LTP[[#This Row],[Cycles per day]]*LTP[[#This Row],[Cycle duration 
(h)]])*24</f>
        <v>139.15482352941177</v>
      </c>
      <c r="G80" s="27">
        <v>25.71</v>
      </c>
      <c r="H80" s="27">
        <v>7.52</v>
      </c>
      <c r="I80" s="27">
        <v>3.5</v>
      </c>
      <c r="J80" s="27">
        <v>48.36</v>
      </c>
      <c r="K80" s="27"/>
      <c r="L80" s="27"/>
      <c r="M80">
        <v>14075</v>
      </c>
      <c r="N80" s="29">
        <f>LTP[[#This Row],[COD 
(mg L-1)]]*Information!$AK$44</f>
        <v>3800.2500000000005</v>
      </c>
      <c r="O80">
        <v>1266</v>
      </c>
      <c r="P80">
        <v>8.1999999999999993</v>
      </c>
      <c r="Q80">
        <v>11920</v>
      </c>
      <c r="S80">
        <v>15.78</v>
      </c>
      <c r="T80">
        <v>36.4</v>
      </c>
      <c r="X80">
        <v>130.07</v>
      </c>
      <c r="Y80">
        <v>858.56</v>
      </c>
      <c r="Z80" s="6">
        <f>IF(LTP[[#This Row],[TON 
(mg L-1)]]-LTP[[#This Row],[NO2-N 
(mg L-1)]]&lt;0,0.2,LTP[[#This Row],[TON 
(mg L-1)]]-LTP[[#This Row],[NO2-N 
(mg L-1)]])</f>
        <v>0.2</v>
      </c>
      <c r="AA80" s="4">
        <f>SUM(LTP[[#This Row],[NH4-N 
(mg L-1)]:[NO3-N 
(mg L-1)]])</f>
        <v>988.82999999999993</v>
      </c>
      <c r="AB80" s="21">
        <f>LTP[[#This Row],[NO3-N 
(mg L-1)]]/(Influent[[#This Row],[NH4-N (mg L-1)]]-LTP[[#This Row],[NH4-N 
(mg L-1)]])</f>
        <v>1.7017945423449028E-4</v>
      </c>
      <c r="AC80" s="6">
        <f>LTP[[#This Row],[NO2-N 
(mg L-1)]]/(Influent[[#This Row],[NH4-N (mg L-1)]]-LTP[[#This Row],[NH4-N 
(mg L-1)]])</f>
        <v>0.73054636113781979</v>
      </c>
      <c r="AD80" s="20">
        <f>46/14*LTP[[#This Row],[NO2-N 
(mg L-1)]]/(EXP(-2300/(273+LTP[[#This Row],[Temp. 
(°C)]]))*10^LTP[[#This Row],[pHreactor]])</f>
        <v>0.18809209613956171</v>
      </c>
      <c r="AE80" s="19">
        <f>17/14*(LTP[[#This Row],[NH4-N 
(mg L-1)]]*10^LTP[[#This Row],[pHeff]])/(EXP(6344/(273+LTP[[#This Row],[Temp. 
(°C)]]))+10^LTP[[#This Row],[pHreactor]])</f>
        <v>14.670508373589795</v>
      </c>
      <c r="AF80" s="20">
        <f>Influent[[#This Row],[sCOD (mg L-1)]]/LTP[[#This Row],[HRT 
(h)]]*24/1000</f>
        <v>0.39969868517165807</v>
      </c>
      <c r="AG80" s="6"/>
      <c r="AH80" s="6">
        <f>(Influent[[#This Row],[NH4-N (mg L-1)]]*LTP[ARE 
(%)])*24/LTP[[#This Row],[HRT 
(h)]]/1000</f>
        <v>0.20269164434704973</v>
      </c>
      <c r="AI80" s="6">
        <f>Influent[[#This Row],[TN (mg L-1)]]/LTP[[#This Row],[HRT 
(h)]]*24/1000</f>
        <v>0.22515928090252413</v>
      </c>
      <c r="AJ80" s="6">
        <f>(Influent[[#This Row],[NH4-N (mg L-1)]])*LTP[NRE 
(%)]/LTP[[#This Row],[HRT 
(h)]]*24/1000</f>
        <v>5.4607634073669142E-2</v>
      </c>
      <c r="AK80" s="26">
        <f>1-(LTP[[#This Row],[NH4-N 
(mg L-1)]]/Influent[[#This Row],[NH4-N (mg L-1)]])</f>
        <v>0.90035240940779904</v>
      </c>
      <c r="AL80" s="26">
        <f>1-(LTP[[#This Row],[TN 
(mg L-1)]]/Influent[[#This Row],[TN (mg L-1)]])</f>
        <v>0.24256606664113367</v>
      </c>
    </row>
    <row r="81" spans="1:38" x14ac:dyDescent="0.3">
      <c r="A81" s="128">
        <v>43404</v>
      </c>
      <c r="B81" s="29">
        <v>78</v>
      </c>
      <c r="C81" s="28">
        <v>409.4</v>
      </c>
      <c r="D81" s="28">
        <f>24/(LTP[[#This Row],[Cycle duration 
(h)]]+2)</f>
        <v>4</v>
      </c>
      <c r="E81" s="137">
        <v>4</v>
      </c>
      <c r="F81" s="42">
        <f>Information!$R$61/(LTP[Flow 
(m3 d-1)]/24*LTP[[#This Row],[Cycles per day]]*LTP[[#This Row],[Cycle duration 
(h)]])*24</f>
        <v>130.01152906692721</v>
      </c>
      <c r="G81" s="27">
        <v>25.2</v>
      </c>
      <c r="H81" s="27">
        <v>7.64</v>
      </c>
      <c r="I81" s="27">
        <v>3.5</v>
      </c>
      <c r="J81" s="27">
        <v>70.209999999999994</v>
      </c>
      <c r="K81" s="27"/>
      <c r="L81" s="27"/>
      <c r="M81">
        <v>14175</v>
      </c>
      <c r="N81" s="29">
        <f>LTP[[#This Row],[COD 
(mg L-1)]]*Information!$AK$44</f>
        <v>3827.2500000000005</v>
      </c>
      <c r="O81">
        <v>1139</v>
      </c>
      <c r="P81">
        <v>7.9</v>
      </c>
      <c r="Q81">
        <v>10280</v>
      </c>
      <c r="S81">
        <v>14.83</v>
      </c>
      <c r="T81">
        <v>35.5</v>
      </c>
      <c r="X81">
        <v>123.09</v>
      </c>
      <c r="Y81">
        <v>931.04</v>
      </c>
      <c r="Z81" s="6">
        <f>IF(LTP[[#This Row],[TON 
(mg L-1)]]-LTP[[#This Row],[NO2-N 
(mg L-1)]]&lt;0,0.2,LTP[[#This Row],[TON 
(mg L-1)]]-LTP[[#This Row],[NO2-N 
(mg L-1)]])</f>
        <v>0.2</v>
      </c>
      <c r="AA81" s="4">
        <f>SUM(LTP[[#This Row],[NH4-N 
(mg L-1)]:[NO3-N 
(mg L-1)]])</f>
        <v>1054.33</v>
      </c>
      <c r="AB81" s="21">
        <f>LTP[[#This Row],[NO3-N 
(mg L-1)]]/(Influent[[#This Row],[NH4-N (mg L-1)]]-LTP[[#This Row],[NH4-N 
(mg L-1)]])</f>
        <v>1.714956997453289E-4</v>
      </c>
      <c r="AC81" s="6">
        <f>LTP[[#This Row],[NO2-N 
(mg L-1)]]/(Influent[[#This Row],[NH4-N (mg L-1)]]-LTP[[#This Row],[NH4-N 
(mg L-1)]])</f>
        <v>0.79834678145445492</v>
      </c>
      <c r="AD81" s="20">
        <f>46/14*LTP[[#This Row],[NO2-N 
(mg L-1)]]/(EXP(-2300/(273+LTP[[#This Row],[Temp. 
(°C)]]))*10^LTP[[#This Row],[pHreactor]])</f>
        <v>0.15677878655758026</v>
      </c>
      <c r="AE81" s="19">
        <f>17/14*(LTP[[#This Row],[NH4-N 
(mg L-1)]]*10^LTP[[#This Row],[pHeff]])/(EXP(6344/(273+LTP[[#This Row],[Temp. 
(°C)]]))+10^LTP[[#This Row],[pHreactor]])</f>
        <v>6.6747672866634007</v>
      </c>
      <c r="AF81" s="20">
        <f>Influent[[#This Row],[sCOD (mg L-1)]]/LTP[[#This Row],[HRT 
(h)]]*24/1000</f>
        <v>0.40537943348754163</v>
      </c>
      <c r="AG81" s="6"/>
      <c r="AH81" s="6">
        <f>(Influent[[#This Row],[NH4-N (mg L-1)]]*LTP[ARE 
(%)])*24/LTP[[#This Row],[HRT 
(h)]]/1000</f>
        <v>0.2152812154496839</v>
      </c>
      <c r="AI81" s="6">
        <f>Influent[[#This Row],[TN (mg L-1)]]/LTP[[#This Row],[HRT 
(h)]]*24/1000</f>
        <v>0.2380404278152026</v>
      </c>
      <c r="AJ81" s="6">
        <f>(Influent[[#This Row],[NH4-N (mg L-1)]])*LTP[NRE 
(%)]/LTP[[#This Row],[HRT 
(h)]]*24/1000</f>
        <v>4.3405416812178091E-2</v>
      </c>
      <c r="AK81" s="26">
        <f>1-(LTP[[#This Row],[NH4-N 
(mg L-1)]]/Influent[[#This Row],[NH4-N (mg L-1)]])</f>
        <v>0.9045295896998371</v>
      </c>
      <c r="AL81" s="26">
        <f>1-(LTP[[#This Row],[TN 
(mg L-1)]]/Influent[[#This Row],[TN (mg L-1)]])</f>
        <v>0.18237301279565732</v>
      </c>
    </row>
    <row r="82" spans="1:38" x14ac:dyDescent="0.3">
      <c r="A82" s="128">
        <v>43405</v>
      </c>
      <c r="B82" s="29">
        <v>79</v>
      </c>
      <c r="C82" s="28"/>
      <c r="D82" s="28"/>
      <c r="E82" s="137"/>
      <c r="F82" s="42"/>
      <c r="G82" s="27"/>
      <c r="H82" s="27"/>
      <c r="I82" s="27"/>
      <c r="J82" s="27"/>
      <c r="K82" s="27"/>
      <c r="L82" s="27"/>
      <c r="Z82" s="6"/>
      <c r="AA82" s="4"/>
      <c r="AB82" s="21"/>
      <c r="AC82" s="6"/>
      <c r="AD82" s="20"/>
      <c r="AE82" s="19"/>
      <c r="AF82" s="20"/>
      <c r="AG82" s="6"/>
      <c r="AH82" s="6"/>
      <c r="AI82" s="6"/>
      <c r="AJ82" s="6"/>
      <c r="AK82" s="26"/>
      <c r="AL82" s="26"/>
    </row>
    <row r="83" spans="1:38" x14ac:dyDescent="0.3">
      <c r="A83" s="128">
        <v>43406</v>
      </c>
      <c r="B83" s="29">
        <v>80</v>
      </c>
      <c r="C83" s="28"/>
      <c r="D83" s="28"/>
      <c r="E83" s="137"/>
      <c r="F83" s="42"/>
      <c r="G83" s="27"/>
      <c r="H83" s="27"/>
      <c r="I83" s="27"/>
      <c r="J83" s="27"/>
      <c r="K83" s="27"/>
      <c r="L83" s="27"/>
      <c r="Z83" s="6"/>
      <c r="AA83" s="4"/>
      <c r="AB83" s="21"/>
      <c r="AC83" s="6"/>
      <c r="AD83" s="20"/>
      <c r="AE83" s="19"/>
      <c r="AF83" s="20"/>
      <c r="AG83" s="6"/>
      <c r="AH83" s="6"/>
      <c r="AI83" s="6"/>
      <c r="AJ83" s="6"/>
      <c r="AK83" s="26"/>
      <c r="AL83" s="26"/>
    </row>
    <row r="84" spans="1:38" x14ac:dyDescent="0.3">
      <c r="A84" s="128">
        <v>43407</v>
      </c>
      <c r="B84" s="29">
        <v>81</v>
      </c>
      <c r="C84" s="28"/>
      <c r="D84" s="28"/>
      <c r="E84" s="137"/>
      <c r="F84" s="42"/>
      <c r="G84" s="27"/>
      <c r="H84" s="27"/>
      <c r="I84" s="27"/>
      <c r="J84" s="27"/>
      <c r="K84" s="27"/>
      <c r="L84" s="27"/>
      <c r="Z84" s="6"/>
      <c r="AA84" s="4"/>
      <c r="AB84" s="21"/>
      <c r="AC84" s="6"/>
      <c r="AD84" s="20"/>
      <c r="AE84" s="19"/>
      <c r="AF84" s="20"/>
      <c r="AG84" s="6"/>
      <c r="AH84" s="6"/>
      <c r="AI84" s="6"/>
      <c r="AJ84" s="6"/>
      <c r="AK84" s="26"/>
      <c r="AL84" s="26"/>
    </row>
    <row r="85" spans="1:38" x14ac:dyDescent="0.3">
      <c r="A85" s="128">
        <v>43408</v>
      </c>
      <c r="B85" s="29">
        <v>82</v>
      </c>
      <c r="C85" s="29">
        <v>403</v>
      </c>
      <c r="D85" s="28">
        <f>24/(LTP[[#This Row],[Cycle duration 
(h)]]+2)</f>
        <v>4</v>
      </c>
      <c r="E85" s="28">
        <v>4</v>
      </c>
      <c r="F85" s="42">
        <f>Information!$R$61/(LTP[Flow 
(m3 d-1)]/24*LTP[[#This Row],[Cycles per day]]*LTP[[#This Row],[Cycle duration 
(h)]])*24</f>
        <v>132.07622828784119</v>
      </c>
      <c r="G85" s="27">
        <v>25</v>
      </c>
      <c r="H85" s="27">
        <v>7.35</v>
      </c>
      <c r="I85" s="27">
        <v>3.5</v>
      </c>
      <c r="J85" s="27">
        <v>62.36</v>
      </c>
      <c r="K85" s="27"/>
      <c r="L85" s="27"/>
      <c r="M85">
        <v>13475</v>
      </c>
      <c r="N85" s="29">
        <f>LTP[[#This Row],[COD 
(mg L-1)]]*Information!$AK$44</f>
        <v>3638.2500000000005</v>
      </c>
      <c r="O85">
        <v>1007</v>
      </c>
      <c r="P85">
        <v>8.5</v>
      </c>
      <c r="Q85">
        <v>9880</v>
      </c>
      <c r="S85">
        <v>12.57</v>
      </c>
      <c r="T85">
        <v>48.3</v>
      </c>
      <c r="X85">
        <v>258.89999999999998</v>
      </c>
      <c r="Y85">
        <v>602.46</v>
      </c>
      <c r="Z85" s="6">
        <f>IF(LTP[[#This Row],[TON 
(mg L-1)]]-LTP[[#This Row],[NO2-N 
(mg L-1)]]&lt;0,0.2,LTP[[#This Row],[TON 
(mg L-1)]]-LTP[[#This Row],[NO2-N 
(mg L-1)]])</f>
        <v>0.2</v>
      </c>
      <c r="AA85" s="4">
        <f>SUM(LTP[[#This Row],[NH4-N 
(mg L-1)]:[NO3-N 
(mg L-1)]])</f>
        <v>861.56000000000006</v>
      </c>
      <c r="AB85" s="21">
        <f>LTP[[#This Row],[NO3-N 
(mg L-1)]]/(Influent[[#This Row],[NH4-N (mg L-1)]]-LTP[[#This Row],[NH4-N 
(mg L-1)]])</f>
        <v>1.7369403795214732E-4</v>
      </c>
      <c r="AC85" s="6">
        <f>LTP[[#This Row],[NO2-N 
(mg L-1)]]/(Influent[[#This Row],[NH4-N (mg L-1)]]-LTP[[#This Row],[NH4-N 
(mg L-1)]])</f>
        <v>0.52321855052325339</v>
      </c>
      <c r="AD85" s="20">
        <f>46/14*LTP[[#This Row],[NO2-N 
(mg L-1)]]/(EXP(-2300/(273+LTP[[#This Row],[Temp. 
(°C)]]))*10^LTP[[#This Row],[pHreactor]])</f>
        <v>0.19883612456897581</v>
      </c>
      <c r="AE85" s="19">
        <f>17/14*(LTP[[#This Row],[NH4-N 
(mg L-1)]]*10^LTP[[#This Row],[pHeff]])/(EXP(6344/(273+LTP[[#This Row],[Temp. 
(°C)]]))+10^LTP[[#This Row],[pHreactor]])</f>
        <v>55.775847686204074</v>
      </c>
      <c r="AF85" s="20">
        <f>Influent[[#This Row],[sCOD (mg L-1)]]/LTP[[#This Row],[HRT 
(h)]]*24/1000</f>
        <v>0.48980805129453781</v>
      </c>
      <c r="AG85" s="6"/>
      <c r="AH85" s="6">
        <f>(Influent[[#This Row],[NH4-N (mg L-1)]]*LTP[ARE 
(%)])*24/LTP[[#This Row],[HRT 
(h)]]/1000</f>
        <v>0.20923371569767968</v>
      </c>
      <c r="AI85" s="6">
        <f>Influent[[#This Row],[TN (mg L-1)]]/LTP[[#This Row],[HRT 
(h)]]*24/1000</f>
        <v>0.25631561741922104</v>
      </c>
      <c r="AJ85" s="6">
        <f>(Influent[[#This Row],[NH4-N (mg L-1)]])*LTP[NRE 
(%)]/LTP[[#This Row],[HRT 
(h)]]*24/1000</f>
        <v>9.974460958925821E-2</v>
      </c>
      <c r="AK85" s="26">
        <f>1-(LTP[[#This Row],[NH4-N 
(mg L-1)]]/Influent[[#This Row],[NH4-N (mg L-1)]])</f>
        <v>0.81642854610557669</v>
      </c>
      <c r="AL85" s="26">
        <f>1-(LTP[[#This Row],[TN 
(mg L-1)]]/Influent[[#This Row],[TN (mg L-1)]])</f>
        <v>0.38920279323668061</v>
      </c>
    </row>
    <row r="86" spans="1:38" x14ac:dyDescent="0.3">
      <c r="A86" s="128">
        <v>43409</v>
      </c>
      <c r="B86" s="29">
        <v>83</v>
      </c>
      <c r="C86" s="29">
        <v>403</v>
      </c>
      <c r="D86" s="28">
        <f>24/(LTP[[#This Row],[Cycle duration 
(h)]]+2)</f>
        <v>4</v>
      </c>
      <c r="E86" s="28">
        <v>4</v>
      </c>
      <c r="F86" s="42">
        <f>Information!$R$61/(LTP[Flow 
(m3 d-1)]/24*LTP[[#This Row],[Cycles per day]]*LTP[[#This Row],[Cycle duration 
(h)]])*24</f>
        <v>132.07622828784119</v>
      </c>
      <c r="G86" s="27">
        <v>26.13</v>
      </c>
      <c r="H86" s="27">
        <v>7.36</v>
      </c>
      <c r="I86" s="27">
        <v>3.5</v>
      </c>
      <c r="J86" s="27">
        <v>60.2</v>
      </c>
      <c r="K86" s="27"/>
      <c r="L86" s="27"/>
      <c r="M86">
        <v>12275</v>
      </c>
      <c r="N86" s="29">
        <f>LTP[[#This Row],[COD 
(mg L-1)]]*Information!$AK$44</f>
        <v>3314.25</v>
      </c>
      <c r="O86">
        <v>1131</v>
      </c>
      <c r="P86">
        <v>8.6999999999999993</v>
      </c>
      <c r="Q86">
        <v>10000</v>
      </c>
      <c r="S86">
        <v>13.71</v>
      </c>
      <c r="T86">
        <v>489.6</v>
      </c>
      <c r="X86">
        <v>374.74</v>
      </c>
      <c r="Y86">
        <v>454.5</v>
      </c>
      <c r="Z86" s="6">
        <f>IF(LTP[[#This Row],[TON 
(mg L-1)]]-LTP[[#This Row],[NO2-N 
(mg L-1)]]&lt;0,0.2,LTP[[#This Row],[TON 
(mg L-1)]]-LTP[[#This Row],[NO2-N 
(mg L-1)]])</f>
        <v>35.100000000000023</v>
      </c>
      <c r="AA86" s="4">
        <f>SUM(LTP[[#This Row],[NH4-N 
(mg L-1)]:[NO3-N 
(mg L-1)]])</f>
        <v>864.34</v>
      </c>
      <c r="AB86" s="21">
        <f>LTP[[#This Row],[NO3-N 
(mg L-1)]]/(Influent[[#This Row],[NH4-N (mg L-1)]]-LTP[[#This Row],[NH4-N 
(mg L-1)]])</f>
        <v>3.8820562732259797E-2</v>
      </c>
      <c r="AC86" s="6">
        <f>LTP[[#This Row],[NO2-N 
(mg L-1)]]/(Influent[[#This Row],[NH4-N (mg L-1)]]-LTP[[#This Row],[NH4-N 
(mg L-1)]])</f>
        <v>0.5026765174305432</v>
      </c>
      <c r="AD86" s="20">
        <f>46/14*LTP[[#This Row],[NO2-N 
(mg L-1)]]/(EXP(-2300/(273+LTP[[#This Row],[Temp. 
(°C)]]))*10^LTP[[#This Row],[pHreactor]])</f>
        <v>0.14237659709522513</v>
      </c>
      <c r="AE86" s="19">
        <f>17/14*(LTP[[#This Row],[NH4-N 
(mg L-1)]]*10^LTP[[#This Row],[pHeff]])/(EXP(6344/(273+LTP[[#This Row],[Temp. 
(°C)]]))+10^LTP[[#This Row],[pHreactor]])</f>
        <v>138.47652632506069</v>
      </c>
      <c r="AF86" s="20">
        <f>Influent[[#This Row],[sCOD (mg L-1)]]/LTP[[#This Row],[HRT 
(h)]]*24/1000</f>
        <v>0.41866731596461326</v>
      </c>
      <c r="AG86" s="6"/>
      <c r="AH86" s="6">
        <f>(Influent[[#This Row],[NH4-N (mg L-1)]]*LTP[ARE 
(%)])*24/LTP[[#This Row],[HRT 
(h)]]/1000</f>
        <v>0.16429784739694653</v>
      </c>
      <c r="AI86" s="6">
        <f>Influent[[#This Row],[TN (mg L-1)]]/LTP[[#This Row],[HRT 
(h)]]*24/1000</f>
        <v>0.23242941139337536</v>
      </c>
      <c r="AJ86" s="6">
        <f>(Influent[[#This Row],[NH4-N (mg L-1)]])*LTP[NRE 
(%)]/LTP[[#This Row],[HRT 
(h)]]*24/1000</f>
        <v>7.5355600963517858E-2</v>
      </c>
      <c r="AK86" s="26">
        <f>1-(LTP[[#This Row],[NH4-N 
(mg L-1)]]/Influent[[#This Row],[NH4-N (mg L-1)]])</f>
        <v>0.70698256314019869</v>
      </c>
      <c r="AL86" s="26">
        <f>1-(LTP[[#This Row],[TN 
(mg L-1)]]/Influent[[#This Row],[TN (mg L-1)]])</f>
        <v>0.32425924478148704</v>
      </c>
    </row>
    <row r="87" spans="1:38" x14ac:dyDescent="0.3">
      <c r="A87" s="128">
        <v>43410</v>
      </c>
      <c r="B87" s="29">
        <v>84</v>
      </c>
      <c r="C87" s="29">
        <v>324.3</v>
      </c>
      <c r="D87" s="28">
        <f>24/(LTP[[#This Row],[Cycle duration 
(h)]]+2)</f>
        <v>4</v>
      </c>
      <c r="E87" s="28">
        <v>4</v>
      </c>
      <c r="F87" s="42">
        <f>Information!$R$61/(LTP[Flow 
(m3 d-1)]/24*LTP[[#This Row],[Cycles per day]]*LTP[[#This Row],[Cycle duration 
(h)]])*24</f>
        <v>164.12802960222015</v>
      </c>
      <c r="G87" s="27">
        <v>26.69</v>
      </c>
      <c r="H87" s="27">
        <v>7.48</v>
      </c>
      <c r="I87" s="27">
        <v>3.5</v>
      </c>
      <c r="J87" s="27">
        <v>58.3</v>
      </c>
      <c r="K87" s="27"/>
      <c r="L87" s="27"/>
      <c r="M87">
        <v>19925</v>
      </c>
      <c r="N87" s="29">
        <f>LTP[[#This Row],[COD 
(mg L-1)]]*Information!$AK$44</f>
        <v>5379.75</v>
      </c>
      <c r="O87">
        <v>2477</v>
      </c>
      <c r="P87">
        <v>9</v>
      </c>
      <c r="Q87">
        <v>18640</v>
      </c>
      <c r="S87">
        <v>20.77</v>
      </c>
      <c r="T87">
        <v>416.4</v>
      </c>
      <c r="X87">
        <v>308.5</v>
      </c>
      <c r="Y87">
        <v>403.04</v>
      </c>
      <c r="Z87" s="6">
        <f>IF(LTP[[#This Row],[TON 
(mg L-1)]]-LTP[[#This Row],[NO2-N 
(mg L-1)]]&lt;0,0.2,LTP[[#This Row],[TON 
(mg L-1)]]-LTP[[#This Row],[NO2-N 
(mg L-1)]])</f>
        <v>13.359999999999957</v>
      </c>
      <c r="AA87" s="4">
        <f>SUM(LTP[[#This Row],[NH4-N 
(mg L-1)]:[NO3-N 
(mg L-1)]])</f>
        <v>724.89999999999986</v>
      </c>
      <c r="AB87" s="21">
        <f>LTP[[#This Row],[NO3-N 
(mg L-1)]]/(Influent[[#This Row],[NH4-N (mg L-1)]]-LTP[[#This Row],[NH4-N 
(mg L-1)]])</f>
        <v>1.4509122502171979E-2</v>
      </c>
      <c r="AC87" s="6">
        <f>LTP[[#This Row],[NO2-N 
(mg L-1)]]/(Influent[[#This Row],[NH4-N (mg L-1)]]-LTP[[#This Row],[NH4-N 
(mg L-1)]])</f>
        <v>0.43770634231103395</v>
      </c>
      <c r="AD87" s="20">
        <f>46/14*LTP[[#This Row],[NO2-N 
(mg L-1)]]/(EXP(-2300/(273+LTP[[#This Row],[Temp. 
(°C)]]))*10^LTP[[#This Row],[pHreactor]])</f>
        <v>9.4408937588863109E-2</v>
      </c>
      <c r="AE87" s="19">
        <f>17/14*(LTP[[#This Row],[NH4-N 
(mg L-1)]]*10^LTP[[#This Row],[pHeff]])/(EXP(6344/(273+LTP[[#This Row],[Temp. 
(°C)]]))+10^LTP[[#This Row],[pHreactor]])</f>
        <v>235.43629922516712</v>
      </c>
      <c r="AF87" s="20">
        <f>Influent[[#This Row],[sCOD (mg L-1)]]/LTP[[#This Row],[HRT 
(h)]]*24/1000</f>
        <v>0.32637935232529836</v>
      </c>
      <c r="AG87" s="6"/>
      <c r="AH87" s="6">
        <f>(Influent[[#This Row],[NH4-N (mg L-1)]]*LTP[ARE 
(%)])*24/LTP[[#This Row],[HRT 
(h)]]/1000</f>
        <v>0.13464610556502446</v>
      </c>
      <c r="AI87" s="6">
        <f>Influent[[#This Row],[TN (mg L-1)]]/LTP[[#This Row],[HRT 
(h)]]*24/1000</f>
        <v>0.17978647566485406</v>
      </c>
      <c r="AJ87" s="6">
        <f>(Influent[[#This Row],[NH4-N (mg L-1)]])*LTP[NRE 
(%)]/LTP[[#This Row],[HRT 
(h)]]*24/1000</f>
        <v>7.3774297161872893E-2</v>
      </c>
      <c r="AK87" s="26">
        <f>1-(LTP[[#This Row],[NH4-N 
(mg L-1)]]/Influent[[#This Row],[NH4-N (mg L-1)]])</f>
        <v>0.74904417147970381</v>
      </c>
      <c r="AL87" s="26">
        <f>1-(LTP[[#This Row],[TN 
(mg L-1)]]/Influent[[#This Row],[TN (mg L-1)]])</f>
        <v>0.41041073607157397</v>
      </c>
    </row>
    <row r="88" spans="1:38" x14ac:dyDescent="0.3">
      <c r="A88" s="128">
        <v>43411</v>
      </c>
      <c r="B88" s="29">
        <v>85</v>
      </c>
      <c r="C88" s="29">
        <v>295.10000000000002</v>
      </c>
      <c r="D88" s="28">
        <f>24/(LTP[[#This Row],[Cycle duration 
(h)]]+2)</f>
        <v>4</v>
      </c>
      <c r="E88" s="28">
        <v>4</v>
      </c>
      <c r="F88" s="42">
        <f>Information!$R$61/(LTP[Flow 
(m3 d-1)]/24*LTP[[#This Row],[Cycles per day]]*LTP[[#This Row],[Cycle duration 
(h)]])*24</f>
        <v>180.36841748559809</v>
      </c>
      <c r="G88" s="27">
        <v>27.07</v>
      </c>
      <c r="H88" s="27">
        <v>7.36</v>
      </c>
      <c r="I88" s="27">
        <v>3.5</v>
      </c>
      <c r="J88" s="27">
        <v>55.92</v>
      </c>
      <c r="K88" s="27"/>
      <c r="L88" s="27"/>
      <c r="M88">
        <v>12725</v>
      </c>
      <c r="N88" s="29">
        <f>LTP[[#This Row],[COD 
(mg L-1)]]*Information!$AK$44</f>
        <v>3435.75</v>
      </c>
      <c r="O88">
        <v>990</v>
      </c>
      <c r="P88">
        <v>8.5</v>
      </c>
      <c r="Q88">
        <v>11260</v>
      </c>
      <c r="S88">
        <v>14.23</v>
      </c>
      <c r="T88">
        <v>711.6</v>
      </c>
      <c r="X88">
        <v>175.47</v>
      </c>
      <c r="Y88">
        <v>699.26</v>
      </c>
      <c r="Z88" s="6">
        <f>IF(LTP[[#This Row],[TON 
(mg L-1)]]-LTP[[#This Row],[NO2-N 
(mg L-1)]]&lt;0,0.2,LTP[[#This Row],[TON 
(mg L-1)]]-LTP[[#This Row],[NO2-N 
(mg L-1)]])</f>
        <v>12.340000000000032</v>
      </c>
      <c r="AA88" s="4">
        <f>SUM(LTP[[#This Row],[NH4-N 
(mg L-1)]:[NO3-N 
(mg L-1)]])</f>
        <v>887.07</v>
      </c>
      <c r="AB88" s="21">
        <f>LTP[[#This Row],[NO3-N 
(mg L-1)]]/(Influent[[#This Row],[NH4-N (mg L-1)]]-LTP[[#This Row],[NH4-N 
(mg L-1)]])</f>
        <v>1.1503360584676509E-2</v>
      </c>
      <c r="AC88" s="6">
        <f>LTP[[#This Row],[NO2-N 
(mg L-1)]]/(Influent[[#This Row],[NH4-N (mg L-1)]]-LTP[[#This Row],[NH4-N 
(mg L-1)]])</f>
        <v>0.65185088512486833</v>
      </c>
      <c r="AD88" s="20">
        <f>46/14*LTP[[#This Row],[NO2-N 
(mg L-1)]]/(EXP(-2300/(273+LTP[[#This Row],[Temp. 
(°C)]]))*10^LTP[[#This Row],[pHreactor]])</f>
        <v>0.21383696727710103</v>
      </c>
      <c r="AE88" s="19">
        <f>17/14*(LTP[[#This Row],[NH4-N 
(mg L-1)]]*10^LTP[[#This Row],[pHeff]])/(EXP(6344/(273+LTP[[#This Row],[Temp. 
(°C)]]))+10^LTP[[#This Row],[pHreactor]])</f>
        <v>43.680472307176018</v>
      </c>
      <c r="AF88" s="20">
        <f>Influent[[#This Row],[sCOD (mg L-1)]]/LTP[[#This Row],[HRT 
(h)]]*24/1000</f>
        <v>0.28022644265887514</v>
      </c>
      <c r="AG88" s="6"/>
      <c r="AH88" s="6">
        <f>(Influent[[#This Row],[NH4-N (mg L-1)]]*LTP[ARE 
(%)])*24/LTP[[#This Row],[HRT 
(h)]]/1000</f>
        <v>0.14273851464076689</v>
      </c>
      <c r="AI88" s="6">
        <f>Influent[[#This Row],[TN (mg L-1)]]/LTP[[#This Row],[HRT 
(h)]]*24/1000</f>
        <v>0.16611333856378907</v>
      </c>
      <c r="AJ88" s="6">
        <f>(Influent[[#This Row],[NH4-N (mg L-1)]])*LTP[NRE 
(%)]/LTP[[#This Row],[HRT 
(h)]]*24/1000</f>
        <v>4.8071224637799462E-2</v>
      </c>
      <c r="AK88" s="26">
        <f>1-(LTP[[#This Row],[NH4-N 
(mg L-1)]]/Influent[[#This Row],[NH4-N (mg L-1)]])</f>
        <v>0.85942156705656148</v>
      </c>
      <c r="AL88" s="26">
        <f>1-(LTP[[#This Row],[TN 
(mg L-1)]]/Influent[[#This Row],[TN (mg L-1)]])</f>
        <v>0.28943447612944573</v>
      </c>
    </row>
    <row r="89" spans="1:38" x14ac:dyDescent="0.3">
      <c r="A89" s="128">
        <v>43412</v>
      </c>
      <c r="B89" s="29">
        <v>86</v>
      </c>
      <c r="C89" s="29">
        <v>282.3</v>
      </c>
      <c r="D89" s="28">
        <f>24/(LTP[[#This Row],[Cycle duration 
(h)]]+2)</f>
        <v>4</v>
      </c>
      <c r="E89" s="28">
        <v>4</v>
      </c>
      <c r="F89" s="42">
        <f>Information!$R$61/(LTP[Flow 
(m3 d-1)]/24*LTP[[#This Row],[Cycles per day]]*LTP[[#This Row],[Cycle duration 
(h)]])*24</f>
        <v>188.54665249734325</v>
      </c>
      <c r="G89" s="27">
        <v>26.09</v>
      </c>
      <c r="H89" s="27">
        <v>7.46</v>
      </c>
      <c r="I89" s="27">
        <v>3.5</v>
      </c>
      <c r="J89" s="27">
        <v>52.83</v>
      </c>
      <c r="K89" s="27"/>
      <c r="L89" s="27"/>
      <c r="M89">
        <v>9825</v>
      </c>
      <c r="N89" s="29">
        <f>LTP[[#This Row],[COD 
(mg L-1)]]*Information!$AK$44</f>
        <v>2652.75</v>
      </c>
      <c r="O89">
        <v>1411</v>
      </c>
      <c r="P89">
        <v>8.3000000000000007</v>
      </c>
      <c r="S89">
        <v>11.72</v>
      </c>
      <c r="T89">
        <v>41.8</v>
      </c>
      <c r="U89" s="6"/>
      <c r="V89" s="20"/>
      <c r="W89" s="6"/>
      <c r="X89">
        <v>104.01</v>
      </c>
      <c r="Y89">
        <v>905.16</v>
      </c>
      <c r="Z89" s="6">
        <f>IF(LTP[[#This Row],[TON 
(mg L-1)]]-LTP[[#This Row],[NO2-N 
(mg L-1)]]&lt;0,0.2,LTP[[#This Row],[TON 
(mg L-1)]]-LTP[[#This Row],[NO2-N 
(mg L-1)]])</f>
        <v>0.2</v>
      </c>
      <c r="AA89" s="4">
        <f>SUM(LTP[[#This Row],[NH4-N 
(mg L-1)]:[NO3-N 
(mg L-1)]])</f>
        <v>1009.37</v>
      </c>
      <c r="AB89" s="21">
        <f>LTP[[#This Row],[NO3-N 
(mg L-1)]]/(Influent[[#This Row],[NH4-N (mg L-1)]]-LTP[[#This Row],[NH4-N 
(mg L-1)]])</f>
        <v>1.9007973845027988E-4</v>
      </c>
      <c r="AC89" s="6">
        <f>LTP[[#This Row],[NO2-N 
(mg L-1)]]/(Influent[[#This Row],[NH4-N (mg L-1)]]-LTP[[#This Row],[NH4-N 
(mg L-1)]])</f>
        <v>0.86026288027827669</v>
      </c>
      <c r="AD89" s="20">
        <f>46/14*LTP[[#This Row],[NO2-N 
(mg L-1)]]/(EXP(-2300/(273+LTP[[#This Row],[Temp. 
(°C)]]))*10^LTP[[#This Row],[pHreactor]])</f>
        <v>0.22546371896171963</v>
      </c>
      <c r="AE89" s="19">
        <f>17/14*(LTP[[#This Row],[NH4-N 
(mg L-1)]]*10^LTP[[#This Row],[pHeff]])/(EXP(6344/(273+LTP[[#This Row],[Temp. 
(°C)]]))+10^LTP[[#This Row],[pHreactor]])</f>
        <v>15.203707023636074</v>
      </c>
      <c r="AF89" s="20">
        <f>Influent[[#This Row],[sCOD (mg L-1)]]/LTP[[#This Row],[HRT 
(h)]]*24/1000</f>
        <v>0.24229547114682251</v>
      </c>
      <c r="AG89" s="6"/>
      <c r="AH89" s="6">
        <f>(Influent[[#This Row],[NH4-N (mg L-1)]]*LTP[ARE 
(%)])*24/LTP[[#This Row],[HRT 
(h)]]/1000</f>
        <v>0.1339326880934989</v>
      </c>
      <c r="AI89" s="6">
        <f>Influent[[#This Row],[TN (mg L-1)]]/LTP[[#This Row],[HRT 
(h)]]*24/1000</f>
        <v>0.14741391391391395</v>
      </c>
      <c r="AJ89" s="6">
        <f>(Influent[[#This Row],[NH4-N (mg L-1)]])*LTP[NRE 
(%)]/LTP[[#This Row],[HRT 
(h)]]*24/1000</f>
        <v>1.8900700347252615E-2</v>
      </c>
      <c r="AK89" s="26">
        <f>1-(LTP[[#This Row],[NH4-N 
(mg L-1)]]/Influent[[#This Row],[NH4-N (mg L-1)]])</f>
        <v>0.91004151530877009</v>
      </c>
      <c r="AL89" s="26">
        <f>1-(LTP[[#This Row],[TN 
(mg L-1)]]/Influent[[#This Row],[TN (mg L-1)]])</f>
        <v>0.12842586995941641</v>
      </c>
    </row>
    <row r="90" spans="1:38" x14ac:dyDescent="0.3">
      <c r="A90" s="128">
        <v>43413</v>
      </c>
      <c r="B90" s="29">
        <v>87</v>
      </c>
      <c r="C90" s="29">
        <v>448.2</v>
      </c>
      <c r="D90" s="28">
        <f>24/(LTP[[#This Row],[Cycle duration 
(h)]]+2)</f>
        <v>4</v>
      </c>
      <c r="E90" s="28">
        <v>4</v>
      </c>
      <c r="F90" s="42">
        <f>Information!$R$61/(LTP[Flow 
(m3 d-1)]/24*LTP[[#This Row],[Cycles per day]]*LTP[[#This Row],[Cycle duration 
(h)]])*24</f>
        <v>118.75662650602411</v>
      </c>
      <c r="G90" s="27">
        <v>25.57</v>
      </c>
      <c r="H90" s="27">
        <v>7.76</v>
      </c>
      <c r="I90" s="27">
        <v>3.5</v>
      </c>
      <c r="J90" s="27">
        <v>51.65</v>
      </c>
      <c r="K90" s="27"/>
      <c r="L90" s="27"/>
      <c r="M90">
        <v>11950</v>
      </c>
      <c r="N90" s="29">
        <f>LTP[[#This Row],[COD 
(mg L-1)]]*Information!$AK$44</f>
        <v>3226.5</v>
      </c>
      <c r="O90">
        <v>1319</v>
      </c>
      <c r="P90">
        <v>8.1999999999999993</v>
      </c>
      <c r="S90">
        <v>13.06</v>
      </c>
      <c r="T90">
        <v>40.299999999999997</v>
      </c>
      <c r="U90" s="6"/>
      <c r="V90" s="20"/>
      <c r="W90" s="6"/>
      <c r="X90">
        <v>64.5</v>
      </c>
      <c r="Y90">
        <v>911.08</v>
      </c>
      <c r="Z90" s="6">
        <f>IF(LTP[[#This Row],[TON 
(mg L-1)]]-LTP[[#This Row],[NO2-N 
(mg L-1)]]&lt;0,0.2,LTP[[#This Row],[TON 
(mg L-1)]]-LTP[[#This Row],[NO2-N 
(mg L-1)]])</f>
        <v>0.2</v>
      </c>
      <c r="AA90" s="4">
        <f>SUM(LTP[[#This Row],[NH4-N 
(mg L-1)]:[NO3-N 
(mg L-1)]])</f>
        <v>975.78000000000009</v>
      </c>
      <c r="AB90" s="21">
        <f>LTP[[#This Row],[NO3-N 
(mg L-1)]]/(Influent[[#This Row],[NH4-N (mg L-1)]]-LTP[[#This Row],[NH4-N 
(mg L-1)]])</f>
        <v>1.6329196603527107E-4</v>
      </c>
      <c r="AC90" s="6">
        <f>LTP[[#This Row],[NO2-N 
(mg L-1)]]/(Influent[[#This Row],[NH4-N (mg L-1)]]-LTP[[#This Row],[NH4-N 
(mg L-1)]])</f>
        <v>0.74386022207707392</v>
      </c>
      <c r="AD90" s="20">
        <f>46/14*LTP[[#This Row],[NO2-N 
(mg L-1)]]/(EXP(-2300/(273+LTP[[#This Row],[Temp. 
(°C)]]))*10^LTP[[#This Row],[pHreactor]])</f>
        <v>0.11527215224983098</v>
      </c>
      <c r="AE90" s="19">
        <f>17/14*(LTP[[#This Row],[NH4-N 
(mg L-1)]]*10^LTP[[#This Row],[pHeff]])/(EXP(6344/(273+LTP[[#This Row],[Temp. 
(°C)]]))+10^LTP[[#This Row],[pHreactor]])</f>
        <v>7.1034891746079785</v>
      </c>
      <c r="AF90" s="20">
        <f>Influent[[#This Row],[sCOD (mg L-1)]]/LTP[[#This Row],[HRT 
(h)]]*24/1000</f>
        <v>0.39196128560993421</v>
      </c>
      <c r="AG90" s="6"/>
      <c r="AH90" s="6">
        <f>(Influent[[#This Row],[NH4-N (mg L-1)]]*LTP[ARE 
(%)])*24/LTP[[#This Row],[HRT 
(h)]]/1000</f>
        <v>0.24752471390309225</v>
      </c>
      <c r="AI90" s="6">
        <f>Influent[[#This Row],[TN (mg L-1)]]/LTP[[#This Row],[HRT 
(h)]]*24/1000</f>
        <v>0.26868395422449476</v>
      </c>
      <c r="AJ90" s="6">
        <f>(Influent[[#This Row],[NH4-N (mg L-1)]])*LTP[NRE 
(%)]/LTP[[#This Row],[HRT 
(h)]]*24/1000</f>
        <v>6.9323207193654701E-2</v>
      </c>
      <c r="AK90" s="26">
        <f>1-(LTP[[#This Row],[NH4-N 
(mg L-1)]]/Influent[[#This Row],[NH4-N (mg L-1)]])</f>
        <v>0.94997285348638794</v>
      </c>
      <c r="AL90" s="26">
        <f>1-(LTP[[#This Row],[TN 
(mg L-1)]]/Influent[[#This Row],[TN (mg L-1)]])</f>
        <v>0.26605490786009767</v>
      </c>
    </row>
    <row r="91" spans="1:38" x14ac:dyDescent="0.3">
      <c r="A91" s="128">
        <v>43414</v>
      </c>
      <c r="B91" s="29">
        <v>88</v>
      </c>
      <c r="C91" s="29">
        <v>470.2</v>
      </c>
      <c r="D91" s="28">
        <f>24/(LTP[[#This Row],[Cycle duration 
(h)]]+2)</f>
        <v>4</v>
      </c>
      <c r="E91" s="28">
        <v>4</v>
      </c>
      <c r="F91" s="42">
        <f>Information!$R$61/(LTP[Flow 
(m3 d-1)]/24*LTP[[#This Row],[Cycles per day]]*LTP[[#This Row],[Cycle duration 
(h)]])*24</f>
        <v>113.20017014036583</v>
      </c>
      <c r="G91" s="27">
        <v>25.51</v>
      </c>
      <c r="H91" s="27">
        <v>7.82</v>
      </c>
      <c r="I91" s="27">
        <v>3.5</v>
      </c>
      <c r="J91" s="27">
        <v>68.84</v>
      </c>
      <c r="K91" s="27"/>
      <c r="L91" s="27"/>
      <c r="M91">
        <v>12650</v>
      </c>
      <c r="N91" s="29">
        <f>LTP[[#This Row],[COD 
(mg L-1)]]*Information!$AK$44</f>
        <v>3415.5</v>
      </c>
      <c r="O91">
        <v>1020</v>
      </c>
      <c r="P91">
        <v>8.1</v>
      </c>
      <c r="S91">
        <v>13.35</v>
      </c>
      <c r="T91">
        <v>45.2</v>
      </c>
      <c r="U91" s="6"/>
      <c r="V91" s="20"/>
      <c r="W91" s="6"/>
      <c r="X91">
        <v>141.1</v>
      </c>
      <c r="Y91">
        <v>830.43</v>
      </c>
      <c r="Z91" s="6">
        <f>IF(LTP[[#This Row],[TON 
(mg L-1)]]-LTP[[#This Row],[NO2-N 
(mg L-1)]]&lt;0,0.2,LTP[[#This Row],[TON 
(mg L-1)]]-LTP[[#This Row],[NO2-N 
(mg L-1)]])</f>
        <v>0.2</v>
      </c>
      <c r="AA91" s="4">
        <f>SUM(LTP[[#This Row],[NH4-N 
(mg L-1)]:[NO3-N 
(mg L-1)]])</f>
        <v>971.73</v>
      </c>
      <c r="AB91" s="21">
        <f>LTP[[#This Row],[NO3-N 
(mg L-1)]]/(Influent[[#This Row],[NH4-N (mg L-1)]]-LTP[[#This Row],[NH4-N 
(mg L-1)]])</f>
        <v>1.7577781683951485E-4</v>
      </c>
      <c r="AC91" s="6">
        <f>LTP[[#This Row],[NO2-N 
(mg L-1)]]/(Influent[[#This Row],[NH4-N (mg L-1)]]-LTP[[#This Row],[NH4-N 
(mg L-1)]])</f>
        <v>0.72985586219019138</v>
      </c>
      <c r="AD91" s="20">
        <f>46/14*LTP[[#This Row],[NO2-N 
(mg L-1)]]/(EXP(-2300/(273+LTP[[#This Row],[Temp. 
(°C)]]))*10^LTP[[#This Row],[pHreactor]])</f>
        <v>9.1652299650178432E-2</v>
      </c>
      <c r="AE91" s="19">
        <f>17/14*(LTP[[#This Row],[NH4-N 
(mg L-1)]]*10^LTP[[#This Row],[pHeff]])/(EXP(6344/(273+LTP[[#This Row],[Temp. 
(°C)]]))+10^LTP[[#This Row],[pHreactor]])</f>
        <v>12.23320469051097</v>
      </c>
      <c r="AF91" s="20">
        <f>Influent[[#This Row],[sCOD (mg L-1)]]/LTP[[#This Row],[HRT 
(h)]]*24/1000</f>
        <v>0.38448705462218968</v>
      </c>
      <c r="AG91" s="6"/>
      <c r="AH91" s="6">
        <f>(Influent[[#This Row],[NH4-N (mg L-1)]]*LTP[ARE 
(%)])*24/LTP[[#This Row],[HRT 
(h)]]/1000</f>
        <v>0.24122931940949957</v>
      </c>
      <c r="AI91" s="6">
        <f>Influent[[#This Row],[TN (mg L-1)]]/LTP[[#This Row],[HRT 
(h)]]*24/1000</f>
        <v>0.27337061385710032</v>
      </c>
      <c r="AJ91" s="6">
        <f>(Influent[[#This Row],[NH4-N (mg L-1)]])*LTP[NRE 
(%)]/LTP[[#This Row],[HRT 
(h)]]*24/1000</f>
        <v>6.6801972546540744E-2</v>
      </c>
      <c r="AK91" s="26">
        <f>1-(LTP[[#This Row],[NH4-N 
(mg L-1)]]/Influent[[#This Row],[NH4-N (mg L-1)]])</f>
        <v>0.88967081085307687</v>
      </c>
      <c r="AL91" s="26">
        <f>1-(LTP[[#This Row],[TN 
(mg L-1)]]/Influent[[#This Row],[TN (mg L-1)]])</f>
        <v>0.24637040483946027</v>
      </c>
    </row>
    <row r="92" spans="1:38" x14ac:dyDescent="0.3">
      <c r="A92" s="128">
        <v>43415</v>
      </c>
      <c r="B92" s="29">
        <v>89</v>
      </c>
      <c r="C92" s="29">
        <v>540</v>
      </c>
      <c r="D92" s="28">
        <f>24/(LTP[[#This Row],[Cycle duration 
(h)]]+2)</f>
        <v>4</v>
      </c>
      <c r="E92" s="28">
        <v>4</v>
      </c>
      <c r="F92" s="42">
        <f>Information!$R$61/(LTP[Flow 
(m3 d-1)]/24*LTP[[#This Row],[Cycles per day]]*LTP[[#This Row],[Cycle duration 
(h)]])*24</f>
        <v>98.568000000000012</v>
      </c>
      <c r="G92" s="27">
        <v>25.4</v>
      </c>
      <c r="H92" s="27">
        <v>7.78</v>
      </c>
      <c r="I92" s="27">
        <v>3.5</v>
      </c>
      <c r="J92" s="27">
        <v>67.12</v>
      </c>
      <c r="K92" s="27"/>
      <c r="L92" s="27"/>
      <c r="M92">
        <v>10425</v>
      </c>
      <c r="N92" s="29">
        <f>LTP[[#This Row],[COD 
(mg L-1)]]*Information!$AK$44</f>
        <v>2814.75</v>
      </c>
      <c r="O92">
        <v>1056</v>
      </c>
      <c r="P92">
        <v>8.1999999999999993</v>
      </c>
      <c r="S92">
        <v>13.61</v>
      </c>
      <c r="T92">
        <v>45.7</v>
      </c>
      <c r="U92" s="6"/>
      <c r="V92" s="20"/>
      <c r="W92" s="6"/>
      <c r="X92">
        <v>142.07</v>
      </c>
      <c r="Y92">
        <v>822.83</v>
      </c>
      <c r="Z92" s="6">
        <f>IF(LTP[[#This Row],[TON 
(mg L-1)]]-LTP[[#This Row],[NO2-N 
(mg L-1)]]&lt;0,0.2,LTP[[#This Row],[TON 
(mg L-1)]]-LTP[[#This Row],[NO2-N 
(mg L-1)]])</f>
        <v>0.2</v>
      </c>
      <c r="AA92" s="4">
        <f>SUM(LTP[[#This Row],[NH4-N 
(mg L-1)]:[NO3-N 
(mg L-1)]])</f>
        <v>965.10000000000014</v>
      </c>
      <c r="AB92" s="21">
        <f>LTP[[#This Row],[NO3-N 
(mg L-1)]]/(Influent[[#This Row],[NH4-N (mg L-1)]]-LTP[[#This Row],[NH4-N 
(mg L-1)]])</f>
        <v>1.8081057380235594E-4</v>
      </c>
      <c r="AC92" s="6">
        <f>LTP[[#This Row],[NO2-N 
(mg L-1)]]/(Influent[[#This Row],[NH4-N (mg L-1)]]-LTP[[#This Row],[NH4-N 
(mg L-1)]])</f>
        <v>0.74388182220896271</v>
      </c>
      <c r="AD92" s="20">
        <f>46/14*LTP[[#This Row],[NO2-N 
(mg L-1)]]/(EXP(-2300/(273+LTP[[#This Row],[Temp. 
(°C)]]))*10^LTP[[#This Row],[pHreactor]])</f>
        <v>9.9858255880134111E-2</v>
      </c>
      <c r="AE92" s="19">
        <f>17/14*(LTP[[#This Row],[NH4-N 
(mg L-1)]]*10^LTP[[#This Row],[pHeff]])/(EXP(6344/(273+LTP[[#This Row],[Temp. 
(°C)]]))+10^LTP[[#This Row],[pHreactor]])</f>
        <v>15.440582897879422</v>
      </c>
      <c r="AF92" s="20">
        <f>Influent[[#This Row],[sCOD (mg L-1)]]/LTP[[#This Row],[HRT 
(h)]]*24/1000</f>
        <v>0.44813732651570476</v>
      </c>
      <c r="AG92" s="6"/>
      <c r="AH92" s="6">
        <f>(Influent[[#This Row],[NH4-N (mg L-1)]]*LTP[ARE 
(%)])*24/LTP[[#This Row],[HRT 
(h)]]/1000</f>
        <v>0.26932797662527391</v>
      </c>
      <c r="AI92" s="6">
        <f>Influent[[#This Row],[TN (mg L-1)]]/LTP[[#This Row],[HRT 
(h)]]*24/1000</f>
        <v>0.31051862673484287</v>
      </c>
      <c r="AJ92" s="6">
        <f>(Influent[[#This Row],[NH4-N (mg L-1)]])*LTP[NRE 
(%)]/LTP[[#This Row],[HRT 
(h)]]*24/1000</f>
        <v>7.392458738850996E-2</v>
      </c>
      <c r="AK92" s="26">
        <f>1-(LTP[[#This Row],[NH4-N 
(mg L-1)]]/Influent[[#This Row],[NH4-N (mg L-1)]])</f>
        <v>0.88618009934305397</v>
      </c>
      <c r="AL92" s="26">
        <f>1-(LTP[[#This Row],[TN 
(mg L-1)]]/Influent[[#This Row],[TN (mg L-1)]])</f>
        <v>0.24323688543872013</v>
      </c>
    </row>
    <row r="93" spans="1:38" x14ac:dyDescent="0.3">
      <c r="A93" s="128">
        <v>43416</v>
      </c>
      <c r="B93" s="29">
        <v>90</v>
      </c>
      <c r="C93" s="28"/>
      <c r="D93" s="28"/>
      <c r="E93" s="28"/>
      <c r="F93" s="42"/>
      <c r="G93" s="27"/>
      <c r="H93" s="27"/>
      <c r="I93" s="27"/>
      <c r="J93" s="27"/>
      <c r="K93" s="27"/>
      <c r="L93" s="27"/>
      <c r="U93" s="6"/>
      <c r="V93" s="20"/>
      <c r="W93" s="6"/>
      <c r="Z93" s="6"/>
      <c r="AA93" s="4"/>
      <c r="AB93" s="21"/>
      <c r="AC93" s="6"/>
      <c r="AF93" s="20"/>
      <c r="AG93" s="6"/>
      <c r="AH93" s="6"/>
      <c r="AI93" s="6"/>
      <c r="AJ93" s="6"/>
      <c r="AK93" s="26"/>
      <c r="AL93" s="26"/>
    </row>
  </sheetData>
  <mergeCells count="2">
    <mergeCell ref="C2:K2"/>
    <mergeCell ref="M2:AA2"/>
  </mergeCells>
  <conditionalFormatting sqref="A4:AL93">
    <cfRule type="cellIs" dxfId="338" priority="1" operator="lessThanOrEqual">
      <formula>0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Information</vt:lpstr>
      <vt:lpstr>1-Influent</vt:lpstr>
      <vt:lpstr>Monthly</vt:lpstr>
      <vt:lpstr>S-SBR</vt:lpstr>
      <vt:lpstr>1-Media</vt:lpstr>
      <vt:lpstr>G-SBR</vt:lpstr>
      <vt:lpstr>G-Influent</vt:lpstr>
      <vt:lpstr>1-G-SBR</vt:lpstr>
      <vt:lpstr>1-LTP</vt:lpstr>
      <vt:lpstr>DataPlots</vt:lpstr>
      <vt:lpstr>SSBR-A</vt:lpstr>
      <vt:lpstr>MED-A</vt:lpstr>
      <vt:lpstr>GSBR-A</vt:lpstr>
      <vt:lpstr>LTP-A</vt:lpstr>
      <vt:lpstr>ALK</vt:lpstr>
      <vt:lpstr>stable S-SBR</vt:lpstr>
      <vt:lpstr>stable MEDIA</vt:lpstr>
      <vt:lpstr>stable G-SBR</vt:lpstr>
      <vt:lpstr>stable LTP</vt:lpstr>
      <vt:lpstr>Publication plots</vt:lpstr>
      <vt:lpstr>Copy</vt:lpstr>
      <vt:lpstr>Sheet1</vt:lpstr>
      <vt:lpstr>Comparison</vt:lpstr>
      <vt:lpstr>DataAnalysing</vt:lpstr>
    </vt:vector>
  </TitlesOfParts>
  <Company>Thames Water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Sidestream Anammox Project</dc:title>
  <dc:subject>Process comparison</dc:subject>
  <dc:creator>Pascal Ochs</dc:creator>
  <cp:keywords/>
  <cp:lastModifiedBy>Pascal  Ochs</cp:lastModifiedBy>
  <cp:lastPrinted>2017-10-17T07:52:38Z</cp:lastPrinted>
  <dcterms:created xsi:type="dcterms:W3CDTF">2017-07-26T06:56:37Z</dcterms:created>
  <dcterms:modified xsi:type="dcterms:W3CDTF">2020-06-15T10:56:59Z</dcterms:modified>
</cp:coreProperties>
</file>